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activeX/activeX34.xml" ContentType="application/vnd.ms-office.activeX+xml"/>
  <Override PartName="/xl/activeX/activeX34.bin" ContentType="application/vnd.ms-office.activeX"/>
  <Override PartName="/xl/drawings/drawing18.xml" ContentType="application/vnd.openxmlformats-officedocument.drawing+xml"/>
  <Override PartName="/xl/activeX/activeX35.xml" ContentType="application/vnd.ms-office.activeX+xml"/>
  <Override PartName="/xl/activeX/activeX35.bin" ContentType="application/vnd.ms-office.activeX"/>
  <Override PartName="/xl/drawings/drawing19.xml" ContentType="application/vnd.openxmlformats-officedocument.drawing+xml"/>
  <Override PartName="/xl/activeX/activeX36.xml" ContentType="application/vnd.ms-office.activeX+xml"/>
  <Override PartName="/xl/activeX/activeX3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Y:\MCST\FY2019\Hydrogen\NREL H2 Website\H2A\Version 3.2018 H2A Cases to Publish\"/>
    </mc:Choice>
  </mc:AlternateContent>
  <xr:revisionPtr revIDLastSave="0" documentId="13_ncr:1_{A60C3CFD-F1E4-4F9F-9CA3-71425A577A82}" xr6:coauthVersionLast="38" xr6:coauthVersionMax="38" xr10:uidLastSave="{00000000-0000-0000-0000-000000000000}"/>
  <bookViews>
    <workbookView xWindow="0" yWindow="0" windowWidth="27860" windowHeight="9200" tabRatio="942"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 name="ProcessFlow - blank" sheetId="37" state="hidden" r:id="rId20"/>
    <sheet name="Description - blank" sheetId="38" state="hidden" r:id="rId21"/>
    <sheet name="Title - blank" sheetId="39" state="hidden" r:id="rId22"/>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Input_Sheet_Template!$E$100</definedName>
    <definedName name="acres">Input_Sheet_Template!$E$101</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Input_Sheet_Template!$E$154</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Input_Sheet_Template!$C$87</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Input_Sheet_Template!$E$97</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Input_Sheet_Template!$C$86</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Input_Sheet_Template!$F$77:$F$78</definedName>
    <definedName name="Dynamic_Feed_Total">Input_Sheet_Template!$F$73:$F$76</definedName>
    <definedName name="Dynamic_NonE_Byprod_Total">Input_Sheet_Template!$E$137:$E$138</definedName>
    <definedName name="Dynamic_NonE_Feed_Total">Input_Sheet_Template!$E$134:$E$137</definedName>
    <definedName name="Dynamic_Utilities_Total">Input_Sheet_Template!$F$76:$F$77</definedName>
    <definedName name="Energy_Feed_List">Lists!$K$12</definedName>
    <definedName name="Energy_Feed_Years">Lists!$K$14</definedName>
    <definedName name="Engin">Input_Sheet_Template!$E$91</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Input_Sheet_Template!$D$75</definedName>
    <definedName name="feedstockIndustrial_Electricity_Usage">Input_Sheet_Template!$E$75</definedName>
    <definedName name="feedstockIndustrial_Natural_Gas_Price">Input_Sheet_Template!#REF!</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Input_Sheet_Template!$E$95</definedName>
    <definedName name="fixed">Input_Sheet_Template!$E$122</definedName>
    <definedName name="FTE_cost">Input_Sheet_Template!$E$110</definedName>
    <definedName name="FTEs">Input_Sheet_Template!$E$109</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Input_Sheet_Template!$E$111</definedName>
    <definedName name="land_cost">Input_Sheet_Template!$E$102</definedName>
    <definedName name="lb_to_kg">'Constants and Conversions'!$C$7</definedName>
    <definedName name="licensing">Input_Sheet_Template!$E$114</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Input_Sheet_Template!$E$118</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Input_Sheet_Template!$E$104</definedName>
    <definedName name="non_dep_infl">'Cash Flow Analysis'!$B$52</definedName>
    <definedName name="NPV">'Cash Flow Analysis'!$E$26</definedName>
    <definedName name="operator_profit">Input_Sheet_Template!$E$152</definedName>
    <definedName name="other_fees">Input_Sheet_Template!$E$120</definedName>
    <definedName name="other_fixed">Input_Sheet_Template!$E$121</definedName>
    <definedName name="Other_indirect">Input_Sheet_Template!$E$94</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Input_Sheet_Template!$E$113</definedName>
    <definedName name="overhead_rate">Input_Sheet_Template!$C$112</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Input_Sheet_Template!$E$96</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Input_Sheet_Template!$B$124:$G$159</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Input_Sheet_Template!$E$155</definedName>
    <definedName name="Proc_CO2_taxpYear">Input_Sheet_Template!$E$156</definedName>
    <definedName name="ProcEqpCap">'Plant Scaling'!$E$27</definedName>
    <definedName name="Process_cont">Input_Sheet_Template!$E$92</definedName>
    <definedName name="prod_maint">Input_Sheet_Template!$E$119</definedName>
    <definedName name="Project_cont">Input_Sheet_Template!$E$93</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Input_Sheet_Template!$E$117</definedName>
    <definedName name="replace_factor">Input_Sheet_Template!$C$150</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Input_Sheet_Template!$E$151</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Input_Sheet_Template!$C$86</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Input_Sheet_Template!$E$90</definedName>
    <definedName name="solidwaste_treat">Input_Sheet_Template!$E$149</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Input_Sheet_Template!$A$78</definedName>
    <definedName name="START_FEED">Input_Sheet_Template!$A$76</definedName>
    <definedName name="START_NONE_BYPROD">Input_Sheet_Template!$A$138</definedName>
    <definedName name="START_NONE_FEED">Input_Sheet_Template!$A$137</definedName>
    <definedName name="START_NONE_TOP">Input_Sheet_Template!$A$134</definedName>
    <definedName name="start_time">Input_Sheet_Template!$C$38</definedName>
    <definedName name="START_TOP">Input_Sheet_Template!$A$73</definedName>
    <definedName name="START_UTILITY">Input_Sheet_Template!$A$77</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Input_Sheet_Template!$E$153</definedName>
    <definedName name="tax_ins_rate">Input_Sheet_Template!$C$115</definedName>
    <definedName name="tax_insurance">Input_Sheet_Template!$E$116</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Input_Sheet_Template!$C$133</definedName>
    <definedName name="TMP_NonE_Feed">Input_Sheet_Template!$C$129</definedName>
    <definedName name="TMP_NonE_StartPrice">Input_Sheet_Template!$C$130</definedName>
    <definedName name="TMP_NonE_StartYrCost">Input_Sheet_Template!$C$132</definedName>
    <definedName name="TMP_NonE_Type">Input_Sheet_Template!$B$129</definedName>
    <definedName name="TMP_NonE_Usage">Input_Sheet_Template!$C$131</definedName>
    <definedName name="TMP_NonE_Usage_txt">Input_Sheet_Template!$B$130</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Input_Sheet_Template!$C$144</definedName>
    <definedName name="total_cap">Input_Sheet_Template!$C$106</definedName>
    <definedName name="Total_Energy_Byproduct_Cost">Input_Sheet_Template!$D$82</definedName>
    <definedName name="Total_Energy_Byproduct_Credit">Input_Sheet_Template!$F$82</definedName>
    <definedName name="Total_Energy_Feed_Cost">Input_Sheet_Template!$F$80</definedName>
    <definedName name="Total_Energy_Utilities_Cost">Input_Sheet_Template!$F$81</definedName>
    <definedName name="total_feedstock">Input_Sheet_Template!$C$142</definedName>
    <definedName name="total_non_energy_byproduct_credit">Input_Sheet_Template!$C$140</definedName>
    <definedName name="Total_Non_Energy_Feed_Cost">Input_Sheet_Template!$C$139</definedName>
    <definedName name="total_other_raw">Input_Sheet_Template!$E$147</definedName>
    <definedName name="total_tax_rate">Input_Sheet_Template!$C$55</definedName>
    <definedName name="total_utilities">Input_Sheet_Template!$C$143</definedName>
    <definedName name="total_var">Input_Sheet_Template!$E$159</definedName>
    <definedName name="upper_capacity_limit">'Plant Scaling'!$C$8</definedName>
    <definedName name="Upstream_CO2_tax">Input_Sheet_Template!$E$157</definedName>
    <definedName name="Upstream_CO2_taxpYear">Input_Sheet_Template!$E$158</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Input_Sheet_Template!$E$146</definedName>
    <definedName name="VAR_NonE_FEED_VALUES">Input_Sheet_Template!$B$129:$D$133</definedName>
    <definedName name="waste_treat">Input_Sheet_Template!$E$148</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35" i="15" l="1"/>
  <c r="B134" i="15"/>
  <c r="B133" i="15"/>
  <c r="B132" i="15"/>
  <c r="B131" i="15"/>
  <c r="A14" i="13" l="1"/>
  <c r="C141" i="12" l="1"/>
  <c r="CZ141" i="12" s="1"/>
  <c r="C140" i="12"/>
  <c r="CT140" i="12" s="1"/>
  <c r="C139" i="12"/>
  <c r="CV139" i="12" s="1"/>
  <c r="C138" i="12"/>
  <c r="CQ138" i="12" s="1"/>
  <c r="C137" i="12"/>
  <c r="CJ137" i="12" s="1"/>
  <c r="C136" i="12"/>
  <c r="CT136" i="12" s="1"/>
  <c r="C135" i="12"/>
  <c r="CR135" i="12" s="1"/>
  <c r="C134" i="12"/>
  <c r="CT134" i="12" s="1"/>
  <c r="C133" i="12"/>
  <c r="CY133" i="12" s="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B130" i="12"/>
  <c r="X138" i="12" l="1"/>
  <c r="AN138" i="12"/>
  <c r="AL133" i="12"/>
  <c r="BB133" i="12"/>
  <c r="CB138" i="12"/>
  <c r="Q141" i="12"/>
  <c r="AF134" i="12"/>
  <c r="CO134" i="12"/>
  <c r="AE136" i="12"/>
  <c r="CM136" i="12"/>
  <c r="K134" i="12"/>
  <c r="AO134" i="12"/>
  <c r="BT134" i="12"/>
  <c r="CR134" i="12"/>
  <c r="M136" i="12"/>
  <c r="AP136" i="12"/>
  <c r="BU136" i="12"/>
  <c r="CX136" i="12"/>
  <c r="BK138" i="12"/>
  <c r="Y140" i="12"/>
  <c r="I141" i="12"/>
  <c r="CC141" i="12"/>
  <c r="V133" i="12"/>
  <c r="S134" i="12"/>
  <c r="AQ134" i="12"/>
  <c r="BU134" i="12"/>
  <c r="CZ134" i="12"/>
  <c r="N136" i="12"/>
  <c r="AS136" i="12"/>
  <c r="BW136" i="12"/>
  <c r="CY136" i="12"/>
  <c r="BL138" i="12"/>
  <c r="AQ140" i="12"/>
  <c r="J141" i="12"/>
  <c r="R136" i="12"/>
  <c r="AU136" i="12"/>
  <c r="BX136" i="12"/>
  <c r="AR140" i="12"/>
  <c r="AZ134" i="12"/>
  <c r="AB135" i="12"/>
  <c r="AW136" i="12"/>
  <c r="CG138" i="12"/>
  <c r="BM140" i="12"/>
  <c r="AO141" i="12"/>
  <c r="U134" i="12"/>
  <c r="CE134" i="12"/>
  <c r="T136" i="12"/>
  <c r="BY136" i="12"/>
  <c r="BY133" i="12"/>
  <c r="AC134" i="12"/>
  <c r="BA134" i="12"/>
  <c r="CF134" i="12"/>
  <c r="AV135" i="12"/>
  <c r="AC136" i="12"/>
  <c r="BF136" i="12"/>
  <c r="CH136" i="12"/>
  <c r="U138" i="12"/>
  <c r="CZ138" i="12"/>
  <c r="BO140" i="12"/>
  <c r="AP141" i="12"/>
  <c r="AD134" i="12"/>
  <c r="BI134" i="12"/>
  <c r="CG134" i="12"/>
  <c r="BW135" i="12"/>
  <c r="AD136" i="12"/>
  <c r="BG136" i="12"/>
  <c r="CI136" i="12"/>
  <c r="CF140" i="12"/>
  <c r="AW141" i="12"/>
  <c r="CK140" i="12"/>
  <c r="BU141" i="12"/>
  <c r="T134" i="12"/>
  <c r="AY134" i="12"/>
  <c r="BW134" i="12"/>
  <c r="H134" i="12"/>
  <c r="BJ134" i="12"/>
  <c r="CW135" i="12"/>
  <c r="BH136" i="12"/>
  <c r="I134" i="12"/>
  <c r="AN134" i="12"/>
  <c r="BL134" i="12"/>
  <c r="CP134" i="12"/>
  <c r="BV141" i="12"/>
  <c r="AG136" i="12"/>
  <c r="BK136" i="12"/>
  <c r="CO136" i="12"/>
  <c r="AO138" i="12"/>
  <c r="T140" i="12"/>
  <c r="BC135" i="12"/>
  <c r="V139" i="12"/>
  <c r="BR139" i="12"/>
  <c r="AU138" i="12"/>
  <c r="CJ138" i="12"/>
  <c r="I139" i="12"/>
  <c r="Y139" i="12"/>
  <c r="BE139" i="12"/>
  <c r="CK139" i="12"/>
  <c r="AW140" i="12"/>
  <c r="K133" i="12"/>
  <c r="AA133" i="12"/>
  <c r="AQ133" i="12"/>
  <c r="BJ133" i="12"/>
  <c r="CJ133" i="12"/>
  <c r="L134" i="12"/>
  <c r="V134" i="12"/>
  <c r="AG134" i="12"/>
  <c r="AR134" i="12"/>
  <c r="BB134" i="12"/>
  <c r="BM134" i="12"/>
  <c r="BX134" i="12"/>
  <c r="CH134" i="12"/>
  <c r="CS134" i="12"/>
  <c r="K135" i="12"/>
  <c r="AK135" i="12"/>
  <c r="BE135" i="12"/>
  <c r="CF135" i="12"/>
  <c r="U136" i="12"/>
  <c r="AJ136" i="12"/>
  <c r="AX136" i="12"/>
  <c r="BN136" i="12"/>
  <c r="BZ136" i="12"/>
  <c r="CP136" i="12"/>
  <c r="Z137" i="12"/>
  <c r="H138" i="12"/>
  <c r="AA138" i="12"/>
  <c r="AW138" i="12"/>
  <c r="BO138" i="12"/>
  <c r="CK138" i="12"/>
  <c r="K139" i="12"/>
  <c r="AA139" i="12"/>
  <c r="AQ139" i="12"/>
  <c r="BG139" i="12"/>
  <c r="BW139" i="12"/>
  <c r="CM139" i="12"/>
  <c r="I140" i="12"/>
  <c r="AB140" i="12"/>
  <c r="AY140" i="12"/>
  <c r="BU140" i="12"/>
  <c r="CN140" i="12"/>
  <c r="R141" i="12"/>
  <c r="AX141" i="12"/>
  <c r="CD141" i="12"/>
  <c r="CX139" i="12"/>
  <c r="H133" i="12"/>
  <c r="BI133" i="12"/>
  <c r="J135" i="12"/>
  <c r="BD135" i="12"/>
  <c r="CE135" i="12"/>
  <c r="Y138" i="12"/>
  <c r="AO139" i="12"/>
  <c r="M133" i="12"/>
  <c r="AC133" i="12"/>
  <c r="AU133" i="12"/>
  <c r="BK133" i="12"/>
  <c r="CO133" i="12"/>
  <c r="M134" i="12"/>
  <c r="X134" i="12"/>
  <c r="AI134" i="12"/>
  <c r="AS134" i="12"/>
  <c r="BD134" i="12"/>
  <c r="BO134" i="12"/>
  <c r="BY134" i="12"/>
  <c r="CJ134" i="12"/>
  <c r="CU134" i="12"/>
  <c r="L135" i="12"/>
  <c r="AL135" i="12"/>
  <c r="BL135" i="12"/>
  <c r="CG135" i="12"/>
  <c r="I136" i="12"/>
  <c r="V136" i="12"/>
  <c r="AL136" i="12"/>
  <c r="AY136" i="12"/>
  <c r="BO136" i="12"/>
  <c r="CD136" i="12"/>
  <c r="CQ136" i="12"/>
  <c r="AY137" i="12"/>
  <c r="K138" i="12"/>
  <c r="AC138" i="12"/>
  <c r="AY138" i="12"/>
  <c r="BT138" i="12"/>
  <c r="CM138" i="12"/>
  <c r="M139" i="12"/>
  <c r="AC139" i="12"/>
  <c r="AS139" i="12"/>
  <c r="BI139" i="12"/>
  <c r="BY139" i="12"/>
  <c r="CO139" i="12"/>
  <c r="K140" i="12"/>
  <c r="AG140" i="12"/>
  <c r="AZ140" i="12"/>
  <c r="BW140" i="12"/>
  <c r="CS140" i="12"/>
  <c r="Y141" i="12"/>
  <c r="BE141" i="12"/>
  <c r="CK141" i="12"/>
  <c r="BB139" i="12"/>
  <c r="X133" i="12"/>
  <c r="CA133" i="12"/>
  <c r="AD135" i="12"/>
  <c r="CY135" i="12"/>
  <c r="Y137" i="12"/>
  <c r="BM138" i="12"/>
  <c r="BU139" i="12"/>
  <c r="N133" i="12"/>
  <c r="AD133" i="12"/>
  <c r="AV133" i="12"/>
  <c r="BL133" i="12"/>
  <c r="CP133" i="12"/>
  <c r="N134" i="12"/>
  <c r="Y134" i="12"/>
  <c r="AJ134" i="12"/>
  <c r="AT134" i="12"/>
  <c r="BE134" i="12"/>
  <c r="BP134" i="12"/>
  <c r="BZ134" i="12"/>
  <c r="CK134" i="12"/>
  <c r="CV134" i="12"/>
  <c r="S135" i="12"/>
  <c r="AM135" i="12"/>
  <c r="BM135" i="12"/>
  <c r="CN135" i="12"/>
  <c r="K136" i="12"/>
  <c r="W136" i="12"/>
  <c r="AM136" i="12"/>
  <c r="BB136" i="12"/>
  <c r="BP136" i="12"/>
  <c r="CF136" i="12"/>
  <c r="CS136" i="12"/>
  <c r="AZ137" i="12"/>
  <c r="M138" i="12"/>
  <c r="AG138" i="12"/>
  <c r="BA138" i="12"/>
  <c r="BW138" i="12"/>
  <c r="CO138" i="12"/>
  <c r="N139" i="12"/>
  <c r="AD139" i="12"/>
  <c r="AT139" i="12"/>
  <c r="BJ139" i="12"/>
  <c r="BZ139" i="12"/>
  <c r="CP139" i="12"/>
  <c r="L140" i="12"/>
  <c r="AI140" i="12"/>
  <c r="BE140" i="12"/>
  <c r="BX140" i="12"/>
  <c r="CU140" i="12"/>
  <c r="Z141" i="12"/>
  <c r="BF141" i="12"/>
  <c r="CL141" i="12"/>
  <c r="CU137" i="12"/>
  <c r="U139" i="12"/>
  <c r="BA139" i="12"/>
  <c r="BQ139" i="12"/>
  <c r="CW139" i="12"/>
  <c r="W133" i="12"/>
  <c r="BC133" i="12"/>
  <c r="BZ133" i="12"/>
  <c r="AC135" i="12"/>
  <c r="CX135" i="12"/>
  <c r="CW137" i="12"/>
  <c r="AL139" i="12"/>
  <c r="CH139" i="12"/>
  <c r="AN133" i="12"/>
  <c r="AA140" i="12"/>
  <c r="BP140" i="12"/>
  <c r="CM140" i="12"/>
  <c r="O133" i="12"/>
  <c r="AI133" i="12"/>
  <c r="AY133" i="12"/>
  <c r="BO133" i="12"/>
  <c r="CQ133" i="12"/>
  <c r="P134" i="12"/>
  <c r="AA134" i="12"/>
  <c r="AK134" i="12"/>
  <c r="AV134" i="12"/>
  <c r="BG134" i="12"/>
  <c r="BQ134" i="12"/>
  <c r="CB134" i="12"/>
  <c r="CM134" i="12"/>
  <c r="CW134" i="12"/>
  <c r="T135" i="12"/>
  <c r="AT135" i="12"/>
  <c r="BO135" i="12"/>
  <c r="CO135" i="12"/>
  <c r="L136" i="12"/>
  <c r="AA136" i="12"/>
  <c r="AO136" i="12"/>
  <c r="BE136" i="12"/>
  <c r="BQ136" i="12"/>
  <c r="CG136" i="12"/>
  <c r="CV136" i="12"/>
  <c r="BT137" i="12"/>
  <c r="O138" i="12"/>
  <c r="AK138" i="12"/>
  <c r="BC138" i="12"/>
  <c r="BY138" i="12"/>
  <c r="CU138" i="12"/>
  <c r="Q139" i="12"/>
  <c r="AG139" i="12"/>
  <c r="AW139" i="12"/>
  <c r="BM139" i="12"/>
  <c r="CC139" i="12"/>
  <c r="CS139" i="12"/>
  <c r="Q140" i="12"/>
  <c r="AJ140" i="12"/>
  <c r="BG140" i="12"/>
  <c r="CC140" i="12"/>
  <c r="CV140" i="12"/>
  <c r="AG141" i="12"/>
  <c r="BM141" i="12"/>
  <c r="CS141" i="12"/>
  <c r="AK139" i="12"/>
  <c r="CG139" i="12"/>
  <c r="AM133" i="12"/>
  <c r="BX135" i="12"/>
  <c r="P133" i="12"/>
  <c r="AK133" i="12"/>
  <c r="BA133" i="12"/>
  <c r="BT133" i="12"/>
  <c r="Q134" i="12"/>
  <c r="AB134" i="12"/>
  <c r="AL134" i="12"/>
  <c r="AW134" i="12"/>
  <c r="BH134" i="12"/>
  <c r="BR134" i="12"/>
  <c r="CC134" i="12"/>
  <c r="CN134" i="12"/>
  <c r="CX134" i="12"/>
  <c r="U135" i="12"/>
  <c r="AU135" i="12"/>
  <c r="BU135" i="12"/>
  <c r="CP135" i="12"/>
  <c r="CA137" i="12"/>
  <c r="P138" i="12"/>
  <c r="AM138" i="12"/>
  <c r="BG138" i="12"/>
  <c r="CA138" i="12"/>
  <c r="CY138" i="12"/>
  <c r="S139" i="12"/>
  <c r="AI139" i="12"/>
  <c r="AY139" i="12"/>
  <c r="BO139" i="12"/>
  <c r="CE139" i="12"/>
  <c r="CU139" i="12"/>
  <c r="S140" i="12"/>
  <c r="AO140" i="12"/>
  <c r="BH140" i="12"/>
  <c r="CE140" i="12"/>
  <c r="AH141" i="12"/>
  <c r="BN141" i="12"/>
  <c r="CT141" i="12"/>
  <c r="H137" i="12"/>
  <c r="AH137" i="12"/>
  <c r="BH137" i="12"/>
  <c r="CC137" i="12"/>
  <c r="CB137" i="12"/>
  <c r="CB133" i="12"/>
  <c r="CR133" i="12"/>
  <c r="O137" i="12"/>
  <c r="AI137" i="12"/>
  <c r="BI137" i="12"/>
  <c r="CZ137" i="12"/>
  <c r="CR137" i="12"/>
  <c r="CX137" i="12"/>
  <c r="CP137" i="12"/>
  <c r="CH137" i="12"/>
  <c r="BZ137" i="12"/>
  <c r="BR137" i="12"/>
  <c r="BJ137" i="12"/>
  <c r="BB137" i="12"/>
  <c r="AT137" i="12"/>
  <c r="AL137" i="12"/>
  <c r="AD137" i="12"/>
  <c r="V137" i="12"/>
  <c r="N137" i="12"/>
  <c r="CV137" i="12"/>
  <c r="CS137" i="12"/>
  <c r="CI137" i="12"/>
  <c r="BY137" i="12"/>
  <c r="BP137" i="12"/>
  <c r="BG137" i="12"/>
  <c r="AX137" i="12"/>
  <c r="AO137" i="12"/>
  <c r="AF137" i="12"/>
  <c r="W137" i="12"/>
  <c r="M137" i="12"/>
  <c r="CQ137" i="12"/>
  <c r="CG137" i="12"/>
  <c r="BX137" i="12"/>
  <c r="BO137" i="12"/>
  <c r="BF137" i="12"/>
  <c r="AW137" i="12"/>
  <c r="AN137" i="12"/>
  <c r="AE137" i="12"/>
  <c r="U137" i="12"/>
  <c r="L137" i="12"/>
  <c r="CO137" i="12"/>
  <c r="CF137" i="12"/>
  <c r="BW137" i="12"/>
  <c r="BN137" i="12"/>
  <c r="BE137" i="12"/>
  <c r="AV137" i="12"/>
  <c r="AM137" i="12"/>
  <c r="AC137" i="12"/>
  <c r="T137" i="12"/>
  <c r="K137" i="12"/>
  <c r="CN137" i="12"/>
  <c r="CE137" i="12"/>
  <c r="BV137" i="12"/>
  <c r="BM137" i="12"/>
  <c r="BD137" i="12"/>
  <c r="AU137" i="12"/>
  <c r="AK137" i="12"/>
  <c r="AB137" i="12"/>
  <c r="S137" i="12"/>
  <c r="J137" i="12"/>
  <c r="CY137" i="12"/>
  <c r="CM137" i="12"/>
  <c r="CD137" i="12"/>
  <c r="BU137" i="12"/>
  <c r="BL137" i="12"/>
  <c r="BC137" i="12"/>
  <c r="AS137" i="12"/>
  <c r="AJ137" i="12"/>
  <c r="AA137" i="12"/>
  <c r="R137" i="12"/>
  <c r="I137" i="12"/>
  <c r="BQ133" i="12"/>
  <c r="CG133" i="12"/>
  <c r="CX133" i="12"/>
  <c r="P137" i="12"/>
  <c r="AP137" i="12"/>
  <c r="BK137" i="12"/>
  <c r="CK137" i="12"/>
  <c r="AG137" i="12"/>
  <c r="S133" i="12"/>
  <c r="AE133" i="12"/>
  <c r="AS133" i="12"/>
  <c r="BD133" i="12"/>
  <c r="BR133" i="12"/>
  <c r="CH133" i="12"/>
  <c r="Q137" i="12"/>
  <c r="AQ137" i="12"/>
  <c r="BQ137" i="12"/>
  <c r="CL137" i="12"/>
  <c r="BA137" i="12"/>
  <c r="CW133" i="12"/>
  <c r="CV133" i="12"/>
  <c r="CN133" i="12"/>
  <c r="CF133" i="12"/>
  <c r="BX133" i="12"/>
  <c r="BP133" i="12"/>
  <c r="BH133" i="12"/>
  <c r="AZ133" i="12"/>
  <c r="AR133" i="12"/>
  <c r="AJ133" i="12"/>
  <c r="AB133" i="12"/>
  <c r="T133" i="12"/>
  <c r="L133" i="12"/>
  <c r="CU133" i="12"/>
  <c r="CM133" i="12"/>
  <c r="CE133" i="12"/>
  <c r="BW133" i="12"/>
  <c r="CT133" i="12"/>
  <c r="CL133" i="12"/>
  <c r="CD133" i="12"/>
  <c r="BV133" i="12"/>
  <c r="BN133" i="12"/>
  <c r="BF133" i="12"/>
  <c r="AX133" i="12"/>
  <c r="AP133" i="12"/>
  <c r="AH133" i="12"/>
  <c r="Z133" i="12"/>
  <c r="R133" i="12"/>
  <c r="J133" i="12"/>
  <c r="CS133" i="12"/>
  <c r="CK133" i="12"/>
  <c r="CC133" i="12"/>
  <c r="BU133" i="12"/>
  <c r="BM133" i="12"/>
  <c r="BE133" i="12"/>
  <c r="AW133" i="12"/>
  <c r="AO133" i="12"/>
  <c r="AG133" i="12"/>
  <c r="Y133" i="12"/>
  <c r="Q133" i="12"/>
  <c r="I133" i="12"/>
  <c r="U133" i="12"/>
  <c r="AF133" i="12"/>
  <c r="AT133" i="12"/>
  <c r="BG133" i="12"/>
  <c r="BS133" i="12"/>
  <c r="CI133" i="12"/>
  <c r="CZ133" i="12"/>
  <c r="X137" i="12"/>
  <c r="AR137" i="12"/>
  <c r="BS137" i="12"/>
  <c r="CT137" i="12"/>
  <c r="O134" i="12"/>
  <c r="W134" i="12"/>
  <c r="AE134" i="12"/>
  <c r="AM134" i="12"/>
  <c r="AU134" i="12"/>
  <c r="BC134" i="12"/>
  <c r="BK134" i="12"/>
  <c r="BS134" i="12"/>
  <c r="CA134" i="12"/>
  <c r="CI134" i="12"/>
  <c r="CQ134" i="12"/>
  <c r="CY134" i="12"/>
  <c r="M135" i="12"/>
  <c r="V135" i="12"/>
  <c r="AE135" i="12"/>
  <c r="AN135" i="12"/>
  <c r="AW135" i="12"/>
  <c r="BG135" i="12"/>
  <c r="BP135" i="12"/>
  <c r="BY135" i="12"/>
  <c r="CH135" i="12"/>
  <c r="CQ135" i="12"/>
  <c r="CZ135" i="12"/>
  <c r="O136" i="12"/>
  <c r="Y136" i="12"/>
  <c r="AH136" i="12"/>
  <c r="AQ136" i="12"/>
  <c r="AZ136" i="12"/>
  <c r="BI136" i="12"/>
  <c r="BR136" i="12"/>
  <c r="CA136" i="12"/>
  <c r="CK136" i="12"/>
  <c r="Q138" i="12"/>
  <c r="AE138" i="12"/>
  <c r="AQ138" i="12"/>
  <c r="BD138" i="12"/>
  <c r="BQ138" i="12"/>
  <c r="CC138" i="12"/>
  <c r="N135" i="12"/>
  <c r="W135" i="12"/>
  <c r="AF135" i="12"/>
  <c r="AO135" i="12"/>
  <c r="AY135" i="12"/>
  <c r="BH135" i="12"/>
  <c r="BQ135" i="12"/>
  <c r="BZ135" i="12"/>
  <c r="CI135" i="12"/>
  <c r="CZ136" i="12"/>
  <c r="CR136" i="12"/>
  <c r="CJ136" i="12"/>
  <c r="CB136" i="12"/>
  <c r="BT136" i="12"/>
  <c r="BL136" i="12"/>
  <c r="BD136" i="12"/>
  <c r="AV136" i="12"/>
  <c r="AN136" i="12"/>
  <c r="AF136" i="12"/>
  <c r="X136" i="12"/>
  <c r="P136" i="12"/>
  <c r="H136" i="12"/>
  <c r="Q136" i="12"/>
  <c r="Z136" i="12"/>
  <c r="AI136" i="12"/>
  <c r="AR136" i="12"/>
  <c r="BA136" i="12"/>
  <c r="BJ136" i="12"/>
  <c r="BS136" i="12"/>
  <c r="CC136" i="12"/>
  <c r="CL136" i="12"/>
  <c r="CU136" i="12"/>
  <c r="CX138" i="12"/>
  <c r="CP138" i="12"/>
  <c r="CH138" i="12"/>
  <c r="BZ138" i="12"/>
  <c r="BR138" i="12"/>
  <c r="BJ138" i="12"/>
  <c r="BB138" i="12"/>
  <c r="AT138" i="12"/>
  <c r="AL138" i="12"/>
  <c r="AD138" i="12"/>
  <c r="V138" i="12"/>
  <c r="N138" i="12"/>
  <c r="CV138" i="12"/>
  <c r="CN138" i="12"/>
  <c r="CF138" i="12"/>
  <c r="BX138" i="12"/>
  <c r="BP138" i="12"/>
  <c r="BH138" i="12"/>
  <c r="AZ138" i="12"/>
  <c r="AR138" i="12"/>
  <c r="AJ138" i="12"/>
  <c r="AB138" i="12"/>
  <c r="T138" i="12"/>
  <c r="L138" i="12"/>
  <c r="CT138" i="12"/>
  <c r="CL138" i="12"/>
  <c r="CD138" i="12"/>
  <c r="BV138" i="12"/>
  <c r="BN138" i="12"/>
  <c r="BF138" i="12"/>
  <c r="AX138" i="12"/>
  <c r="AP138" i="12"/>
  <c r="AH138" i="12"/>
  <c r="Z138" i="12"/>
  <c r="R138" i="12"/>
  <c r="J138" i="12"/>
  <c r="CS138" i="12"/>
  <c r="S138" i="12"/>
  <c r="AF138" i="12"/>
  <c r="AS138" i="12"/>
  <c r="BE138" i="12"/>
  <c r="BS138" i="12"/>
  <c r="CE138" i="12"/>
  <c r="CR138" i="12"/>
  <c r="CT135" i="12"/>
  <c r="CL135" i="12"/>
  <c r="CD135" i="12"/>
  <c r="BV135" i="12"/>
  <c r="BN135" i="12"/>
  <c r="BF135" i="12"/>
  <c r="AX135" i="12"/>
  <c r="AP135" i="12"/>
  <c r="AH135" i="12"/>
  <c r="Z135" i="12"/>
  <c r="R135" i="12"/>
  <c r="X135" i="12"/>
  <c r="AQ135" i="12"/>
  <c r="BI135" i="12"/>
  <c r="CA135" i="12"/>
  <c r="CS135" i="12"/>
  <c r="O135" i="12"/>
  <c r="AG135" i="12"/>
  <c r="AZ135" i="12"/>
  <c r="BR135" i="12"/>
  <c r="CJ135" i="12"/>
  <c r="J134" i="12"/>
  <c r="R134" i="12"/>
  <c r="Z134" i="12"/>
  <c r="AH134" i="12"/>
  <c r="AP134" i="12"/>
  <c r="AX134" i="12"/>
  <c r="BF134" i="12"/>
  <c r="BN134" i="12"/>
  <c r="BV134" i="12"/>
  <c r="CD134" i="12"/>
  <c r="CL134" i="12"/>
  <c r="H135" i="12"/>
  <c r="P135" i="12"/>
  <c r="Y135" i="12"/>
  <c r="AI135" i="12"/>
  <c r="AR135" i="12"/>
  <c r="BA135" i="12"/>
  <c r="BJ135" i="12"/>
  <c r="BS135" i="12"/>
  <c r="CB135" i="12"/>
  <c r="CK135" i="12"/>
  <c r="CU135" i="12"/>
  <c r="J136" i="12"/>
  <c r="S136" i="12"/>
  <c r="AB136" i="12"/>
  <c r="AK136" i="12"/>
  <c r="AT136" i="12"/>
  <c r="BC136" i="12"/>
  <c r="BM136" i="12"/>
  <c r="BV136" i="12"/>
  <c r="CE136" i="12"/>
  <c r="CN136" i="12"/>
  <c r="CW136" i="12"/>
  <c r="I138" i="12"/>
  <c r="W138" i="12"/>
  <c r="AI138" i="12"/>
  <c r="AV138" i="12"/>
  <c r="BI138" i="12"/>
  <c r="BU138" i="12"/>
  <c r="CI138" i="12"/>
  <c r="CW138" i="12"/>
  <c r="I135" i="12"/>
  <c r="Q135" i="12"/>
  <c r="AA135" i="12"/>
  <c r="AJ135" i="12"/>
  <c r="AS135" i="12"/>
  <c r="BB135" i="12"/>
  <c r="BK135" i="12"/>
  <c r="BT135" i="12"/>
  <c r="CC135" i="12"/>
  <c r="CM135" i="12"/>
  <c r="CV135" i="12"/>
  <c r="O139" i="12"/>
  <c r="W139" i="12"/>
  <c r="AE139" i="12"/>
  <c r="AM139" i="12"/>
  <c r="AU139" i="12"/>
  <c r="BC139" i="12"/>
  <c r="BK139" i="12"/>
  <c r="BS139" i="12"/>
  <c r="CA139" i="12"/>
  <c r="CI139" i="12"/>
  <c r="CQ139" i="12"/>
  <c r="CY139" i="12"/>
  <c r="M140" i="12"/>
  <c r="U140" i="12"/>
  <c r="AC140" i="12"/>
  <c r="AK140" i="12"/>
  <c r="AS140" i="12"/>
  <c r="BA140" i="12"/>
  <c r="BI140" i="12"/>
  <c r="BQ140" i="12"/>
  <c r="BY140" i="12"/>
  <c r="CG140" i="12"/>
  <c r="CO140" i="12"/>
  <c r="CW140" i="12"/>
  <c r="K141" i="12"/>
  <c r="S141" i="12"/>
  <c r="AA141" i="12"/>
  <c r="AI141" i="12"/>
  <c r="AQ141" i="12"/>
  <c r="AY141" i="12"/>
  <c r="BG141" i="12"/>
  <c r="BO141" i="12"/>
  <c r="BW141" i="12"/>
  <c r="CE141" i="12"/>
  <c r="CM141" i="12"/>
  <c r="CU141" i="12"/>
  <c r="H139" i="12"/>
  <c r="P139" i="12"/>
  <c r="X139" i="12"/>
  <c r="AF139" i="12"/>
  <c r="AN139" i="12"/>
  <c r="AV139" i="12"/>
  <c r="BD139" i="12"/>
  <c r="BL139" i="12"/>
  <c r="BT139" i="12"/>
  <c r="CB139" i="12"/>
  <c r="CJ139" i="12"/>
  <c r="CR139" i="12"/>
  <c r="CZ139" i="12"/>
  <c r="N140" i="12"/>
  <c r="V140" i="12"/>
  <c r="AD140" i="12"/>
  <c r="AL140" i="12"/>
  <c r="AT140" i="12"/>
  <c r="BB140" i="12"/>
  <c r="BJ140" i="12"/>
  <c r="BR140" i="12"/>
  <c r="BZ140" i="12"/>
  <c r="CH140" i="12"/>
  <c r="CP140" i="12"/>
  <c r="CX140" i="12"/>
  <c r="L141" i="12"/>
  <c r="T141" i="12"/>
  <c r="AB141" i="12"/>
  <c r="AJ141" i="12"/>
  <c r="AR141" i="12"/>
  <c r="AZ141" i="12"/>
  <c r="BH141" i="12"/>
  <c r="BP141" i="12"/>
  <c r="BX141" i="12"/>
  <c r="CF141" i="12"/>
  <c r="CN141" i="12"/>
  <c r="CV141" i="12"/>
  <c r="O140" i="12"/>
  <c r="W140" i="12"/>
  <c r="AE140" i="12"/>
  <c r="AM140" i="12"/>
  <c r="AU140" i="12"/>
  <c r="BC140" i="12"/>
  <c r="BK140" i="12"/>
  <c r="BS140" i="12"/>
  <c r="CA140" i="12"/>
  <c r="CI140" i="12"/>
  <c r="CQ140" i="12"/>
  <c r="CY140" i="12"/>
  <c r="M141" i="12"/>
  <c r="U141" i="12"/>
  <c r="AC141" i="12"/>
  <c r="AK141" i="12"/>
  <c r="AS141" i="12"/>
  <c r="BA141" i="12"/>
  <c r="BI141" i="12"/>
  <c r="BQ141" i="12"/>
  <c r="BY141" i="12"/>
  <c r="CG141" i="12"/>
  <c r="CO141" i="12"/>
  <c r="CW141" i="12"/>
  <c r="J139" i="12"/>
  <c r="R139" i="12"/>
  <c r="Z139" i="12"/>
  <c r="AH139" i="12"/>
  <c r="AP139" i="12"/>
  <c r="AX139" i="12"/>
  <c r="BF139" i="12"/>
  <c r="BN139" i="12"/>
  <c r="BV139" i="12"/>
  <c r="CD139" i="12"/>
  <c r="CL139" i="12"/>
  <c r="CT139" i="12"/>
  <c r="H140" i="12"/>
  <c r="P140" i="12"/>
  <c r="X140" i="12"/>
  <c r="AF140" i="12"/>
  <c r="AN140" i="12"/>
  <c r="AV140" i="12"/>
  <c r="BD140" i="12"/>
  <c r="BL140" i="12"/>
  <c r="BT140" i="12"/>
  <c r="CB140" i="12"/>
  <c r="CJ140" i="12"/>
  <c r="CR140" i="12"/>
  <c r="CZ140" i="12"/>
  <c r="N141" i="12"/>
  <c r="V141" i="12"/>
  <c r="AD141" i="12"/>
  <c r="AL141" i="12"/>
  <c r="AT141" i="12"/>
  <c r="BB141" i="12"/>
  <c r="BJ141" i="12"/>
  <c r="BR141" i="12"/>
  <c r="BZ141" i="12"/>
  <c r="CH141" i="12"/>
  <c r="CP141" i="12"/>
  <c r="CX141" i="12"/>
  <c r="O141" i="12"/>
  <c r="W141" i="12"/>
  <c r="AE141" i="12"/>
  <c r="AM141" i="12"/>
  <c r="AU141" i="12"/>
  <c r="BC141" i="12"/>
  <c r="BK141" i="12"/>
  <c r="BS141" i="12"/>
  <c r="CA141" i="12"/>
  <c r="CI141" i="12"/>
  <c r="CQ141" i="12"/>
  <c r="CY141" i="12"/>
  <c r="L139" i="12"/>
  <c r="T139" i="12"/>
  <c r="AB139" i="12"/>
  <c r="AJ139" i="12"/>
  <c r="AR139" i="12"/>
  <c r="AZ139" i="12"/>
  <c r="BH139" i="12"/>
  <c r="BP139" i="12"/>
  <c r="BX139" i="12"/>
  <c r="CF139" i="12"/>
  <c r="CN139" i="12"/>
  <c r="J140" i="12"/>
  <c r="R140" i="12"/>
  <c r="Z140" i="12"/>
  <c r="AH140" i="12"/>
  <c r="AP140" i="12"/>
  <c r="AX140" i="12"/>
  <c r="BF140" i="12"/>
  <c r="BN140" i="12"/>
  <c r="BV140" i="12"/>
  <c r="CD140" i="12"/>
  <c r="CL140" i="12"/>
  <c r="H141" i="12"/>
  <c r="P141" i="12"/>
  <c r="X141" i="12"/>
  <c r="AF141" i="12"/>
  <c r="AN141" i="12"/>
  <c r="AV141" i="12"/>
  <c r="BD141" i="12"/>
  <c r="BL141" i="12"/>
  <c r="BT141" i="12"/>
  <c r="CB141" i="12"/>
  <c r="CJ141" i="12"/>
  <c r="CR141" i="12"/>
  <c r="J41" i="33"/>
  <c r="C55" i="6" l="1"/>
  <c r="B26" i="35"/>
  <c r="B25" i="35"/>
  <c r="B24" i="35"/>
  <c r="B23" i="35"/>
  <c r="B22" i="35"/>
  <c r="B21" i="35"/>
  <c r="B20" i="35"/>
  <c r="B19" i="35"/>
  <c r="B18" i="35"/>
  <c r="P134" i="15"/>
  <c r="P133" i="15"/>
  <c r="P132" i="15"/>
  <c r="P131" i="15"/>
  <c r="G19" i="113"/>
  <c r="G21" i="113" s="1"/>
  <c r="G12" i="113"/>
  <c r="G15" i="113" s="1"/>
  <c r="G18" i="113" l="1"/>
  <c r="G23" i="113" s="1"/>
  <c r="G26" i="113" s="1"/>
  <c r="G25" i="113"/>
  <c r="G27" i="113" l="1"/>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V23" i="119" l="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0" i="6"/>
  <c r="C139" i="6"/>
  <c r="F81" i="6"/>
  <c r="C3" i="24"/>
  <c r="C11" i="35"/>
  <c r="F82" i="6"/>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0" i="6"/>
  <c r="E110" i="6" s="1"/>
  <c r="C12" i="35"/>
  <c r="F13" i="24"/>
  <c r="F14" i="24"/>
  <c r="F15" i="24"/>
  <c r="F16" i="24"/>
  <c r="F17" i="24"/>
  <c r="F18" i="24"/>
  <c r="F19" i="24"/>
  <c r="F20" i="24"/>
  <c r="F21" i="24"/>
  <c r="F22" i="24"/>
  <c r="F23" i="24"/>
  <c r="F24" i="24"/>
  <c r="F25" i="24"/>
  <c r="F26" i="24"/>
  <c r="E89" i="6"/>
  <c r="C89" i="6"/>
  <c r="E145" i="6"/>
  <c r="C145" i="6"/>
  <c r="E108" i="6"/>
  <c r="C108" i="6"/>
  <c r="E99" i="6"/>
  <c r="C99" i="6"/>
  <c r="C9" i="35"/>
  <c r="B15" i="24"/>
  <c r="B16" i="24"/>
  <c r="B17" i="24"/>
  <c r="B18" i="24"/>
  <c r="B19" i="24"/>
  <c r="B20" i="24"/>
  <c r="B21" i="24"/>
  <c r="B22" i="24"/>
  <c r="B23" i="24"/>
  <c r="B24" i="24"/>
  <c r="B25" i="24"/>
  <c r="B26" i="24"/>
  <c r="C129" i="6"/>
  <c r="B130"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1"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2"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AI507" i="11"/>
  <c r="D54" i="119"/>
  <c r="D189" i="119"/>
  <c r="D191" i="119"/>
  <c r="G60" i="119"/>
  <c r="G189" i="119"/>
  <c r="G191" i="119"/>
  <c r="E56" i="119"/>
  <c r="E189" i="119"/>
  <c r="E249" i="119" s="1"/>
  <c r="E191" i="119"/>
  <c r="H6" i="119"/>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AI277" i="11"/>
  <c r="AX277" i="11" s="1"/>
  <c r="BM277" i="11" s="1"/>
  <c r="BR277" i="11"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AJ32" i="12" s="1"/>
  <c r="G96" i="12"/>
  <c r="AQ34" i="12"/>
  <c r="G7" i="12"/>
  <c r="H38" i="34"/>
  <c r="B116" i="34"/>
  <c r="G49" i="11"/>
  <c r="G50" i="11" s="1"/>
  <c r="G10" i="12"/>
  <c r="D100" i="6"/>
  <c r="E100"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5" i="6"/>
  <c r="P5" i="19"/>
  <c r="AA94" i="12"/>
  <c r="AP34" i="12"/>
  <c r="AJ98" i="12"/>
  <c r="AR94" i="12"/>
  <c r="AE34" i="12"/>
  <c r="AE98" i="12"/>
  <c r="AT94" i="12"/>
  <c r="BD94" i="12"/>
  <c r="AU94" i="12"/>
  <c r="AI94" i="12"/>
  <c r="AS94" i="12"/>
  <c r="T98" i="12"/>
  <c r="N18" i="12"/>
  <c r="D91"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R7" i="12" s="1"/>
  <c r="F27" i="12"/>
  <c r="F63" i="12"/>
  <c r="F29" i="12"/>
  <c r="F91" i="12"/>
  <c r="F60" i="12"/>
  <c r="F62" i="12"/>
  <c r="F25" i="12"/>
  <c r="F93" i="12"/>
  <c r="F8" i="12"/>
  <c r="F59" i="12"/>
  <c r="F9" i="12"/>
  <c r="AP2" i="19"/>
  <c r="AA2" i="19"/>
  <c r="BT2" i="19"/>
  <c r="Y95" i="12"/>
  <c r="BF64" i="12"/>
  <c r="AC64" i="12"/>
  <c r="AO64" i="12"/>
  <c r="E44" i="34"/>
  <c r="C44" i="34"/>
  <c r="AB31" i="12"/>
  <c r="BH31" i="12"/>
  <c r="BU31" i="12"/>
  <c r="BR31" i="12"/>
  <c r="F90" i="12"/>
  <c r="I79" i="18"/>
  <c r="I81" i="18"/>
  <c r="I80" i="18"/>
  <c r="AX392" i="11"/>
  <c r="S33" i="12"/>
  <c r="AA33" i="12"/>
  <c r="AK33" i="12"/>
  <c r="AC33" i="12"/>
  <c r="AA100" i="12"/>
  <c r="Z677" i="11"/>
  <c r="AA507" i="11" s="1"/>
  <c r="AB507" i="11" s="1"/>
  <c r="AC507" i="11" s="1"/>
  <c r="AD507" i="11" s="1"/>
  <c r="AE507" i="11" s="1"/>
  <c r="AF507" i="11" s="1"/>
  <c r="AG507" i="11" s="1"/>
  <c r="AH507" i="11" s="1"/>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Z550" i="11"/>
  <c r="AA380" i="11" s="1"/>
  <c r="AB380" i="11" s="1"/>
  <c r="AC380" i="11" s="1"/>
  <c r="AD380" i="11" s="1"/>
  <c r="AE380" i="11" s="1"/>
  <c r="AF380" i="11" s="1"/>
  <c r="AG380" i="11" s="1"/>
  <c r="AH380" i="11" s="1"/>
  <c r="AX380" i="11"/>
  <c r="F65" i="12"/>
  <c r="F97" i="12"/>
  <c r="AG97" i="12" s="1"/>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E32" i="34" s="1"/>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AL28"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32" i="35"/>
  <c r="F32" i="35" s="1"/>
  <c r="AJ68" i="12"/>
  <c r="D92" i="6"/>
  <c r="E92" i="6" s="1"/>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T9" i="12"/>
  <c r="AF9"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3"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4" i="6"/>
  <c r="E94" i="6" s="1"/>
  <c r="D28" i="35"/>
  <c r="D33" i="35"/>
  <c r="F33" i="35" s="1"/>
  <c r="D90" i="6"/>
  <c r="D93" i="6"/>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4" i="6"/>
  <c r="I17" i="12"/>
  <c r="Z34" i="12"/>
  <c r="AM12" i="12"/>
  <c r="BN12" i="12"/>
  <c r="K17" i="12"/>
  <c r="T66" i="12"/>
  <c r="H12" i="12"/>
  <c r="M12" i="12"/>
  <c r="D95" i="6"/>
  <c r="E95" i="6" s="1"/>
  <c r="D29" i="35"/>
  <c r="AL95" i="12"/>
  <c r="AK95" i="12"/>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6" i="6"/>
  <c r="D157"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C86" i="119"/>
  <c r="D86" i="119" s="1"/>
  <c r="F58" i="119"/>
  <c r="N101" i="119"/>
  <c r="N107" i="119"/>
  <c r="N103" i="119"/>
  <c r="N105" i="119"/>
  <c r="N104" i="119"/>
  <c r="N106" i="119"/>
  <c r="N102" i="119"/>
  <c r="B68" i="6"/>
  <c r="B67" i="6"/>
  <c r="B66" i="6"/>
  <c r="C281" i="15"/>
  <c r="C25" i="33"/>
  <c r="B16" i="13" l="1"/>
  <c r="AY276" i="11"/>
  <c r="AZ276" i="11" s="1"/>
  <c r="BA276" i="11" s="1"/>
  <c r="BB276" i="11" s="1"/>
  <c r="BC276" i="11" s="1"/>
  <c r="BD276" i="11" s="1"/>
  <c r="BE276" i="11" s="1"/>
  <c r="BF276" i="11" s="1"/>
  <c r="BG276" i="11" s="1"/>
  <c r="BH276" i="11" s="1"/>
  <c r="BI276" i="11" s="1"/>
  <c r="BJ276" i="11" s="1"/>
  <c r="BK276" i="11" s="1"/>
  <c r="BL276" i="11" s="1"/>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E276" i="11"/>
  <c r="AF276" i="11" s="1"/>
  <c r="AG276" i="11" s="1"/>
  <c r="AH276" i="11" s="1"/>
  <c r="BN276" i="11"/>
  <c r="BO276" i="11" s="1"/>
  <c r="BP276" i="11" s="1"/>
  <c r="BQ276" i="11" s="1"/>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AJ358" i="11"/>
  <c r="AK358" i="11" s="1"/>
  <c r="AL358" i="11" s="1"/>
  <c r="AM358" i="11" s="1"/>
  <c r="AN358" i="11" s="1"/>
  <c r="AO358" i="11" s="1"/>
  <c r="AP358" i="11" s="1"/>
  <c r="AQ358" i="11" s="1"/>
  <c r="AR358" i="11" s="1"/>
  <c r="AS358" i="11" s="1"/>
  <c r="AT358" i="11" s="1"/>
  <c r="AU358" i="11" s="1"/>
  <c r="AV358" i="11" s="1"/>
  <c r="AW358" i="11" s="1"/>
  <c r="O14" i="12"/>
  <c r="P14" i="12" s="1"/>
  <c r="Q14" i="12" s="1"/>
  <c r="R14" i="12" s="1"/>
  <c r="S14" i="12" s="1"/>
  <c r="T14" i="12" s="1"/>
  <c r="C143" i="6"/>
  <c r="C130" i="6"/>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AS67" i="12"/>
  <c r="AT67" i="12" s="1"/>
  <c r="AU67" i="12" s="1"/>
  <c r="AV67" i="12" s="1"/>
  <c r="AW67" i="12" s="1"/>
  <c r="AX67" i="12" s="1"/>
  <c r="AY67" i="12" s="1"/>
  <c r="AZ67" i="12" s="1"/>
  <c r="BA67" i="12" s="1"/>
  <c r="D66" i="15"/>
  <c r="M66" i="15" s="1"/>
  <c r="C34" i="34"/>
  <c r="E63" i="34" s="1"/>
  <c r="I49" i="14"/>
  <c r="C102" i="34"/>
  <c r="D102" i="34"/>
  <c r="B115" i="34"/>
  <c r="E37" i="34"/>
  <c r="H32" i="34"/>
  <c r="B110" i="34"/>
  <c r="B61" i="34"/>
  <c r="C117" i="34"/>
  <c r="D117" i="34"/>
  <c r="W66" i="15"/>
  <c r="E117" i="34"/>
  <c r="F102" i="34"/>
  <c r="F117" i="34"/>
  <c r="C49" i="14"/>
  <c r="B97" i="14" s="1"/>
  <c r="U65" i="15" s="1"/>
  <c r="E68" i="34"/>
  <c r="D68" i="34"/>
  <c r="C98" i="34"/>
  <c r="C35" i="34"/>
  <c r="E64" i="34" s="1"/>
  <c r="D98" i="34"/>
  <c r="E98" i="34"/>
  <c r="V49" i="14"/>
  <c r="L49" i="14"/>
  <c r="L66" i="15"/>
  <c r="B66" i="34"/>
  <c r="K49" i="14"/>
  <c r="W49" i="14"/>
  <c r="H49" i="14"/>
  <c r="O49" i="14"/>
  <c r="T49" i="14"/>
  <c r="M49" i="14"/>
  <c r="K66" i="15"/>
  <c r="N49" i="14"/>
  <c r="J49" i="14"/>
  <c r="U49" i="14"/>
  <c r="S49" i="14"/>
  <c r="G49" i="14"/>
  <c r="AI8" i="12"/>
  <c r="AJ8" i="12" s="1"/>
  <c r="AK8" i="12" s="1"/>
  <c r="AL8" i="12" s="1"/>
  <c r="AM8" i="12" s="1"/>
  <c r="AN8" i="12" s="1"/>
  <c r="AO8" i="12" s="1"/>
  <c r="AP8" i="12" s="1"/>
  <c r="AQ8" i="12" s="1"/>
  <c r="AR8" i="12" s="1"/>
  <c r="AS8" i="12" s="1"/>
  <c r="AT8" i="12" s="1"/>
  <c r="AU8" i="12" s="1"/>
  <c r="AV8" i="12" s="1"/>
  <c r="AW8" i="12" s="1"/>
  <c r="AX8" i="12" s="1"/>
  <c r="AY8" i="12" s="1"/>
  <c r="AZ8" i="12" s="1"/>
  <c r="BA8" i="12" s="1"/>
  <c r="BQ8" i="12"/>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25" i="24"/>
  <c r="H25" i="24" s="1"/>
  <c r="F28" i="35"/>
  <c r="F29" i="35"/>
  <c r="C26" i="24"/>
  <c r="H26" i="24" s="1"/>
  <c r="C33" i="34"/>
  <c r="C111" i="34" s="1"/>
  <c r="C67" i="15"/>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AF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D281" i="15"/>
  <c r="C67" i="6"/>
  <c r="C282" i="15"/>
  <c r="B17" i="13" l="1"/>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C63" i="34"/>
  <c r="E112" i="34"/>
  <c r="C180" i="119"/>
  <c r="C179" i="119"/>
  <c r="C178" i="119"/>
  <c r="C177" i="119"/>
  <c r="C176" i="119"/>
  <c r="D34" i="34"/>
  <c r="C112" i="34"/>
  <c r="D112" i="34"/>
  <c r="D63" i="34"/>
  <c r="C113" i="34"/>
  <c r="D113" i="34"/>
  <c r="E113" i="34"/>
  <c r="C64" i="34"/>
  <c r="F98" i="34"/>
  <c r="X49" i="14"/>
  <c r="D35" i="34"/>
  <c r="D64" i="34"/>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E111" i="34"/>
  <c r="D111" i="34"/>
  <c r="D62" i="34"/>
  <c r="E62" i="34"/>
  <c r="C62" i="34"/>
  <c r="D33" i="3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AF67" i="15"/>
  <c r="D67" i="15"/>
  <c r="M67" i="15" s="1"/>
  <c r="W67" i="15"/>
  <c r="K67" i="15"/>
  <c r="A51" i="14"/>
  <c r="A99" i="14"/>
  <c r="C99" i="14" s="1"/>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R27" i="12"/>
  <c r="BS27" i="12" s="1"/>
  <c r="BT27" i="12" s="1"/>
  <c r="BU27"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C140" i="15"/>
  <c r="E140" i="15"/>
  <c r="D140" i="15"/>
  <c r="D282" i="15"/>
  <c r="B18" i="13" l="1"/>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C141" i="15"/>
  <c r="E141" i="15"/>
  <c r="B19" i="13" l="1"/>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B20" i="13" l="1"/>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E103"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C144" i="15"/>
  <c r="E144" i="15"/>
  <c r="B74" i="15" l="1"/>
  <c r="A23" i="13" s="1"/>
  <c r="A22" i="13"/>
  <c r="B22" i="13"/>
  <c r="B23" i="13" s="1"/>
  <c r="B75" i="15"/>
  <c r="A24" i="13" s="1"/>
  <c r="B29" i="17"/>
  <c r="C28" i="17"/>
  <c r="C73" i="15"/>
  <c r="C74" i="15" s="1"/>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C145" i="15"/>
  <c r="E145" i="15"/>
  <c r="B24" i="13" l="1"/>
  <c r="B76" i="15"/>
  <c r="AF74" i="15"/>
  <c r="L74" i="15"/>
  <c r="A58" i="14"/>
  <c r="A106" i="14"/>
  <c r="C106" i="14" s="1"/>
  <c r="D74" i="15"/>
  <c r="M74" i="15" s="1"/>
  <c r="H74" i="15"/>
  <c r="K74" i="15"/>
  <c r="W74" i="15"/>
  <c r="C75" i="15"/>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B77" i="15" l="1"/>
  <c r="A26" i="13" s="1"/>
  <c r="A25" i="13"/>
  <c r="B25" i="13" s="1"/>
  <c r="B26" i="13" s="1"/>
  <c r="C76" i="15"/>
  <c r="B78" i="15"/>
  <c r="A27" i="13" s="1"/>
  <c r="K75" i="15"/>
  <c r="L75" i="15"/>
  <c r="A107" i="14"/>
  <c r="C107" i="14" s="1"/>
  <c r="H75" i="15"/>
  <c r="AF75" i="15"/>
  <c r="W75" i="15"/>
  <c r="A59" i="14"/>
  <c r="D75" i="15"/>
  <c r="M75" i="15" s="1"/>
  <c r="C30" i="17"/>
  <c r="B31" i="17"/>
  <c r="A148" i="15"/>
  <c r="A195" i="15" s="1"/>
  <c r="A27" i="17"/>
  <c r="A75" i="15"/>
  <c r="E74" i="15"/>
  <c r="Q147" i="15"/>
  <c r="R147" i="15"/>
  <c r="V147" i="15"/>
  <c r="L147" i="15"/>
  <c r="T147" i="15"/>
  <c r="P147" i="15"/>
  <c r="M147" i="15"/>
  <c r="U147" i="15"/>
  <c r="I147" i="15"/>
  <c r="H147" i="15"/>
  <c r="N147" i="15"/>
  <c r="C147" i="15"/>
  <c r="E147" i="15"/>
  <c r="D147" i="15"/>
  <c r="B27" i="13" l="1"/>
  <c r="A60" i="14"/>
  <c r="L76" i="15"/>
  <c r="H76" i="15"/>
  <c r="W76" i="15"/>
  <c r="C77" i="15"/>
  <c r="C78" i="15" s="1"/>
  <c r="A110" i="14" s="1"/>
  <c r="C110" i="14" s="1"/>
  <c r="AF76" i="15"/>
  <c r="A108" i="14"/>
  <c r="C108" i="14" s="1"/>
  <c r="D76" i="15"/>
  <c r="M76" i="15" s="1"/>
  <c r="K76" i="15"/>
  <c r="B79" i="15"/>
  <c r="A28" i="13" s="1"/>
  <c r="C31" i="17"/>
  <c r="B32" i="17"/>
  <c r="P148" i="15"/>
  <c r="U148" i="15"/>
  <c r="L148" i="15"/>
  <c r="Q148" i="15"/>
  <c r="R148" i="15"/>
  <c r="M148" i="15"/>
  <c r="H148" i="15"/>
  <c r="N148" i="15"/>
  <c r="V148" i="15"/>
  <c r="T148" i="15"/>
  <c r="I148" i="15"/>
  <c r="A149" i="15"/>
  <c r="A196" i="15" s="1"/>
  <c r="A28" i="17"/>
  <c r="A76" i="15"/>
  <c r="E75" i="15"/>
  <c r="E148" i="15"/>
  <c r="D148" i="15"/>
  <c r="C148" i="15"/>
  <c r="B28" i="13" l="1"/>
  <c r="C79" i="15"/>
  <c r="A63" i="14" s="1"/>
  <c r="A62" i="14"/>
  <c r="D78" i="15"/>
  <c r="M78" i="15" s="1"/>
  <c r="W78" i="15"/>
  <c r="K78" i="15"/>
  <c r="D77" i="15"/>
  <c r="M77" i="15" s="1"/>
  <c r="H77" i="15"/>
  <c r="A109" i="14"/>
  <c r="C109" i="14" s="1"/>
  <c r="K77" i="15"/>
  <c r="L77" i="15"/>
  <c r="W77" i="15"/>
  <c r="A61" i="14"/>
  <c r="AF77" i="15"/>
  <c r="L78" i="15"/>
  <c r="AF78" i="15"/>
  <c r="H78" i="15"/>
  <c r="B80" i="15"/>
  <c r="A29" i="13" s="1"/>
  <c r="B33" i="17"/>
  <c r="C32" i="17"/>
  <c r="P149" i="15"/>
  <c r="Q149" i="15"/>
  <c r="H149" i="15"/>
  <c r="I149" i="15"/>
  <c r="N149" i="15"/>
  <c r="R149" i="15"/>
  <c r="V149" i="15"/>
  <c r="M149" i="15"/>
  <c r="L149" i="15"/>
  <c r="T149" i="15"/>
  <c r="U149" i="15"/>
  <c r="A29" i="17"/>
  <c r="A150" i="15"/>
  <c r="A197" i="15" s="1"/>
  <c r="A77" i="15"/>
  <c r="E76" i="15"/>
  <c r="D149" i="15"/>
  <c r="C149" i="15"/>
  <c r="E149" i="15"/>
  <c r="B29" i="13" l="1"/>
  <c r="K79" i="15"/>
  <c r="H79" i="15"/>
  <c r="W79" i="15"/>
  <c r="C80" i="15"/>
  <c r="A64" i="14" s="1"/>
  <c r="A111" i="14"/>
  <c r="C111" i="14" s="1"/>
  <c r="L79" i="15"/>
  <c r="D79" i="15"/>
  <c r="M79" i="15" s="1"/>
  <c r="AF79" i="15"/>
  <c r="B81" i="15"/>
  <c r="A30" i="13" s="1"/>
  <c r="C33" i="17"/>
  <c r="B34" i="17"/>
  <c r="A30" i="17"/>
  <c r="A151" i="15"/>
  <c r="A198" i="15" s="1"/>
  <c r="A78" i="15"/>
  <c r="E77" i="15"/>
  <c r="P150" i="15"/>
  <c r="U150" i="15"/>
  <c r="I150" i="15"/>
  <c r="R150" i="15"/>
  <c r="Q150" i="15"/>
  <c r="V150" i="15"/>
  <c r="L150" i="15"/>
  <c r="N150" i="15"/>
  <c r="T150" i="15"/>
  <c r="M150" i="15"/>
  <c r="H150" i="15"/>
  <c r="E150" i="15"/>
  <c r="D150" i="15"/>
  <c r="C150" i="15"/>
  <c r="B30" i="13" l="1"/>
  <c r="AF80" i="15"/>
  <c r="W80" i="15"/>
  <c r="H80" i="15"/>
  <c r="A112" i="14"/>
  <c r="C112" i="14" s="1"/>
  <c r="D80" i="15"/>
  <c r="M80" i="15" s="1"/>
  <c r="K80" i="15"/>
  <c r="L80" i="15"/>
  <c r="C81" i="15"/>
  <c r="W81" i="15" s="1"/>
  <c r="B82" i="15"/>
  <c r="B35" i="17"/>
  <c r="C34" i="17"/>
  <c r="A31" i="17"/>
  <c r="A152" i="15"/>
  <c r="A199" i="15" s="1"/>
  <c r="A79" i="15"/>
  <c r="E78" i="15"/>
  <c r="Q151" i="15"/>
  <c r="P151" i="15"/>
  <c r="T151" i="15"/>
  <c r="U151" i="15"/>
  <c r="I151" i="15"/>
  <c r="V151" i="15"/>
  <c r="L151" i="15"/>
  <c r="R151" i="15"/>
  <c r="N151" i="15"/>
  <c r="H151" i="15"/>
  <c r="M151" i="15"/>
  <c r="C151" i="15"/>
  <c r="E151" i="15"/>
  <c r="D151" i="15"/>
  <c r="B83" i="15" l="1"/>
  <c r="A32" i="13" s="1"/>
  <c r="A31" i="13"/>
  <c r="B31" i="13"/>
  <c r="B32" i="13" s="1"/>
  <c r="A113" i="14"/>
  <c r="C113" i="14" s="1"/>
  <c r="H81" i="15"/>
  <c r="D81" i="15"/>
  <c r="M81" i="15" s="1"/>
  <c r="AF81" i="15"/>
  <c r="L81" i="15"/>
  <c r="C82" i="15"/>
  <c r="K82" i="15" s="1"/>
  <c r="K81" i="15"/>
  <c r="A65" i="14"/>
  <c r="B84" i="15"/>
  <c r="A33" i="13" s="1"/>
  <c r="B36" i="17"/>
  <c r="C35" i="17"/>
  <c r="A32" i="17"/>
  <c r="A153" i="15"/>
  <c r="A200" i="15" s="1"/>
  <c r="A80" i="15"/>
  <c r="E79" i="15"/>
  <c r="P152" i="15"/>
  <c r="Q152" i="15"/>
  <c r="R152" i="15"/>
  <c r="H152" i="15"/>
  <c r="N152" i="15"/>
  <c r="I152" i="15"/>
  <c r="U152" i="15"/>
  <c r="T152" i="15"/>
  <c r="M152" i="15"/>
  <c r="L152" i="15"/>
  <c r="V152" i="15"/>
  <c r="C152" i="15"/>
  <c r="E152" i="15"/>
  <c r="D152" i="15"/>
  <c r="B33" i="13" l="1"/>
  <c r="D82" i="15"/>
  <c r="M82" i="15" s="1"/>
  <c r="A114" i="14"/>
  <c r="C114" i="14" s="1"/>
  <c r="C83" i="15"/>
  <c r="D83" i="15" s="1"/>
  <c r="M83" i="15" s="1"/>
  <c r="W82" i="15"/>
  <c r="A66" i="14"/>
  <c r="H82" i="15"/>
  <c r="AF82" i="15"/>
  <c r="L82" i="15"/>
  <c r="B37" i="17"/>
  <c r="C36" i="17"/>
  <c r="B85" i="15"/>
  <c r="A34" i="13" s="1"/>
  <c r="B34" i="13" s="1"/>
  <c r="A33" i="17"/>
  <c r="A154" i="15"/>
  <c r="A201" i="15" s="1"/>
  <c r="A81" i="15"/>
  <c r="E80" i="15"/>
  <c r="M153" i="15"/>
  <c r="V153" i="15"/>
  <c r="P153" i="15"/>
  <c r="R153" i="15"/>
  <c r="L153" i="15"/>
  <c r="H153" i="15"/>
  <c r="Q153" i="15"/>
  <c r="N153" i="15"/>
  <c r="T153" i="15"/>
  <c r="I153" i="15"/>
  <c r="U153" i="15"/>
  <c r="C153" i="15"/>
  <c r="D153" i="15"/>
  <c r="E153" i="15"/>
  <c r="A67" i="14" l="1"/>
  <c r="H83" i="15"/>
  <c r="A115" i="14"/>
  <c r="C115" i="14" s="1"/>
  <c r="W83" i="15"/>
  <c r="L83" i="15"/>
  <c r="C84" i="15"/>
  <c r="L84" i="15" s="1"/>
  <c r="AF83" i="15"/>
  <c r="K83" i="15"/>
  <c r="B38" i="17"/>
  <c r="C37" i="17"/>
  <c r="B86" i="15"/>
  <c r="A35" i="13" s="1"/>
  <c r="B35" i="13" s="1"/>
  <c r="P154" i="15"/>
  <c r="I154" i="15"/>
  <c r="R154" i="15"/>
  <c r="M154" i="15"/>
  <c r="H154" i="15"/>
  <c r="L154" i="15"/>
  <c r="N154" i="15"/>
  <c r="Q154" i="15"/>
  <c r="U154" i="15"/>
  <c r="V154" i="15"/>
  <c r="T154" i="15"/>
  <c r="A34" i="17"/>
  <c r="A155" i="15"/>
  <c r="A202" i="15" s="1"/>
  <c r="A82" i="15"/>
  <c r="E81" i="15"/>
  <c r="D154" i="15"/>
  <c r="C154" i="15"/>
  <c r="E154" i="15"/>
  <c r="A68" i="14" l="1"/>
  <c r="AF84" i="15"/>
  <c r="W84" i="15"/>
  <c r="A116" i="14"/>
  <c r="C116" i="14" s="1"/>
  <c r="H84" i="15"/>
  <c r="K84" i="15"/>
  <c r="C85" i="15"/>
  <c r="K85" i="15" s="1"/>
  <c r="D84" i="15"/>
  <c r="M84" i="15" s="1"/>
  <c r="C38" i="17"/>
  <c r="B39" i="17"/>
  <c r="B87" i="15"/>
  <c r="A156" i="15"/>
  <c r="A203" i="15" s="1"/>
  <c r="A35" i="17"/>
  <c r="A83" i="15"/>
  <c r="E82" i="15"/>
  <c r="Q155" i="15"/>
  <c r="P155" i="15"/>
  <c r="T155" i="15"/>
  <c r="M155" i="15"/>
  <c r="I155" i="15"/>
  <c r="V155" i="15"/>
  <c r="N155" i="15"/>
  <c r="L155" i="15"/>
  <c r="H155" i="15"/>
  <c r="U155" i="15"/>
  <c r="R155" i="15"/>
  <c r="E155" i="15"/>
  <c r="D155" i="15"/>
  <c r="C155" i="15"/>
  <c r="B88" i="15" l="1"/>
  <c r="A37" i="13" s="1"/>
  <c r="A36" i="13"/>
  <c r="B36" i="13" s="1"/>
  <c r="B37" i="13" s="1"/>
  <c r="W85" i="15"/>
  <c r="A69" i="14"/>
  <c r="AF85" i="15"/>
  <c r="C86" i="15"/>
  <c r="A118" i="14" s="1"/>
  <c r="C118" i="14" s="1"/>
  <c r="D85" i="15"/>
  <c r="M85" i="15" s="1"/>
  <c r="H85" i="15"/>
  <c r="L85" i="15"/>
  <c r="A117" i="14"/>
  <c r="C117" i="14" s="1"/>
  <c r="B40" i="17"/>
  <c r="C39" i="17"/>
  <c r="B89" i="15"/>
  <c r="P156" i="15"/>
  <c r="V156" i="15"/>
  <c r="R156" i="15"/>
  <c r="Q156" i="15"/>
  <c r="H156" i="15"/>
  <c r="L156" i="15"/>
  <c r="N156" i="15"/>
  <c r="M156" i="15"/>
  <c r="U156" i="15"/>
  <c r="T156" i="15"/>
  <c r="I156" i="15"/>
  <c r="A36" i="17"/>
  <c r="A157" i="15"/>
  <c r="A204" i="15" s="1"/>
  <c r="A84" i="15"/>
  <c r="E83" i="15"/>
  <c r="C156" i="15"/>
  <c r="D156" i="15"/>
  <c r="E156" i="15"/>
  <c r="H86" i="15" l="1"/>
  <c r="B90" i="15"/>
  <c r="A39" i="13" s="1"/>
  <c r="A38" i="13"/>
  <c r="B38" i="13"/>
  <c r="B39" i="13" s="1"/>
  <c r="A70" i="14"/>
  <c r="K86" i="15"/>
  <c r="C87" i="15"/>
  <c r="C88" i="15" s="1"/>
  <c r="W86" i="15"/>
  <c r="AF86" i="15"/>
  <c r="L86" i="15"/>
  <c r="D86" i="15"/>
  <c r="M86" i="15" s="1"/>
  <c r="B91" i="15"/>
  <c r="A40" i="13" s="1"/>
  <c r="C40" i="17"/>
  <c r="B41" i="17"/>
  <c r="A37" i="17"/>
  <c r="A158" i="15"/>
  <c r="A205" i="15" s="1"/>
  <c r="A85" i="15"/>
  <c r="E84" i="15"/>
  <c r="Q157" i="15"/>
  <c r="P157" i="15"/>
  <c r="U157" i="15"/>
  <c r="L157" i="15"/>
  <c r="V157" i="15"/>
  <c r="N157" i="15"/>
  <c r="R157" i="15"/>
  <c r="H157" i="15"/>
  <c r="T157" i="15"/>
  <c r="I157" i="15"/>
  <c r="M157" i="15"/>
  <c r="E157" i="15"/>
  <c r="D157" i="15"/>
  <c r="C157" i="15"/>
  <c r="B40" i="13" l="1"/>
  <c r="W87" i="15"/>
  <c r="D87" i="15"/>
  <c r="K87" i="15"/>
  <c r="A71" i="14"/>
  <c r="H87" i="15"/>
  <c r="A119" i="14"/>
  <c r="C119" i="14" s="1"/>
  <c r="AF87" i="15"/>
  <c r="B42" i="17"/>
  <c r="C41" i="17"/>
  <c r="B92" i="15"/>
  <c r="A159" i="15"/>
  <c r="A206" i="15" s="1"/>
  <c r="A38" i="17"/>
  <c r="A86" i="15"/>
  <c r="E85" i="15"/>
  <c r="P158" i="15"/>
  <c r="Q158" i="15"/>
  <c r="I158" i="15"/>
  <c r="V158" i="15"/>
  <c r="L158" i="15"/>
  <c r="H158" i="15"/>
  <c r="U158" i="15"/>
  <c r="M158" i="15"/>
  <c r="T158" i="15"/>
  <c r="N158" i="15"/>
  <c r="R158" i="15"/>
  <c r="H88" i="15"/>
  <c r="L88" i="15"/>
  <c r="W88" i="15"/>
  <c r="A120" i="14"/>
  <c r="D88" i="15"/>
  <c r="M88" i="15" s="1"/>
  <c r="K88" i="15"/>
  <c r="AF88" i="15"/>
  <c r="A72" i="14"/>
  <c r="C89" i="15"/>
  <c r="E158" i="15"/>
  <c r="D158" i="15"/>
  <c r="C158" i="15"/>
  <c r="B93" i="15" l="1"/>
  <c r="A42" i="13" s="1"/>
  <c r="A41" i="13"/>
  <c r="B41" i="13"/>
  <c r="B42" i="13" s="1"/>
  <c r="B94" i="15"/>
  <c r="A43" i="13" s="1"/>
  <c r="C42" i="17"/>
  <c r="B43" i="17"/>
  <c r="AF89" i="15"/>
  <c r="A73" i="14"/>
  <c r="A121" i="14"/>
  <c r="K89" i="15"/>
  <c r="L89" i="15"/>
  <c r="W89" i="15"/>
  <c r="D89" i="15"/>
  <c r="M89" i="15" s="1"/>
  <c r="H89" i="15"/>
  <c r="C90" i="15"/>
  <c r="A160" i="15"/>
  <c r="A207" i="15" s="1"/>
  <c r="A39" i="17"/>
  <c r="A87" i="15"/>
  <c r="E86" i="15"/>
  <c r="Q159" i="15"/>
  <c r="P159" i="15"/>
  <c r="U159" i="15"/>
  <c r="I159" i="15"/>
  <c r="N159" i="15"/>
  <c r="H159" i="15"/>
  <c r="T159" i="15"/>
  <c r="R159" i="15"/>
  <c r="V159" i="15"/>
  <c r="L159" i="15"/>
  <c r="M159" i="15"/>
  <c r="E159" i="15"/>
  <c r="D159" i="15"/>
  <c r="C159" i="15"/>
  <c r="B43" i="13" l="1"/>
  <c r="B95" i="15"/>
  <c r="A44" i="13" s="1"/>
  <c r="C43" i="17"/>
  <c r="B44" i="17"/>
  <c r="A122" i="14"/>
  <c r="K90" i="15"/>
  <c r="AF90" i="15"/>
  <c r="W90" i="15"/>
  <c r="L90" i="15"/>
  <c r="D90" i="15"/>
  <c r="M90" i="15" s="1"/>
  <c r="H90" i="15"/>
  <c r="A74" i="14"/>
  <c r="C91" i="15"/>
  <c r="A40" i="17"/>
  <c r="A161" i="15"/>
  <c r="A208" i="15" s="1"/>
  <c r="A88" i="15"/>
  <c r="E87" i="15"/>
  <c r="P160" i="15"/>
  <c r="L160" i="15"/>
  <c r="M160" i="15"/>
  <c r="N160" i="15"/>
  <c r="U160" i="15"/>
  <c r="V160" i="15"/>
  <c r="Q160" i="15"/>
  <c r="T160" i="15"/>
  <c r="I160" i="15"/>
  <c r="R160" i="15"/>
  <c r="H160" i="15"/>
  <c r="D160" i="15"/>
  <c r="E160" i="15"/>
  <c r="C160" i="15"/>
  <c r="B44" i="13" l="1"/>
  <c r="B96" i="15"/>
  <c r="A45" i="13" s="1"/>
  <c r="C44" i="17"/>
  <c r="B45" i="17"/>
  <c r="K91" i="15"/>
  <c r="A123" i="14"/>
  <c r="AF91" i="15"/>
  <c r="L91" i="15"/>
  <c r="W91" i="15"/>
  <c r="A75" i="14"/>
  <c r="D91" i="15"/>
  <c r="M91" i="15" s="1"/>
  <c r="H91" i="15"/>
  <c r="C92" i="15"/>
  <c r="A162" i="15"/>
  <c r="A209" i="15" s="1"/>
  <c r="A41" i="17"/>
  <c r="A89" i="15"/>
  <c r="E88" i="15"/>
  <c r="Q161" i="15"/>
  <c r="L161" i="15"/>
  <c r="H161" i="15"/>
  <c r="R161" i="15"/>
  <c r="N161" i="15"/>
  <c r="I161" i="15"/>
  <c r="U161" i="15"/>
  <c r="T161" i="15"/>
  <c r="M161" i="15"/>
  <c r="P161" i="15"/>
  <c r="V161" i="15"/>
  <c r="D161" i="15"/>
  <c r="E161" i="15"/>
  <c r="C161" i="15"/>
  <c r="B45" i="13" l="1"/>
  <c r="B97" i="15"/>
  <c r="C45" i="17"/>
  <c r="B46" i="17"/>
  <c r="A163" i="15"/>
  <c r="A210" i="15" s="1"/>
  <c r="A42" i="17"/>
  <c r="A90" i="15"/>
  <c r="E89" i="15"/>
  <c r="AF92" i="15"/>
  <c r="A76" i="14"/>
  <c r="H92" i="15"/>
  <c r="A124" i="14"/>
  <c r="W92" i="15"/>
  <c r="D92" i="15"/>
  <c r="M92" i="15" s="1"/>
  <c r="L92" i="15"/>
  <c r="K92" i="15"/>
  <c r="C93" i="15"/>
  <c r="P162" i="15"/>
  <c r="Q162" i="15"/>
  <c r="T162" i="15"/>
  <c r="M162" i="15"/>
  <c r="H162" i="15"/>
  <c r="R162" i="15"/>
  <c r="N162" i="15"/>
  <c r="I162" i="15"/>
  <c r="U162" i="15"/>
  <c r="V162" i="15"/>
  <c r="L162" i="15"/>
  <c r="E162" i="15"/>
  <c r="D162" i="15"/>
  <c r="C162" i="15"/>
  <c r="B98" i="15" l="1"/>
  <c r="A47" i="13" s="1"/>
  <c r="A46" i="13"/>
  <c r="B46" i="13"/>
  <c r="B47" i="13" s="1"/>
  <c r="C46" i="17"/>
  <c r="B47" i="17"/>
  <c r="B99" i="15"/>
  <c r="A48" i="13" s="1"/>
  <c r="A164" i="15"/>
  <c r="A211" i="15" s="1"/>
  <c r="A43" i="17"/>
  <c r="A91" i="15"/>
  <c r="E90" i="15"/>
  <c r="Q163" i="15"/>
  <c r="T163" i="15"/>
  <c r="R163" i="15"/>
  <c r="V163" i="15"/>
  <c r="N163" i="15"/>
  <c r="P163" i="15"/>
  <c r="U163" i="15"/>
  <c r="H163" i="15"/>
  <c r="I163" i="15"/>
  <c r="M163" i="15"/>
  <c r="L163" i="15"/>
  <c r="D93" i="15"/>
  <c r="M93" i="15" s="1"/>
  <c r="H93" i="15"/>
  <c r="A125" i="14"/>
  <c r="A77" i="14"/>
  <c r="W93" i="15"/>
  <c r="K93" i="15"/>
  <c r="L93" i="15"/>
  <c r="AF93" i="15"/>
  <c r="C94" i="15"/>
  <c r="E163" i="15"/>
  <c r="D163" i="15"/>
  <c r="C163" i="15"/>
  <c r="B48" i="13" l="1"/>
  <c r="C47" i="17"/>
  <c r="B48" i="17"/>
  <c r="A126" i="14"/>
  <c r="A78" i="14"/>
  <c r="D94" i="15"/>
  <c r="M94" i="15" s="1"/>
  <c r="K94" i="15"/>
  <c r="AF94" i="15"/>
  <c r="W94" i="15"/>
  <c r="L94" i="15"/>
  <c r="H94" i="15"/>
  <c r="C95" i="15"/>
  <c r="P164" i="15"/>
  <c r="Q164" i="15"/>
  <c r="R164" i="15"/>
  <c r="N164" i="15"/>
  <c r="L164" i="15"/>
  <c r="T164" i="15"/>
  <c r="H164" i="15"/>
  <c r="U164" i="15"/>
  <c r="V164" i="15"/>
  <c r="M164" i="15"/>
  <c r="I164" i="15"/>
  <c r="B100" i="15"/>
  <c r="A49" i="13" s="1"/>
  <c r="A44" i="17"/>
  <c r="A165" i="15"/>
  <c r="A212" i="15" s="1"/>
  <c r="A92" i="15"/>
  <c r="E91" i="15"/>
  <c r="E164" i="15"/>
  <c r="C164" i="15"/>
  <c r="D164" i="15"/>
  <c r="B49" i="13" l="1"/>
  <c r="C48" i="17"/>
  <c r="B49" i="17"/>
  <c r="A45" i="17"/>
  <c r="A166" i="15"/>
  <c r="A213" i="15" s="1"/>
  <c r="A93" i="15"/>
  <c r="E92" i="15"/>
  <c r="P165" i="15"/>
  <c r="Q165" i="15"/>
  <c r="I165" i="15"/>
  <c r="M165" i="15"/>
  <c r="H165" i="15"/>
  <c r="L165" i="15"/>
  <c r="N165" i="15"/>
  <c r="R165" i="15"/>
  <c r="U165" i="15"/>
  <c r="V165" i="15"/>
  <c r="T165" i="15"/>
  <c r="B101" i="15"/>
  <c r="A50" i="13" s="1"/>
  <c r="H95" i="15"/>
  <c r="AF95" i="15"/>
  <c r="W95" i="15"/>
  <c r="A127" i="14"/>
  <c r="K95" i="15"/>
  <c r="L95" i="15"/>
  <c r="D95" i="15"/>
  <c r="M95" i="15" s="1"/>
  <c r="A79" i="14"/>
  <c r="C96" i="15"/>
  <c r="E165" i="15"/>
  <c r="D165" i="15"/>
  <c r="C165" i="15"/>
  <c r="B50" i="13" l="1"/>
  <c r="C121" i="14"/>
  <c r="C49" i="17"/>
  <c r="B50" i="17"/>
  <c r="A46" i="17"/>
  <c r="A167" i="15"/>
  <c r="A214" i="15" s="1"/>
  <c r="A94" i="15"/>
  <c r="E93" i="15"/>
  <c r="B102" i="15"/>
  <c r="A51" i="13" s="1"/>
  <c r="D96" i="15"/>
  <c r="M96" i="15" s="1"/>
  <c r="AF96" i="15"/>
  <c r="H96" i="15"/>
  <c r="A128" i="14"/>
  <c r="W96" i="15"/>
  <c r="L96" i="15"/>
  <c r="K96" i="15"/>
  <c r="A80" i="14"/>
  <c r="C97" i="15"/>
  <c r="P166" i="15"/>
  <c r="R166" i="15"/>
  <c r="V166" i="15"/>
  <c r="Q166" i="15"/>
  <c r="I166" i="15"/>
  <c r="L166" i="15"/>
  <c r="T166" i="15"/>
  <c r="H166" i="15"/>
  <c r="M166" i="15"/>
  <c r="U166" i="15"/>
  <c r="N166" i="15"/>
  <c r="D166" i="15"/>
  <c r="C166" i="15"/>
  <c r="E166" i="15"/>
  <c r="B51" i="13" l="1"/>
  <c r="C122" i="14"/>
  <c r="B51" i="17"/>
  <c r="C50" i="17"/>
  <c r="B103" i="15"/>
  <c r="A52" i="13" s="1"/>
  <c r="A168" i="15"/>
  <c r="A215" i="15" s="1"/>
  <c r="A47" i="17"/>
  <c r="A95" i="15"/>
  <c r="E94" i="15"/>
  <c r="Q167" i="15"/>
  <c r="P167" i="15"/>
  <c r="M167" i="15"/>
  <c r="U167" i="15"/>
  <c r="I167" i="15"/>
  <c r="V167" i="15"/>
  <c r="T167" i="15"/>
  <c r="R167" i="15"/>
  <c r="L167" i="15"/>
  <c r="N167" i="15"/>
  <c r="H167" i="15"/>
  <c r="W97" i="15"/>
  <c r="D97" i="15"/>
  <c r="M97" i="15" s="1"/>
  <c r="A81" i="14"/>
  <c r="K97" i="15"/>
  <c r="AF97" i="15"/>
  <c r="H97" i="15"/>
  <c r="A129" i="14"/>
  <c r="L97" i="15"/>
  <c r="C98" i="15"/>
  <c r="D167" i="15"/>
  <c r="E167" i="15"/>
  <c r="C167" i="15"/>
  <c r="B52" i="13" l="1"/>
  <c r="C123" i="14"/>
  <c r="B52" i="17"/>
  <c r="C51" i="17"/>
  <c r="B104" i="15"/>
  <c r="A53" i="13" s="1"/>
  <c r="L98" i="15"/>
  <c r="D98" i="15"/>
  <c r="M98" i="15" s="1"/>
  <c r="A130" i="14"/>
  <c r="AF98" i="15"/>
  <c r="K98" i="15"/>
  <c r="H98" i="15"/>
  <c r="A82" i="14"/>
  <c r="W98" i="15"/>
  <c r="C99" i="15"/>
  <c r="A169" i="15"/>
  <c r="A216" i="15" s="1"/>
  <c r="A48" i="17"/>
  <c r="A96" i="15"/>
  <c r="E95" i="15"/>
  <c r="P168" i="15"/>
  <c r="Q168" i="15"/>
  <c r="I168" i="15"/>
  <c r="V168" i="15"/>
  <c r="N168" i="15"/>
  <c r="M168" i="15"/>
  <c r="T168" i="15"/>
  <c r="L168" i="15"/>
  <c r="H168" i="15"/>
  <c r="U168" i="15"/>
  <c r="R168" i="15"/>
  <c r="E168" i="15"/>
  <c r="D168" i="15"/>
  <c r="C168" i="15"/>
  <c r="B53" i="13" l="1"/>
  <c r="C124" i="14"/>
  <c r="B53" i="17"/>
  <c r="C52" i="17"/>
  <c r="A49" i="17"/>
  <c r="A170" i="15"/>
  <c r="A217" i="15" s="1"/>
  <c r="A97" i="15"/>
  <c r="E96" i="15"/>
  <c r="W99" i="15"/>
  <c r="L99" i="15"/>
  <c r="D99" i="15"/>
  <c r="M99" i="15" s="1"/>
  <c r="AF99" i="15"/>
  <c r="K99" i="15"/>
  <c r="A83" i="14"/>
  <c r="A131" i="14"/>
  <c r="H99" i="15"/>
  <c r="C100" i="15"/>
  <c r="B105" i="15"/>
  <c r="A54" i="13" s="1"/>
  <c r="P169" i="15"/>
  <c r="M169" i="15"/>
  <c r="L169" i="15"/>
  <c r="Q169" i="15"/>
  <c r="N169" i="15"/>
  <c r="I169" i="15"/>
  <c r="V169" i="15"/>
  <c r="H169" i="15"/>
  <c r="R169" i="15"/>
  <c r="T169" i="15"/>
  <c r="U169" i="15"/>
  <c r="E169" i="15"/>
  <c r="D169" i="15"/>
  <c r="C169" i="15"/>
  <c r="B54" i="13" l="1"/>
  <c r="C53" i="17"/>
  <c r="B54" i="17"/>
  <c r="A171" i="15"/>
  <c r="A218" i="15" s="1"/>
  <c r="A50" i="17"/>
  <c r="A98" i="15"/>
  <c r="E97" i="15"/>
  <c r="AF100" i="15"/>
  <c r="L100" i="15"/>
  <c r="A132" i="14"/>
  <c r="H100" i="15"/>
  <c r="W100" i="15"/>
  <c r="K100" i="15"/>
  <c r="D100" i="15"/>
  <c r="M100" i="15" s="1"/>
  <c r="A84" i="14"/>
  <c r="C101" i="15"/>
  <c r="B106" i="15"/>
  <c r="A55" i="13" s="1"/>
  <c r="P170" i="15"/>
  <c r="Q170" i="15"/>
  <c r="L170" i="15"/>
  <c r="N170" i="15"/>
  <c r="R170" i="15"/>
  <c r="I170" i="15"/>
  <c r="T170" i="15"/>
  <c r="V170" i="15"/>
  <c r="U170" i="15"/>
  <c r="M170" i="15"/>
  <c r="H170" i="15"/>
  <c r="E170" i="15"/>
  <c r="D170" i="15"/>
  <c r="C170" i="15"/>
  <c r="B55" i="13" l="1"/>
  <c r="C125" i="14"/>
  <c r="C54" i="17"/>
  <c r="B55" i="17"/>
  <c r="A51" i="17"/>
  <c r="A172" i="15"/>
  <c r="A219" i="15" s="1"/>
  <c r="A99" i="15"/>
  <c r="E98" i="15"/>
  <c r="L101" i="15"/>
  <c r="H101" i="15"/>
  <c r="W101" i="15"/>
  <c r="K101" i="15"/>
  <c r="D101" i="15"/>
  <c r="M101" i="15" s="1"/>
  <c r="AF101" i="15"/>
  <c r="A133" i="14"/>
  <c r="A85" i="14"/>
  <c r="C102" i="15"/>
  <c r="Q171" i="15"/>
  <c r="P171" i="15"/>
  <c r="L171" i="15"/>
  <c r="H171" i="15"/>
  <c r="V171" i="15"/>
  <c r="T171" i="15"/>
  <c r="M171" i="15"/>
  <c r="U171" i="15"/>
  <c r="I171" i="15"/>
  <c r="N171" i="15"/>
  <c r="R171" i="15"/>
  <c r="B107" i="15"/>
  <c r="A56" i="13" s="1"/>
  <c r="E171" i="15"/>
  <c r="D171" i="15"/>
  <c r="C171" i="15"/>
  <c r="B56" i="13" l="1"/>
  <c r="F55" i="13"/>
  <c r="C56" i="13"/>
  <c r="C55" i="13"/>
  <c r="C126" i="14"/>
  <c r="C127" i="14"/>
  <c r="B56" i="17"/>
  <c r="C55" i="17"/>
  <c r="A52" i="17"/>
  <c r="A173" i="15"/>
  <c r="A220" i="15" s="1"/>
  <c r="A100" i="15"/>
  <c r="E99" i="15"/>
  <c r="B108" i="15"/>
  <c r="A57" i="13" s="1"/>
  <c r="K102" i="15"/>
  <c r="AF102" i="15"/>
  <c r="W102" i="15"/>
  <c r="A86" i="14"/>
  <c r="H102" i="15"/>
  <c r="D102" i="15"/>
  <c r="A134" i="14"/>
  <c r="C103" i="15"/>
  <c r="P172" i="15"/>
  <c r="L172" i="15"/>
  <c r="V172" i="15"/>
  <c r="U172" i="15"/>
  <c r="M172" i="15"/>
  <c r="N172" i="15"/>
  <c r="Q172" i="15"/>
  <c r="I172" i="15"/>
  <c r="H172" i="15"/>
  <c r="T172" i="15"/>
  <c r="R172" i="15"/>
  <c r="D172" i="15"/>
  <c r="C172" i="15"/>
  <c r="E172" i="15"/>
  <c r="B57" i="13" l="1"/>
  <c r="F56" i="13"/>
  <c r="C128" i="14"/>
  <c r="C56" i="17"/>
  <c r="B57" i="17"/>
  <c r="W103" i="15"/>
  <c r="L103" i="15"/>
  <c r="K103" i="15"/>
  <c r="A135" i="14"/>
  <c r="A87" i="14"/>
  <c r="AF103" i="15"/>
  <c r="H103" i="15"/>
  <c r="D103" i="15"/>
  <c r="M103" i="15" s="1"/>
  <c r="C104" i="15"/>
  <c r="A53" i="17"/>
  <c r="A174" i="15"/>
  <c r="A221" i="15" s="1"/>
  <c r="A101" i="15"/>
  <c r="E100" i="15"/>
  <c r="S108" i="15"/>
  <c r="B109" i="15"/>
  <c r="P173" i="15"/>
  <c r="Q173" i="15"/>
  <c r="V173" i="15"/>
  <c r="U173" i="15"/>
  <c r="M173" i="15"/>
  <c r="I173" i="15"/>
  <c r="L173" i="15"/>
  <c r="N173" i="15"/>
  <c r="H173" i="15"/>
  <c r="R173" i="15"/>
  <c r="T173" i="15"/>
  <c r="E173" i="15"/>
  <c r="D173" i="15"/>
  <c r="C173" i="15"/>
  <c r="C57" i="13" l="1"/>
  <c r="F57" i="13"/>
  <c r="E57" i="13"/>
  <c r="G57" i="13"/>
  <c r="C57" i="17"/>
  <c r="S109" i="15"/>
  <c r="B110" i="15"/>
  <c r="A175" i="15"/>
  <c r="A222" i="15" s="1"/>
  <c r="A54" i="17"/>
  <c r="A102" i="15"/>
  <c r="E101" i="15"/>
  <c r="P174" i="15"/>
  <c r="Q174" i="15"/>
  <c r="N174" i="15"/>
  <c r="T174" i="15"/>
  <c r="U174" i="15"/>
  <c r="I174" i="15"/>
  <c r="L174" i="15"/>
  <c r="H174" i="15"/>
  <c r="R174" i="15"/>
  <c r="V174" i="15"/>
  <c r="M174" i="15"/>
  <c r="D104" i="15"/>
  <c r="M104" i="15" s="1"/>
  <c r="A88" i="14"/>
  <c r="W104" i="15"/>
  <c r="H104" i="15"/>
  <c r="A136" i="14"/>
  <c r="L104" i="15"/>
  <c r="K104" i="15"/>
  <c r="AF104" i="15"/>
  <c r="C105" i="15"/>
  <c r="E174" i="15"/>
  <c r="D174" i="15"/>
  <c r="C174" i="15"/>
  <c r="D57" i="13" l="1"/>
  <c r="C129" i="14"/>
  <c r="D105" i="15"/>
  <c r="A137" i="14"/>
  <c r="A89" i="14"/>
  <c r="K105" i="15"/>
  <c r="W105" i="15"/>
  <c r="H105" i="15"/>
  <c r="AF105" i="15"/>
  <c r="C106" i="15"/>
  <c r="Q106" i="15" s="1"/>
  <c r="S110" i="15"/>
  <c r="B111" i="15"/>
  <c r="A176" i="15"/>
  <c r="A223" i="15" s="1"/>
  <c r="A55" i="17"/>
  <c r="A103" i="15"/>
  <c r="E102" i="15"/>
  <c r="Q175" i="15"/>
  <c r="N175" i="15"/>
  <c r="H175" i="15"/>
  <c r="L175" i="15"/>
  <c r="P175" i="15"/>
  <c r="R175" i="15"/>
  <c r="I175" i="15"/>
  <c r="U175" i="15"/>
  <c r="V175" i="15"/>
  <c r="T175" i="15"/>
  <c r="M175" i="15"/>
  <c r="C175" i="15"/>
  <c r="E175" i="15"/>
  <c r="D175" i="15"/>
  <c r="C130" i="14" l="1"/>
  <c r="L102" i="15"/>
  <c r="M102" i="15"/>
  <c r="P176" i="15"/>
  <c r="Q176" i="15"/>
  <c r="T176" i="15"/>
  <c r="H176" i="15"/>
  <c r="L176" i="15"/>
  <c r="I176" i="15"/>
  <c r="V176" i="15"/>
  <c r="N176" i="15"/>
  <c r="R176" i="15"/>
  <c r="U176" i="15"/>
  <c r="M176" i="15"/>
  <c r="A138" i="14"/>
  <c r="D106" i="15"/>
  <c r="M106" i="15" s="1"/>
  <c r="W106" i="15"/>
  <c r="AF106" i="15"/>
  <c r="A90" i="14"/>
  <c r="K106" i="15"/>
  <c r="L106" i="15"/>
  <c r="H106" i="15"/>
  <c r="C107" i="15"/>
  <c r="S111" i="15"/>
  <c r="B112" i="15"/>
  <c r="A56" i="17"/>
  <c r="A177" i="15"/>
  <c r="A224" i="15" s="1"/>
  <c r="A104" i="15"/>
  <c r="E103" i="15"/>
  <c r="D176" i="15"/>
  <c r="C176" i="15"/>
  <c r="E176" i="15"/>
  <c r="C108" i="15" l="1"/>
  <c r="Q108" i="15" s="1"/>
  <c r="Q107" i="15"/>
  <c r="A140" i="14"/>
  <c r="A92" i="14"/>
  <c r="K108" i="15"/>
  <c r="W108" i="15"/>
  <c r="Z108" i="15"/>
  <c r="C109" i="15"/>
  <c r="Q109" i="15" s="1"/>
  <c r="L108" i="15"/>
  <c r="AE108" i="15"/>
  <c r="H108" i="15"/>
  <c r="AF108" i="15"/>
  <c r="C131" i="14"/>
  <c r="P177" i="15"/>
  <c r="Q177" i="15"/>
  <c r="V177" i="15"/>
  <c r="L177" i="15"/>
  <c r="U177" i="15"/>
  <c r="N177" i="15"/>
  <c r="R177" i="15"/>
  <c r="T177" i="15"/>
  <c r="M177" i="15"/>
  <c r="I177" i="15"/>
  <c r="H177" i="15"/>
  <c r="D107" i="15"/>
  <c r="D108" i="15" s="1"/>
  <c r="M108" i="15" s="1"/>
  <c r="H107" i="15"/>
  <c r="AF107" i="15"/>
  <c r="K107" i="15"/>
  <c r="W107" i="15"/>
  <c r="A139" i="14"/>
  <c r="A91" i="14"/>
  <c r="S112" i="15"/>
  <c r="B113" i="15"/>
  <c r="A178" i="15"/>
  <c r="A225" i="15" s="1"/>
  <c r="A57" i="17"/>
  <c r="A105" i="15"/>
  <c r="E104" i="15"/>
  <c r="E177" i="15"/>
  <c r="D177" i="15"/>
  <c r="C177" i="15"/>
  <c r="Z109" i="15" l="1"/>
  <c r="W109" i="15"/>
  <c r="K109" i="15"/>
  <c r="A143" i="14"/>
  <c r="L109" i="15"/>
  <c r="AF109" i="15"/>
  <c r="C110" i="15"/>
  <c r="Q110" i="15" s="1"/>
  <c r="AE109" i="15"/>
  <c r="H109" i="15"/>
  <c r="D109" i="15"/>
  <c r="M109" i="15" s="1"/>
  <c r="C132" i="14"/>
  <c r="S113" i="15"/>
  <c r="P178" i="15"/>
  <c r="Q178" i="15"/>
  <c r="N178" i="15"/>
  <c r="R178" i="15"/>
  <c r="U178" i="15"/>
  <c r="I178" i="15"/>
  <c r="M178" i="15"/>
  <c r="V178" i="15"/>
  <c r="L178" i="15"/>
  <c r="H178" i="15"/>
  <c r="T178" i="15"/>
  <c r="A179" i="15"/>
  <c r="A226" i="15" s="1"/>
  <c r="A106" i="15"/>
  <c r="E105" i="15"/>
  <c r="D178" i="15"/>
  <c r="C178" i="15"/>
  <c r="E178" i="15"/>
  <c r="AF110" i="15" l="1"/>
  <c r="K110" i="15"/>
  <c r="D110" i="15"/>
  <c r="M110" i="15" s="1"/>
  <c r="H110" i="15"/>
  <c r="W110" i="15"/>
  <c r="C111" i="15"/>
  <c r="Q111" i="15" s="1"/>
  <c r="Z110" i="15"/>
  <c r="AE110" i="15"/>
  <c r="L110" i="15"/>
  <c r="C133" i="14"/>
  <c r="Z106" i="15"/>
  <c r="S106" i="15"/>
  <c r="A180" i="15"/>
  <c r="A227" i="15" s="1"/>
  <c r="A107" i="15"/>
  <c r="A108" i="15" s="1"/>
  <c r="E106" i="15"/>
  <c r="Q179" i="15"/>
  <c r="P179" i="15"/>
  <c r="I179" i="15"/>
  <c r="N179" i="15"/>
  <c r="R179" i="15"/>
  <c r="H179" i="15"/>
  <c r="M179" i="15"/>
  <c r="L179" i="15"/>
  <c r="U179" i="15"/>
  <c r="T179" i="15"/>
  <c r="V179" i="15"/>
  <c r="C179" i="15"/>
  <c r="D179" i="15"/>
  <c r="E179" i="15"/>
  <c r="W111" i="15" l="1"/>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Z107" i="15"/>
  <c r="S107" i="15"/>
  <c r="A181" i="15"/>
  <c r="A228" i="15" s="1"/>
  <c r="E107" i="15"/>
  <c r="D180" i="15"/>
  <c r="E180" i="15"/>
  <c r="C180" i="15"/>
  <c r="I108" i="15" l="1"/>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E233" i="15"/>
  <c r="I35" i="34" s="1"/>
  <c r="C233" i="15"/>
  <c r="I33" i="34" s="1"/>
  <c r="D233" i="15"/>
  <c r="I34" i="34" s="1"/>
  <c r="L87" i="15"/>
  <c r="M87" i="15"/>
  <c r="I48" i="119"/>
  <c r="H48" i="119"/>
  <c r="G48" i="119"/>
  <c r="E48" i="119"/>
  <c r="C52" i="6" s="1"/>
  <c r="D48" i="119"/>
  <c r="C26" i="6" s="1"/>
  <c r="C48" i="119"/>
  <c r="F48" i="119"/>
  <c r="C40" i="35" l="1"/>
  <c r="C41" i="35" s="1"/>
  <c r="C25" i="6"/>
  <c r="B22" i="15" s="1"/>
  <c r="X59" i="15"/>
  <c r="F136" i="15"/>
  <c r="B20" i="15"/>
  <c r="B21" i="15" s="1"/>
  <c r="C4" i="24"/>
  <c r="G152" i="15"/>
  <c r="G174" i="15"/>
  <c r="G168" i="15"/>
  <c r="G158" i="15"/>
  <c r="G139" i="15"/>
  <c r="G179" i="15"/>
  <c r="G156" i="15"/>
  <c r="G144" i="15"/>
  <c r="G161" i="15"/>
  <c r="G167" i="15"/>
  <c r="G148" i="15"/>
  <c r="G170" i="15"/>
  <c r="G153" i="15"/>
  <c r="G147" i="15"/>
  <c r="G143" i="15"/>
  <c r="G160" i="15"/>
  <c r="G172" i="15"/>
  <c r="G171" i="15"/>
  <c r="G151" i="15"/>
  <c r="G155" i="15"/>
  <c r="G157" i="15"/>
  <c r="G159" i="15"/>
  <c r="G141" i="15"/>
  <c r="G163" i="15"/>
  <c r="G166" i="15"/>
  <c r="G165" i="15"/>
  <c r="G181" i="15"/>
  <c r="G146" i="15"/>
  <c r="G142" i="15"/>
  <c r="G177" i="15"/>
  <c r="G175" i="15"/>
  <c r="G180" i="15"/>
  <c r="G176" i="15"/>
  <c r="G149" i="15"/>
  <c r="G150" i="15"/>
  <c r="G169" i="15"/>
  <c r="G173" i="15"/>
  <c r="G140" i="15"/>
  <c r="G178" i="15"/>
  <c r="G162" i="15"/>
  <c r="G154" i="15"/>
  <c r="G164" i="15"/>
  <c r="G145" i="15"/>
  <c r="F146" i="15"/>
  <c r="F174" i="15"/>
  <c r="B181" i="15"/>
  <c r="F162" i="15"/>
  <c r="F143" i="15"/>
  <c r="F172" i="15"/>
  <c r="F153" i="15"/>
  <c r="F154" i="15"/>
  <c r="F171" i="15"/>
  <c r="F145" i="15"/>
  <c r="F160" i="15"/>
  <c r="F165" i="15"/>
  <c r="F150" i="15"/>
  <c r="F157" i="15"/>
  <c r="F140" i="15"/>
  <c r="F169" i="15"/>
  <c r="F142" i="15"/>
  <c r="F155" i="15"/>
  <c r="F163" i="15"/>
  <c r="F148" i="15"/>
  <c r="F149" i="15"/>
  <c r="F139" i="15"/>
  <c r="F141" i="15"/>
  <c r="B180" i="15"/>
  <c r="F177" i="15"/>
  <c r="F166" i="15"/>
  <c r="F181" i="15"/>
  <c r="F151" i="15"/>
  <c r="F168" i="15"/>
  <c r="F176" i="15"/>
  <c r="F173" i="15"/>
  <c r="F164" i="15"/>
  <c r="F144" i="15"/>
  <c r="F179" i="15"/>
  <c r="F156" i="15"/>
  <c r="F152" i="15"/>
  <c r="F175" i="15"/>
  <c r="F170" i="15"/>
  <c r="F178" i="15"/>
  <c r="F167" i="15"/>
  <c r="F161" i="15"/>
  <c r="F158" i="15"/>
  <c r="F180" i="15"/>
  <c r="F159" i="15"/>
  <c r="F147" i="15"/>
  <c r="B168" i="15"/>
  <c r="B151" i="15"/>
  <c r="B163" i="15"/>
  <c r="B141" i="15"/>
  <c r="B179" i="15"/>
  <c r="B178" i="15"/>
  <c r="B167" i="15"/>
  <c r="B153" i="15"/>
  <c r="C69" i="6" l="1"/>
  <c r="C132" i="6"/>
  <c r="C3" i="119"/>
  <c r="C199" i="119" s="1"/>
  <c r="E36" i="14"/>
  <c r="C27" i="6"/>
  <c r="C28" i="6" s="1"/>
  <c r="C5" i="119"/>
  <c r="E199" i="119" s="1"/>
  <c r="H36" i="14"/>
  <c r="C47" i="33" s="1"/>
  <c r="C46" i="33"/>
  <c r="E22" i="15"/>
  <c r="F36" i="14"/>
  <c r="D36" i="14"/>
  <c r="G36" i="14"/>
  <c r="B26" i="15"/>
  <c r="B27" i="15" s="1"/>
  <c r="C36" i="14"/>
  <c r="AF116" i="15"/>
  <c r="AB55" i="15" s="1"/>
  <c r="AB57" i="15" s="1"/>
  <c r="W116" i="15"/>
  <c r="C24" i="35"/>
  <c r="C20" i="35"/>
  <c r="C16" i="35"/>
  <c r="C26" i="35"/>
  <c r="C19" i="35"/>
  <c r="C22" i="35"/>
  <c r="C23" i="35"/>
  <c r="C18" i="35"/>
  <c r="C25" i="35"/>
  <c r="C21" i="35"/>
  <c r="C4" i="119"/>
  <c r="D199" i="119" s="1"/>
  <c r="F38" i="34"/>
  <c r="G136" i="15"/>
  <c r="F37" i="34"/>
  <c r="B136" i="15"/>
  <c r="F32" i="34"/>
  <c r="C32" i="34" s="1"/>
  <c r="C197" i="119"/>
  <c r="C202" i="119" s="1"/>
  <c r="D202" i="119" s="1"/>
  <c r="D152" i="6"/>
  <c r="D151" i="6"/>
  <c r="D153" i="6"/>
  <c r="E14" i="24"/>
  <c r="G14" i="24" s="1"/>
  <c r="D148" i="6"/>
  <c r="E148" i="6" s="1"/>
  <c r="D120" i="6"/>
  <c r="E120" i="6" s="1"/>
  <c r="E25" i="24"/>
  <c r="G25" i="24" s="1"/>
  <c r="E26" i="24"/>
  <c r="G26" i="24" s="1"/>
  <c r="E24" i="24"/>
  <c r="G24" i="24" s="1"/>
  <c r="D146" i="6"/>
  <c r="E146" i="6" s="1"/>
  <c r="D149" i="6"/>
  <c r="E149" i="6" s="1"/>
  <c r="D147" i="6"/>
  <c r="E147" i="6" s="1"/>
  <c r="D109" i="6"/>
  <c r="E109" i="6" s="1"/>
  <c r="E111" i="6" s="1"/>
  <c r="AE106" i="15"/>
  <c r="C227" i="15"/>
  <c r="I227" i="15"/>
  <c r="G227" i="15"/>
  <c r="L227" i="15"/>
  <c r="I228" i="15"/>
  <c r="E227" i="15"/>
  <c r="M227" i="15"/>
  <c r="G228" i="15"/>
  <c r="E228" i="15"/>
  <c r="M228" i="15"/>
  <c r="L228" i="15"/>
  <c r="H228" i="15"/>
  <c r="D227" i="15"/>
  <c r="AE107" i="15"/>
  <c r="C228" i="15"/>
  <c r="D228" i="15"/>
  <c r="F228" i="15"/>
  <c r="N228" i="15"/>
  <c r="N227" i="15"/>
  <c r="H227" i="15"/>
  <c r="F227" i="15"/>
  <c r="B228" i="15"/>
  <c r="O107" i="15"/>
  <c r="B227" i="15"/>
  <c r="O106" i="15"/>
  <c r="B164" i="15"/>
  <c r="B172" i="15"/>
  <c r="B175" i="15"/>
  <c r="B162" i="15"/>
  <c r="B171" i="15"/>
  <c r="B173" i="15"/>
  <c r="B169" i="15"/>
  <c r="B170" i="15"/>
  <c r="B149" i="15"/>
  <c r="B147" i="15"/>
  <c r="B161" i="15"/>
  <c r="B148" i="15"/>
  <c r="B158" i="15"/>
  <c r="B140" i="15"/>
  <c r="B146" i="15"/>
  <c r="B157" i="15"/>
  <c r="B155" i="15"/>
  <c r="B156" i="15"/>
  <c r="B139" i="15"/>
  <c r="B154" i="15"/>
  <c r="B176" i="15"/>
  <c r="B143" i="15"/>
  <c r="B152" i="15"/>
  <c r="B150" i="15"/>
  <c r="B166" i="15"/>
  <c r="B145" i="15"/>
  <c r="B144" i="15"/>
  <c r="B159" i="15"/>
  <c r="B142" i="15"/>
  <c r="B160" i="15"/>
  <c r="B174" i="15"/>
  <c r="B165" i="15"/>
  <c r="B177" i="15"/>
  <c r="F75" i="6" l="1"/>
  <c r="F80" i="6" s="1"/>
  <c r="C142" i="6" s="1"/>
  <c r="G188" i="15"/>
  <c r="D19" i="35"/>
  <c r="F19" i="35" s="1"/>
  <c r="D21" i="35"/>
  <c r="F21" i="35" s="1"/>
  <c r="D20" i="35"/>
  <c r="F20" i="35" s="1"/>
  <c r="D25" i="35"/>
  <c r="F25" i="35" s="1"/>
  <c r="D24" i="35"/>
  <c r="F24" i="35" s="1"/>
  <c r="D22" i="35"/>
  <c r="C19" i="24" s="1"/>
  <c r="H19" i="24" s="1"/>
  <c r="D26" i="35"/>
  <c r="C23" i="24" s="1"/>
  <c r="H23" i="24" s="1"/>
  <c r="D18" i="35"/>
  <c r="C15" i="24" s="1"/>
  <c r="H15" i="24" s="1"/>
  <c r="D23" i="35"/>
  <c r="C20" i="24" s="1"/>
  <c r="H20" i="24" s="1"/>
  <c r="D16" i="35"/>
  <c r="F16" i="35" s="1"/>
  <c r="B206" i="15"/>
  <c r="O77" i="15"/>
  <c r="O75" i="15"/>
  <c r="B214" i="15"/>
  <c r="B220" i="15"/>
  <c r="C225" i="15"/>
  <c r="O85" i="15"/>
  <c r="O74" i="15"/>
  <c r="L197" i="15"/>
  <c r="B211" i="15"/>
  <c r="B219" i="15"/>
  <c r="M198" i="15"/>
  <c r="B204" i="15"/>
  <c r="E221" i="15"/>
  <c r="E190" i="15"/>
  <c r="F205" i="15"/>
  <c r="B198" i="15"/>
  <c r="B212" i="15"/>
  <c r="L220" i="15"/>
  <c r="D191" i="15"/>
  <c r="O82" i="15"/>
  <c r="B221" i="15"/>
  <c r="AE103" i="15"/>
  <c r="O69" i="15"/>
  <c r="G199" i="15"/>
  <c r="N208" i="15"/>
  <c r="O99" i="15"/>
  <c r="L212" i="15"/>
  <c r="O101" i="15"/>
  <c r="O90" i="15"/>
  <c r="G215" i="15"/>
  <c r="B203" i="15"/>
  <c r="B195" i="15"/>
  <c r="B205" i="15"/>
  <c r="M218" i="15"/>
  <c r="C204" i="15"/>
  <c r="G207" i="15"/>
  <c r="N199" i="15"/>
  <c r="H204" i="15"/>
  <c r="O92" i="15"/>
  <c r="C199" i="15"/>
  <c r="L213" i="15"/>
  <c r="I3" i="119"/>
  <c r="C79" i="119" s="1"/>
  <c r="D79" i="119" s="1"/>
  <c r="H3" i="119"/>
  <c r="C78" i="119"/>
  <c r="D78" i="119" s="1"/>
  <c r="M190" i="15"/>
  <c r="B218" i="15"/>
  <c r="B210" i="15"/>
  <c r="B191" i="15"/>
  <c r="O102" i="15"/>
  <c r="O94" i="15"/>
  <c r="B208" i="15"/>
  <c r="B200" i="15"/>
  <c r="O72" i="15"/>
  <c r="O104" i="15"/>
  <c r="G194" i="15"/>
  <c r="I194" i="15"/>
  <c r="AE82" i="15"/>
  <c r="I224" i="15"/>
  <c r="I204" i="15"/>
  <c r="N195" i="15"/>
  <c r="G206" i="15"/>
  <c r="N189" i="15"/>
  <c r="AE71" i="15"/>
  <c r="E192" i="15"/>
  <c r="B222" i="15"/>
  <c r="B196" i="15"/>
  <c r="O91" i="15"/>
  <c r="O83" i="15"/>
  <c r="O76" i="15"/>
  <c r="B189" i="15"/>
  <c r="F202" i="15"/>
  <c r="H223" i="15"/>
  <c r="L192" i="15"/>
  <c r="D222" i="15"/>
  <c r="M205" i="15"/>
  <c r="G212" i="15"/>
  <c r="M208" i="15"/>
  <c r="B190" i="15"/>
  <c r="O93" i="15"/>
  <c r="O98" i="15"/>
  <c r="B194" i="15"/>
  <c r="B226" i="15"/>
  <c r="O97" i="15"/>
  <c r="B199" i="15"/>
  <c r="O70" i="15"/>
  <c r="B223" i="15"/>
  <c r="B216" i="15"/>
  <c r="O87" i="15"/>
  <c r="B201" i="15"/>
  <c r="B17" i="15"/>
  <c r="B18" i="15" s="1"/>
  <c r="AE87" i="15"/>
  <c r="M211" i="15"/>
  <c r="I225" i="15"/>
  <c r="N217" i="15"/>
  <c r="C198" i="15"/>
  <c r="D189" i="15"/>
  <c r="C191" i="15"/>
  <c r="E210" i="15"/>
  <c r="B202" i="15"/>
  <c r="O73" i="15"/>
  <c r="O105" i="15"/>
  <c r="B207" i="15"/>
  <c r="O78" i="15"/>
  <c r="B192" i="15"/>
  <c r="O103" i="15"/>
  <c r="O95" i="15"/>
  <c r="O88" i="15"/>
  <c r="N218" i="15"/>
  <c r="G219" i="15"/>
  <c r="E197" i="15"/>
  <c r="N193" i="15"/>
  <c r="M206" i="15"/>
  <c r="L225" i="15"/>
  <c r="AE72" i="15"/>
  <c r="D193" i="15"/>
  <c r="G217" i="15"/>
  <c r="E198" i="15"/>
  <c r="L210" i="15"/>
  <c r="O89" i="15"/>
  <c r="O81" i="15"/>
  <c r="B215" i="15"/>
  <c r="O86" i="15"/>
  <c r="O79" i="15"/>
  <c r="O71" i="15"/>
  <c r="B224" i="15"/>
  <c r="B217" i="15"/>
  <c r="L215" i="15"/>
  <c r="AE98" i="15"/>
  <c r="H201" i="15"/>
  <c r="I209" i="15"/>
  <c r="C215" i="15"/>
  <c r="F221" i="15"/>
  <c r="AE73" i="15"/>
  <c r="H218" i="15"/>
  <c r="AE101" i="15"/>
  <c r="F216" i="15"/>
  <c r="I215" i="15"/>
  <c r="M203" i="15"/>
  <c r="M226" i="15"/>
  <c r="N192" i="15"/>
  <c r="I189" i="15"/>
  <c r="C218" i="15"/>
  <c r="G193" i="15"/>
  <c r="L214" i="15"/>
  <c r="I226" i="15"/>
  <c r="I210" i="15"/>
  <c r="E207" i="15"/>
  <c r="I195" i="15"/>
  <c r="C207" i="15"/>
  <c r="E211" i="15"/>
  <c r="L205" i="15"/>
  <c r="H214" i="15"/>
  <c r="L190" i="15"/>
  <c r="H211" i="15"/>
  <c r="E202" i="15"/>
  <c r="D208" i="15"/>
  <c r="H219" i="15"/>
  <c r="G202" i="15"/>
  <c r="I190" i="15"/>
  <c r="M196" i="15"/>
  <c r="L196" i="15"/>
  <c r="F199" i="15"/>
  <c r="AE97" i="15"/>
  <c r="L221" i="15"/>
  <c r="N212" i="15"/>
  <c r="E224" i="15"/>
  <c r="F213" i="15"/>
  <c r="N221" i="15"/>
  <c r="AE99" i="15"/>
  <c r="AE86" i="15"/>
  <c r="M201" i="15"/>
  <c r="M224" i="15"/>
  <c r="D207" i="15"/>
  <c r="G205" i="15"/>
  <c r="F200" i="15"/>
  <c r="H208" i="15"/>
  <c r="L194" i="15"/>
  <c r="C219" i="15"/>
  <c r="AE84" i="15"/>
  <c r="N198" i="15"/>
  <c r="C221" i="15"/>
  <c r="F201" i="15"/>
  <c r="H207" i="15"/>
  <c r="H200" i="15"/>
  <c r="F190" i="15"/>
  <c r="C222" i="15"/>
  <c r="E200" i="15"/>
  <c r="I205" i="15"/>
  <c r="N206" i="15"/>
  <c r="N219" i="15"/>
  <c r="H199" i="15"/>
  <c r="C210" i="15"/>
  <c r="L207" i="15"/>
  <c r="AE91" i="15"/>
  <c r="G196" i="15"/>
  <c r="I196" i="15"/>
  <c r="E206" i="15"/>
  <c r="M200" i="15"/>
  <c r="F218" i="15"/>
  <c r="L218" i="15"/>
  <c r="H189" i="15"/>
  <c r="G203" i="15"/>
  <c r="H224" i="15"/>
  <c r="N224" i="15"/>
  <c r="H217" i="15"/>
  <c r="N214" i="15"/>
  <c r="D211" i="15"/>
  <c r="E204" i="15"/>
  <c r="D206" i="15"/>
  <c r="AE89" i="15"/>
  <c r="F194" i="15"/>
  <c r="AE70" i="15"/>
  <c r="D201" i="15"/>
  <c r="D197" i="15"/>
  <c r="D223" i="15"/>
  <c r="AE95" i="15"/>
  <c r="N226" i="15"/>
  <c r="D210" i="15"/>
  <c r="E215" i="15"/>
  <c r="C200" i="15"/>
  <c r="E194" i="15"/>
  <c r="C226" i="15"/>
  <c r="L206" i="15"/>
  <c r="H209" i="15"/>
  <c r="M192" i="15"/>
  <c r="M204" i="15"/>
  <c r="I197" i="15"/>
  <c r="F206" i="15"/>
  <c r="F222" i="15"/>
  <c r="E225" i="15"/>
  <c r="E216" i="15"/>
  <c r="M220" i="15"/>
  <c r="E199" i="15"/>
  <c r="M191" i="15"/>
  <c r="N213" i="15"/>
  <c r="D192" i="15"/>
  <c r="H194" i="15"/>
  <c r="H198" i="15"/>
  <c r="H191" i="15"/>
  <c r="C192" i="15"/>
  <c r="L195" i="15"/>
  <c r="I193" i="15"/>
  <c r="N215" i="15"/>
  <c r="D225" i="15"/>
  <c r="M216" i="15"/>
  <c r="H216" i="15"/>
  <c r="L226" i="15"/>
  <c r="G191" i="15"/>
  <c r="C195" i="15"/>
  <c r="C206" i="15"/>
  <c r="G218" i="15"/>
  <c r="H202" i="15"/>
  <c r="H215" i="15"/>
  <c r="D198" i="15"/>
  <c r="AE77" i="15"/>
  <c r="H205" i="15"/>
  <c r="N201" i="15"/>
  <c r="D190" i="15"/>
  <c r="L223" i="15"/>
  <c r="F197" i="15"/>
  <c r="M194" i="15"/>
  <c r="I219" i="15"/>
  <c r="E209" i="15"/>
  <c r="I203" i="15"/>
  <c r="G221" i="15"/>
  <c r="D203" i="15"/>
  <c r="AE92" i="15"/>
  <c r="AE93" i="15"/>
  <c r="M207" i="15"/>
  <c r="H197" i="15"/>
  <c r="N207" i="15"/>
  <c r="H203" i="15"/>
  <c r="D199" i="15"/>
  <c r="L191" i="15"/>
  <c r="N197" i="15"/>
  <c r="L203" i="15"/>
  <c r="AE81" i="15"/>
  <c r="M225" i="15"/>
  <c r="L200" i="15"/>
  <c r="I202" i="15"/>
  <c r="I216" i="15"/>
  <c r="E226" i="15"/>
  <c r="H193" i="15"/>
  <c r="C214" i="15"/>
  <c r="N202" i="15"/>
  <c r="C196" i="15"/>
  <c r="M202" i="15"/>
  <c r="AE104" i="15"/>
  <c r="N190" i="15"/>
  <c r="N194" i="15"/>
  <c r="C220" i="15"/>
  <c r="D226" i="15"/>
  <c r="G213" i="15"/>
  <c r="AE76" i="15"/>
  <c r="D219" i="15"/>
  <c r="C213" i="15"/>
  <c r="H212" i="15"/>
  <c r="M199" i="15"/>
  <c r="F192" i="15"/>
  <c r="G208" i="15"/>
  <c r="C197" i="15"/>
  <c r="AE102" i="15"/>
  <c r="F210" i="15"/>
  <c r="E214" i="15"/>
  <c r="I218" i="15"/>
  <c r="F220" i="15"/>
  <c r="F223" i="15"/>
  <c r="E220" i="15"/>
  <c r="AE68" i="15"/>
  <c r="D214" i="15"/>
  <c r="AE100" i="15"/>
  <c r="M213" i="15"/>
  <c r="E195" i="15"/>
  <c r="D221" i="15"/>
  <c r="F203" i="15"/>
  <c r="F189" i="15"/>
  <c r="H192" i="15"/>
  <c r="F217" i="15"/>
  <c r="G201" i="15"/>
  <c r="I206" i="15"/>
  <c r="L189" i="15"/>
  <c r="D195" i="15"/>
  <c r="E201" i="15"/>
  <c r="F196" i="15"/>
  <c r="AE78" i="15"/>
  <c r="G211" i="15"/>
  <c r="L209" i="15"/>
  <c r="H210" i="15"/>
  <c r="G224" i="15"/>
  <c r="G195" i="15"/>
  <c r="G209" i="15"/>
  <c r="F215" i="15"/>
  <c r="L198" i="15"/>
  <c r="I217" i="15"/>
  <c r="C205" i="15"/>
  <c r="F207" i="15"/>
  <c r="C224" i="15"/>
  <c r="I198" i="15"/>
  <c r="G192" i="15"/>
  <c r="D220" i="15"/>
  <c r="G223" i="15"/>
  <c r="N220" i="15"/>
  <c r="I212" i="15"/>
  <c r="N216" i="15"/>
  <c r="C217" i="15"/>
  <c r="H213" i="15"/>
  <c r="M193" i="15"/>
  <c r="G220" i="15"/>
  <c r="C216" i="15"/>
  <c r="AE83" i="15"/>
  <c r="E218" i="15"/>
  <c r="M214" i="15"/>
  <c r="I221" i="15"/>
  <c r="C194" i="15"/>
  <c r="D196" i="15"/>
  <c r="N196" i="15"/>
  <c r="I200" i="15"/>
  <c r="G198" i="15"/>
  <c r="E203" i="15"/>
  <c r="H220" i="15"/>
  <c r="H190" i="15"/>
  <c r="AE90" i="15"/>
  <c r="H195" i="15"/>
  <c r="AE69" i="15"/>
  <c r="L222" i="15"/>
  <c r="C202" i="15"/>
  <c r="M215" i="15"/>
  <c r="AE105" i="15"/>
  <c r="F224" i="15"/>
  <c r="L211" i="15"/>
  <c r="E212" i="15"/>
  <c r="N200" i="15"/>
  <c r="AE75" i="15"/>
  <c r="I222" i="15"/>
  <c r="E219" i="15"/>
  <c r="E196" i="15"/>
  <c r="I211" i="15"/>
  <c r="G214" i="15"/>
  <c r="N222" i="15"/>
  <c r="I192" i="15"/>
  <c r="I213" i="15"/>
  <c r="AE74" i="15"/>
  <c r="D218" i="15"/>
  <c r="C209" i="15"/>
  <c r="C189" i="15"/>
  <c r="I201" i="15"/>
  <c r="E193" i="15"/>
  <c r="G210" i="15"/>
  <c r="H221" i="15"/>
  <c r="C211" i="15"/>
  <c r="E223" i="15"/>
  <c r="G190" i="15"/>
  <c r="G189" i="15"/>
  <c r="I207" i="15"/>
  <c r="C212" i="15"/>
  <c r="L216" i="15"/>
  <c r="C208" i="15"/>
  <c r="AE85" i="15"/>
  <c r="F225" i="15"/>
  <c r="M221" i="15"/>
  <c r="I208" i="15"/>
  <c r="F214" i="15"/>
  <c r="C203" i="15"/>
  <c r="B209" i="15"/>
  <c r="L201" i="15"/>
  <c r="D213" i="15"/>
  <c r="E191" i="15"/>
  <c r="AE94" i="15"/>
  <c r="F226" i="15"/>
  <c r="O96" i="15"/>
  <c r="M195" i="15"/>
  <c r="L208" i="15"/>
  <c r="C201" i="15"/>
  <c r="AE96" i="15"/>
  <c r="L204" i="15"/>
  <c r="D216" i="15"/>
  <c r="D224" i="15"/>
  <c r="I214" i="15"/>
  <c r="M223" i="15"/>
  <c r="E189" i="15"/>
  <c r="D194" i="15"/>
  <c r="L199" i="15"/>
  <c r="M210" i="15"/>
  <c r="M217" i="15"/>
  <c r="L217" i="15"/>
  <c r="H225" i="15"/>
  <c r="D215" i="15"/>
  <c r="E217" i="15"/>
  <c r="AE79" i="15"/>
  <c r="N191" i="15"/>
  <c r="H196" i="15"/>
  <c r="F193" i="15"/>
  <c r="L193" i="15"/>
  <c r="I199" i="15"/>
  <c r="D202" i="15"/>
  <c r="M219" i="15"/>
  <c r="M209" i="15"/>
  <c r="M212" i="15"/>
  <c r="N205" i="15"/>
  <c r="D200" i="15"/>
  <c r="N204" i="15"/>
  <c r="E213" i="15"/>
  <c r="N209" i="15"/>
  <c r="B197" i="15"/>
  <c r="N223" i="15"/>
  <c r="D205" i="15"/>
  <c r="N203" i="15"/>
  <c r="G200" i="15"/>
  <c r="D212" i="15"/>
  <c r="E208" i="15"/>
  <c r="F198" i="15"/>
  <c r="G226" i="15"/>
  <c r="D204" i="15"/>
  <c r="F191" i="15"/>
  <c r="C193" i="15"/>
  <c r="L219" i="15"/>
  <c r="O100" i="15"/>
  <c r="M188" i="15"/>
  <c r="M222" i="15"/>
  <c r="G197" i="15"/>
  <c r="N210" i="15"/>
  <c r="AE88" i="15"/>
  <c r="G225" i="15"/>
  <c r="H226" i="15"/>
  <c r="D217" i="15"/>
  <c r="N225" i="15"/>
  <c r="F212" i="15"/>
  <c r="G204" i="15"/>
  <c r="O68" i="15"/>
  <c r="N211" i="15"/>
  <c r="F219" i="15"/>
  <c r="I220" i="15"/>
  <c r="M197" i="15"/>
  <c r="C190" i="15"/>
  <c r="D209" i="15"/>
  <c r="L224" i="15"/>
  <c r="F195" i="15"/>
  <c r="G216" i="15"/>
  <c r="I191" i="15"/>
  <c r="L202" i="15"/>
  <c r="C48" i="33"/>
  <c r="I5" i="119"/>
  <c r="C85" i="119" s="1"/>
  <c r="D85" i="119" s="1"/>
  <c r="C84" i="119"/>
  <c r="D84" i="119" s="1"/>
  <c r="H5" i="119"/>
  <c r="C83" i="119" s="1"/>
  <c r="D83" i="119" s="1"/>
  <c r="E188" i="15"/>
  <c r="C188" i="15"/>
  <c r="M187" i="15"/>
  <c r="AE67" i="15"/>
  <c r="I187" i="15"/>
  <c r="C187" i="15"/>
  <c r="B188" i="15"/>
  <c r="F188" i="15"/>
  <c r="O80" i="15"/>
  <c r="L188" i="15"/>
  <c r="H187" i="15"/>
  <c r="AE66" i="15"/>
  <c r="C223" i="15"/>
  <c r="G222" i="15"/>
  <c r="F209" i="15"/>
  <c r="F208" i="15"/>
  <c r="O84" i="15"/>
  <c r="H188" i="15"/>
  <c r="L187" i="15"/>
  <c r="O67" i="15"/>
  <c r="I223" i="15"/>
  <c r="AE80" i="15"/>
  <c r="F204" i="15"/>
  <c r="M189" i="15"/>
  <c r="H206" i="15"/>
  <c r="B213" i="15"/>
  <c r="D188" i="15"/>
  <c r="D187" i="15"/>
  <c r="F187" i="15"/>
  <c r="N188" i="15"/>
  <c r="E187" i="15"/>
  <c r="B187" i="15"/>
  <c r="E222" i="15"/>
  <c r="H222" i="15"/>
  <c r="F211" i="15"/>
  <c r="E205" i="15"/>
  <c r="B225" i="15"/>
  <c r="B193" i="15"/>
  <c r="I188" i="15"/>
  <c r="N187" i="15"/>
  <c r="O66" i="15"/>
  <c r="E24" i="15"/>
  <c r="G187" i="15"/>
  <c r="G37" i="14"/>
  <c r="D37" i="14"/>
  <c r="I4" i="119"/>
  <c r="C82" i="119" s="1"/>
  <c r="D82" i="119" s="1"/>
  <c r="F37" i="14"/>
  <c r="C81" i="119"/>
  <c r="D81" i="119" s="1"/>
  <c r="E37" i="14"/>
  <c r="H4" i="119"/>
  <c r="C80" i="119" s="1"/>
  <c r="D80" i="119" s="1"/>
  <c r="E23" i="15"/>
  <c r="W115" i="15"/>
  <c r="H37" i="14"/>
  <c r="C37" i="14"/>
  <c r="C36" i="35"/>
  <c r="E100" i="34"/>
  <c r="C100" i="34"/>
  <c r="C37" i="34"/>
  <c r="D100" i="34"/>
  <c r="C38" i="34"/>
  <c r="E101" i="34"/>
  <c r="D101" i="34"/>
  <c r="C101" i="34"/>
  <c r="C95" i="34"/>
  <c r="D85" i="34" s="1"/>
  <c r="E95" i="34"/>
  <c r="F85" i="34" s="1"/>
  <c r="F86" i="34" s="1"/>
  <c r="D95" i="34"/>
  <c r="B203" i="119"/>
  <c r="E113" i="6"/>
  <c r="B57" i="15"/>
  <c r="D61" i="34"/>
  <c r="C61" i="34"/>
  <c r="D32" i="34"/>
  <c r="E61" i="34"/>
  <c r="C53" i="34"/>
  <c r="E110" i="34"/>
  <c r="D110" i="34"/>
  <c r="C110" i="34"/>
  <c r="F23" i="35" l="1"/>
  <c r="C18" i="24"/>
  <c r="H18" i="24" s="1"/>
  <c r="C22" i="24"/>
  <c r="H22" i="24" s="1"/>
  <c r="E20" i="24"/>
  <c r="G20" i="24" s="1"/>
  <c r="C16" i="24"/>
  <c r="H16" i="24" s="1"/>
  <c r="C21" i="24"/>
  <c r="H21" i="24" s="1"/>
  <c r="F26" i="35"/>
  <c r="C17" i="24"/>
  <c r="H17" i="24" s="1"/>
  <c r="C13" i="24"/>
  <c r="E13" i="24" s="1"/>
  <c r="E23" i="24"/>
  <c r="G23" i="24" s="1"/>
  <c r="E19" i="24"/>
  <c r="G19" i="24" s="1"/>
  <c r="F22" i="35"/>
  <c r="F18" i="35"/>
  <c r="E15" i="24"/>
  <c r="G15" i="24" s="1"/>
  <c r="D36" i="35"/>
  <c r="L101" i="119"/>
  <c r="B19" i="15"/>
  <c r="C77" i="119"/>
  <c r="D77" i="119" s="1"/>
  <c r="L103" i="119"/>
  <c r="L231" i="15"/>
  <c r="L102" i="119"/>
  <c r="G231" i="15"/>
  <c r="M231" i="15"/>
  <c r="O114" i="15"/>
  <c r="C231" i="15"/>
  <c r="D231" i="15"/>
  <c r="O116" i="15"/>
  <c r="AE116" i="15"/>
  <c r="I231" i="15"/>
  <c r="E231" i="15"/>
  <c r="O115" i="15"/>
  <c r="B122" i="15" s="1"/>
  <c r="N231" i="15"/>
  <c r="B231" i="15"/>
  <c r="F231" i="15"/>
  <c r="H231" i="15"/>
  <c r="E25" i="15"/>
  <c r="P66" i="15"/>
  <c r="P67" i="15"/>
  <c r="F100" i="34"/>
  <c r="F101" i="34"/>
  <c r="D38" i="34"/>
  <c r="D116" i="34"/>
  <c r="D67" i="34"/>
  <c r="C116" i="34"/>
  <c r="C67" i="34"/>
  <c r="E67" i="34"/>
  <c r="E116" i="34"/>
  <c r="E66" i="34"/>
  <c r="D66" i="34"/>
  <c r="E115" i="34"/>
  <c r="C115" i="34"/>
  <c r="D37" i="34"/>
  <c r="D115" i="34"/>
  <c r="C66" i="34"/>
  <c r="C54" i="34"/>
  <c r="F95" i="34"/>
  <c r="G85" i="34" s="1"/>
  <c r="G86" i="34" s="1"/>
  <c r="E85" i="34"/>
  <c r="E86" i="34" s="1"/>
  <c r="C203" i="119"/>
  <c r="D203" i="119" s="1"/>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c r="D86" i="34"/>
  <c r="E22" i="24" l="1"/>
  <c r="G22" i="24" s="1"/>
  <c r="E18" i="24"/>
  <c r="G18" i="24" s="1"/>
  <c r="E16" i="24"/>
  <c r="G16" i="24" s="1"/>
  <c r="E21" i="24"/>
  <c r="G21" i="24" s="1"/>
  <c r="H13" i="24"/>
  <c r="H27" i="24" s="1"/>
  <c r="C27" i="24"/>
  <c r="E17" i="24"/>
  <c r="G17" i="24" s="1"/>
  <c r="F36" i="35"/>
  <c r="E232" i="15"/>
  <c r="C232" i="15"/>
  <c r="N232" i="15"/>
  <c r="G232" i="15"/>
  <c r="G233" i="15" s="1"/>
  <c r="I38" i="34" s="1"/>
  <c r="AC55" i="15"/>
  <c r="AC57" i="15" s="1"/>
  <c r="L232" i="15"/>
  <c r="B232" i="15"/>
  <c r="B233" i="15" s="1"/>
  <c r="I32" i="34" s="1"/>
  <c r="M232" i="15"/>
  <c r="H232" i="15"/>
  <c r="O117" i="15"/>
  <c r="T48" i="119" s="1"/>
  <c r="E165" i="119" s="1"/>
  <c r="D232" i="15"/>
  <c r="F232" i="15"/>
  <c r="F233" i="15" s="1"/>
  <c r="I37" i="34" s="1"/>
  <c r="I232" i="15"/>
  <c r="G13" i="24"/>
  <c r="F116" i="34"/>
  <c r="F115" i="34"/>
  <c r="B204" i="119"/>
  <c r="C204" i="119" s="1"/>
  <c r="B205" i="119" s="1"/>
  <c r="J36" i="33"/>
  <c r="C21" i="33"/>
  <c r="C23" i="33"/>
  <c r="P114" i="15"/>
  <c r="P116" i="15"/>
  <c r="P117" i="15" s="1"/>
  <c r="U48" i="119" s="1"/>
  <c r="E166" i="119" s="1"/>
  <c r="P115" i="15"/>
  <c r="B123" i="15" s="1"/>
  <c r="C38" i="33"/>
  <c r="E27" i="24" l="1"/>
  <c r="G27" i="24"/>
  <c r="C86" i="6" s="1"/>
  <c r="D53" i="17" s="1"/>
  <c r="D204" i="119"/>
  <c r="C205" i="119"/>
  <c r="D205" i="119" s="1"/>
  <c r="C53" i="33"/>
  <c r="C55" i="33" s="1"/>
  <c r="C68" i="33"/>
  <c r="C26" i="33" s="1"/>
  <c r="C24" i="33"/>
  <c r="C5" i="24" l="1"/>
  <c r="D101" i="6" s="1"/>
  <c r="E101" i="6" s="1"/>
  <c r="E102" i="6" s="1"/>
  <c r="E104" i="6" s="1"/>
  <c r="B52" i="15" s="1"/>
  <c r="K65" i="15" s="1"/>
  <c r="D39" i="17"/>
  <c r="D46" i="17"/>
  <c r="D25" i="17"/>
  <c r="D32" i="17"/>
  <c r="C119" i="6"/>
  <c r="J133" i="15"/>
  <c r="F42" i="34" s="1"/>
  <c r="B206" i="119"/>
  <c r="C54" i="33"/>
  <c r="C107" i="33"/>
  <c r="C99" i="33"/>
  <c r="C95" i="33"/>
  <c r="C83" i="33"/>
  <c r="C106" i="33"/>
  <c r="C82" i="33"/>
  <c r="C94" i="33"/>
  <c r="C98" i="33"/>
  <c r="C56" i="33"/>
  <c r="C57" i="33"/>
  <c r="C75" i="33"/>
  <c r="C70" i="33"/>
  <c r="C71" i="33" s="1"/>
  <c r="C74" i="33"/>
  <c r="J31" i="33" s="1"/>
  <c r="J34" i="33" s="1"/>
  <c r="D121" i="6" l="1"/>
  <c r="E121" i="6" s="1"/>
  <c r="D118" i="6"/>
  <c r="E118" i="6" s="1"/>
  <c r="D117" i="6"/>
  <c r="E117" i="6" s="1"/>
  <c r="D114" i="6"/>
  <c r="E114" i="6" s="1"/>
  <c r="D119" i="6"/>
  <c r="E119" i="6" s="1"/>
  <c r="K114" i="15"/>
  <c r="K116" i="15"/>
  <c r="K117" i="15" s="1"/>
  <c r="Q48" i="119" s="1"/>
  <c r="E162" i="119" s="1"/>
  <c r="K115" i="15"/>
  <c r="J131" i="15"/>
  <c r="J185" i="15" s="1"/>
  <c r="D87" i="34"/>
  <c r="D88" i="34" s="1"/>
  <c r="F47" i="34"/>
  <c r="C47" i="34" s="1"/>
  <c r="K139" i="15"/>
  <c r="K140" i="15"/>
  <c r="Q66" i="15" s="1"/>
  <c r="K141" i="15"/>
  <c r="Q67" i="15" s="1"/>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K181" i="15"/>
  <c r="C206" i="119"/>
  <c r="D206" i="119" s="1"/>
  <c r="C100" i="33"/>
  <c r="E18" i="17" s="1"/>
  <c r="F18" i="17" s="1"/>
  <c r="C58" i="33"/>
  <c r="J40" i="33"/>
  <c r="J22" i="33"/>
  <c r="G21" i="34"/>
  <c r="K45" i="33"/>
  <c r="J25" i="33"/>
  <c r="C78" i="33"/>
  <c r="J38" i="33" s="1"/>
  <c r="J23" i="33"/>
  <c r="C86" i="33"/>
  <c r="J39" i="33" s="1"/>
  <c r="J24" i="33"/>
  <c r="J27" i="33" l="1"/>
  <c r="K188" i="15"/>
  <c r="K187" i="15"/>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E46" i="17"/>
  <c r="F46" i="17" s="1"/>
  <c r="E27" i="17"/>
  <c r="F27" i="17" s="1"/>
  <c r="E26" i="17"/>
  <c r="F26" i="17" s="1"/>
  <c r="E47" i="17"/>
  <c r="F47" i="17" s="1"/>
  <c r="E29" i="17"/>
  <c r="F29" i="17" s="1"/>
  <c r="E21" i="17"/>
  <c r="F21" i="17" s="1"/>
  <c r="E42" i="17"/>
  <c r="F42" i="17" s="1"/>
  <c r="E40" i="17"/>
  <c r="F40" i="17" s="1"/>
  <c r="E36" i="17"/>
  <c r="F36" i="17" s="1"/>
  <c r="E25" i="17"/>
  <c r="F25" i="17" s="1"/>
  <c r="E32" i="17"/>
  <c r="F32" i="17" s="1"/>
  <c r="E53" i="17"/>
  <c r="F53" i="17" s="1"/>
  <c r="E39" i="17"/>
  <c r="F39" i="17" s="1"/>
  <c r="E43" i="17"/>
  <c r="F43" i="17" s="1"/>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F38" i="17" s="1"/>
  <c r="E34" i="17"/>
  <c r="F34" i="17" s="1"/>
  <c r="E35" i="17"/>
  <c r="F35" i="17" s="1"/>
  <c r="E52" i="17"/>
  <c r="F52" i="17" s="1"/>
  <c r="E33" i="17"/>
  <c r="F33" i="17" s="1"/>
  <c r="E37" i="17"/>
  <c r="F37" i="17" s="1"/>
  <c r="E41" i="17"/>
  <c r="F41" i="17" s="1"/>
  <c r="E51" i="17"/>
  <c r="F51" i="17" s="1"/>
  <c r="E55" i="17"/>
  <c r="F55" i="17" s="1"/>
  <c r="E48" i="17"/>
  <c r="F48" i="17" s="1"/>
  <c r="E22" i="17"/>
  <c r="F22" i="17" s="1"/>
  <c r="E44" i="17"/>
  <c r="F44" i="17" s="1"/>
  <c r="E23" i="17"/>
  <c r="F23" i="17" s="1"/>
  <c r="E56" i="17"/>
  <c r="F56" i="17" s="1"/>
  <c r="G20" i="34"/>
  <c r="H21" i="34"/>
  <c r="J26" i="33"/>
  <c r="J154" i="15"/>
  <c r="J172" i="15"/>
  <c r="J141" i="15"/>
  <c r="J161" i="15"/>
  <c r="J170" i="15"/>
  <c r="J142" i="15"/>
  <c r="J148" i="15"/>
  <c r="J159" i="15"/>
  <c r="J180" i="15"/>
  <c r="J173" i="15"/>
  <c r="J139" i="15"/>
  <c r="J151" i="15"/>
  <c r="J158" i="15"/>
  <c r="J160" i="15"/>
  <c r="J155" i="15"/>
  <c r="J181" i="15"/>
  <c r="J144" i="15"/>
  <c r="J169" i="15"/>
  <c r="J166" i="15"/>
  <c r="J176" i="15"/>
  <c r="J168" i="15"/>
  <c r="J164" i="15"/>
  <c r="J177" i="15"/>
  <c r="J145" i="15"/>
  <c r="J171" i="15"/>
  <c r="J140" i="15"/>
  <c r="J178" i="15"/>
  <c r="J174" i="15"/>
  <c r="J187" i="15" l="1"/>
  <c r="J188" i="15"/>
  <c r="E42" i="34"/>
  <c r="C42" i="34" s="1"/>
  <c r="C55" i="34" s="1"/>
  <c r="D52" i="34" s="1"/>
  <c r="B71" i="34"/>
  <c r="B120" i="34"/>
  <c r="B105" i="34"/>
  <c r="G42" i="34"/>
  <c r="Q116" i="15"/>
  <c r="Q118" i="15" s="1"/>
  <c r="L48" i="119" s="1"/>
  <c r="E156" i="119" s="1"/>
  <c r="Q115" i="15"/>
  <c r="B124" i="15" s="1"/>
  <c r="Q114" i="15"/>
  <c r="K231" i="15"/>
  <c r="K232" i="15" s="1"/>
  <c r="K233" i="15" s="1"/>
  <c r="I47" i="34" s="1"/>
  <c r="J225" i="15"/>
  <c r="J205" i="15"/>
  <c r="J227" i="15"/>
  <c r="J215" i="15"/>
  <c r="J189" i="15"/>
  <c r="J223" i="15"/>
  <c r="J206" i="15"/>
  <c r="J208" i="15"/>
  <c r="J218" i="15"/>
  <c r="J216" i="15"/>
  <c r="J195" i="15"/>
  <c r="J201" i="15"/>
  <c r="J202" i="15"/>
  <c r="J217" i="15"/>
  <c r="J211" i="15"/>
  <c r="J198" i="15"/>
  <c r="J207" i="15"/>
  <c r="J191" i="15"/>
  <c r="J219" i="15"/>
  <c r="J192" i="15"/>
  <c r="J220" i="15"/>
  <c r="J213" i="15"/>
  <c r="J224" i="15"/>
  <c r="J228" i="15"/>
  <c r="J221" i="15"/>
  <c r="C207" i="119"/>
  <c r="D207" i="119" s="1"/>
  <c r="E154" i="6"/>
  <c r="C87" i="6"/>
  <c r="C91" i="6" s="1"/>
  <c r="J43" i="33"/>
  <c r="K46" i="33" s="1"/>
  <c r="G19" i="34"/>
  <c r="G22" i="34" s="1"/>
  <c r="K47" i="33"/>
  <c r="H19" i="34" s="1"/>
  <c r="J175" i="15"/>
  <c r="J147" i="15"/>
  <c r="J162" i="15"/>
  <c r="J156" i="15"/>
  <c r="J165" i="15"/>
  <c r="J163" i="15"/>
  <c r="J149" i="15"/>
  <c r="J179" i="15"/>
  <c r="J143" i="15"/>
  <c r="J157" i="15"/>
  <c r="J146" i="15"/>
  <c r="J153" i="15"/>
  <c r="J167" i="15"/>
  <c r="J152" i="15"/>
  <c r="J150" i="15"/>
  <c r="D58" i="15" l="1"/>
  <c r="E57" i="15"/>
  <c r="B58" i="15"/>
  <c r="R75" i="15" s="1"/>
  <c r="J214" i="15"/>
  <c r="J200" i="15"/>
  <c r="J204" i="15"/>
  <c r="J226" i="15"/>
  <c r="J193" i="15"/>
  <c r="J190" i="15"/>
  <c r="J212" i="15"/>
  <c r="J209" i="15"/>
  <c r="J222" i="15"/>
  <c r="J197" i="15"/>
  <c r="C96" i="6"/>
  <c r="E96" i="6" s="1"/>
  <c r="C90" i="6"/>
  <c r="E90" i="6" s="1"/>
  <c r="C93" i="6"/>
  <c r="E93" i="6" s="1"/>
  <c r="J196" i="15"/>
  <c r="J210" i="15"/>
  <c r="J194" i="15"/>
  <c r="J203" i="15"/>
  <c r="J199" i="15"/>
  <c r="E105" i="34"/>
  <c r="F83" i="34" s="1"/>
  <c r="F89" i="34" s="1"/>
  <c r="C105" i="34"/>
  <c r="D83" i="34" s="1"/>
  <c r="D84" i="34" s="1"/>
  <c r="E156" i="6" s="1"/>
  <c r="D105" i="34"/>
  <c r="E83" i="34" s="1"/>
  <c r="E84" i="34" s="1"/>
  <c r="B208" i="119"/>
  <c r="C120" i="34"/>
  <c r="C121" i="34" s="1"/>
  <c r="D77" i="34" s="1"/>
  <c r="D120" i="34"/>
  <c r="D121" i="34" s="1"/>
  <c r="E77" i="34" s="1"/>
  <c r="E120" i="34"/>
  <c r="E121" i="34" s="1"/>
  <c r="F77" i="34" s="1"/>
  <c r="C71" i="34"/>
  <c r="E71" i="34"/>
  <c r="D71" i="34"/>
  <c r="D42" i="34"/>
  <c r="H20" i="34"/>
  <c r="H22" i="34" s="1"/>
  <c r="K48" i="33"/>
  <c r="R107" i="15"/>
  <c r="R106" i="15"/>
  <c r="E91" i="6"/>
  <c r="R104" i="15" l="1"/>
  <c r="R72" i="15"/>
  <c r="R50" i="15"/>
  <c r="R48" i="15"/>
  <c r="R66" i="15"/>
  <c r="R93" i="15"/>
  <c r="R85" i="15"/>
  <c r="R97" i="15"/>
  <c r="R98" i="15"/>
  <c r="R101" i="15"/>
  <c r="R78" i="15"/>
  <c r="R80" i="15"/>
  <c r="R70" i="15"/>
  <c r="R83" i="15"/>
  <c r="R82" i="15"/>
  <c r="R90" i="15"/>
  <c r="R99" i="15"/>
  <c r="R84" i="15"/>
  <c r="R74" i="15"/>
  <c r="R87" i="15"/>
  <c r="R79" i="15"/>
  <c r="R71" i="15"/>
  <c r="R92" i="15"/>
  <c r="R88" i="15"/>
  <c r="R73" i="15"/>
  <c r="R105" i="15"/>
  <c r="R94" i="15"/>
  <c r="R91" i="15"/>
  <c r="R89" i="15"/>
  <c r="R102" i="15"/>
  <c r="R95" i="15"/>
  <c r="R68" i="15"/>
  <c r="R76" i="15"/>
  <c r="R86" i="15"/>
  <c r="R96" i="15"/>
  <c r="R69" i="15"/>
  <c r="R100" i="15"/>
  <c r="R81" i="15"/>
  <c r="R103" i="15"/>
  <c r="R77" i="15"/>
  <c r="R67" i="15"/>
  <c r="J231" i="15"/>
  <c r="J232" i="15" s="1"/>
  <c r="J233" i="15" s="1"/>
  <c r="D89" i="34"/>
  <c r="D78" i="34" s="1"/>
  <c r="D80" i="34" s="1"/>
  <c r="F84" i="34"/>
  <c r="E89" i="34"/>
  <c r="E90" i="34" s="1"/>
  <c r="F105" i="34"/>
  <c r="G83" i="34" s="1"/>
  <c r="G84" i="34" s="1"/>
  <c r="C208" i="119"/>
  <c r="D208" i="119" s="1"/>
  <c r="F120" i="34"/>
  <c r="F121" i="34" s="1"/>
  <c r="G77" i="34" s="1"/>
  <c r="E158" i="6" s="1"/>
  <c r="E159" i="6" s="1"/>
  <c r="E97" i="6"/>
  <c r="G26" i="17" s="1"/>
  <c r="H26" i="17" s="1"/>
  <c r="F78" i="34"/>
  <c r="F80" i="34" s="1"/>
  <c r="F90" i="34"/>
  <c r="R114" i="15" l="1"/>
  <c r="R115" i="15"/>
  <c r="B125" i="15" s="1"/>
  <c r="R116" i="15"/>
  <c r="R117" i="15" s="1"/>
  <c r="V48" i="119" s="1"/>
  <c r="E167" i="119" s="1"/>
  <c r="G89" i="34"/>
  <c r="G90" i="34" s="1"/>
  <c r="D90" i="34"/>
  <c r="E78" i="34"/>
  <c r="E80" i="34" s="1"/>
  <c r="B209" i="119"/>
  <c r="G49" i="17"/>
  <c r="H49" i="17" s="1"/>
  <c r="G37" i="17"/>
  <c r="H37" i="17" s="1"/>
  <c r="G20" i="17"/>
  <c r="H20" i="17" s="1"/>
  <c r="G43" i="17"/>
  <c r="H43" i="17" s="1"/>
  <c r="G39" i="17"/>
  <c r="H39" i="17" s="1"/>
  <c r="G30" i="17"/>
  <c r="H30" i="17" s="1"/>
  <c r="G54" i="17"/>
  <c r="H54" i="17" s="1"/>
  <c r="G40" i="17"/>
  <c r="H40" i="17" s="1"/>
  <c r="G18" i="17"/>
  <c r="H18" i="17" s="1"/>
  <c r="G47" i="17"/>
  <c r="H47" i="17" s="1"/>
  <c r="G46" i="17"/>
  <c r="H46" i="17" s="1"/>
  <c r="G57" i="17"/>
  <c r="H57" i="17" s="1"/>
  <c r="I107" i="15" s="1"/>
  <c r="B91" i="14" s="1"/>
  <c r="G23" i="17"/>
  <c r="H23" i="17" s="1"/>
  <c r="G56" i="17"/>
  <c r="H56" i="17" s="1"/>
  <c r="I106" i="15" s="1"/>
  <c r="B90" i="14" s="1"/>
  <c r="G53" i="17"/>
  <c r="H53" i="17" s="1"/>
  <c r="G51" i="17"/>
  <c r="H51" i="17" s="1"/>
  <c r="G25" i="17"/>
  <c r="H25" i="17" s="1"/>
  <c r="G38" i="17"/>
  <c r="H38" i="17" s="1"/>
  <c r="G34" i="17"/>
  <c r="H34" i="17" s="1"/>
  <c r="G31" i="17"/>
  <c r="H31" i="17" s="1"/>
  <c r="G19" i="17"/>
  <c r="H19" i="17" s="1"/>
  <c r="C106" i="6"/>
  <c r="G50" i="17"/>
  <c r="H50" i="17" s="1"/>
  <c r="G27" i="17"/>
  <c r="H27" i="17" s="1"/>
  <c r="G21" i="17"/>
  <c r="H21" i="17" s="1"/>
  <c r="G48" i="17"/>
  <c r="H48" i="17" s="1"/>
  <c r="G42" i="17"/>
  <c r="H42" i="17" s="1"/>
  <c r="G35" i="17"/>
  <c r="H35" i="17" s="1"/>
  <c r="G32" i="17"/>
  <c r="H32" i="17" s="1"/>
  <c r="G55" i="17"/>
  <c r="H55" i="17" s="1"/>
  <c r="G41" i="17"/>
  <c r="H41" i="17" s="1"/>
  <c r="G24" i="17"/>
  <c r="H24" i="17" s="1"/>
  <c r="I74" i="15" s="1"/>
  <c r="B58" i="14" s="1"/>
  <c r="G22" i="17"/>
  <c r="H22" i="17" s="1"/>
  <c r="G33" i="17"/>
  <c r="H33" i="17" s="1"/>
  <c r="G44" i="17"/>
  <c r="H44" i="17" s="1"/>
  <c r="G52" i="17"/>
  <c r="H52" i="17" s="1"/>
  <c r="G36" i="17"/>
  <c r="H36" i="17" s="1"/>
  <c r="G45" i="17"/>
  <c r="H45" i="17" s="1"/>
  <c r="G29" i="17"/>
  <c r="H29" i="17" s="1"/>
  <c r="G28" i="17"/>
  <c r="H28" i="17" s="1"/>
  <c r="C15" i="34" l="1"/>
  <c r="I94" i="15"/>
  <c r="B78" i="14" s="1"/>
  <c r="O78" i="14" s="1"/>
  <c r="I102" i="15"/>
  <c r="B86" i="14" s="1"/>
  <c r="I86" i="14" s="1"/>
  <c r="I71" i="15"/>
  <c r="B55" i="14" s="1"/>
  <c r="E55" i="14" s="1"/>
  <c r="I78" i="15"/>
  <c r="B62" i="14" s="1"/>
  <c r="J62" i="14" s="1"/>
  <c r="I85" i="15"/>
  <c r="B69" i="14" s="1"/>
  <c r="K69" i="14" s="1"/>
  <c r="I72" i="15"/>
  <c r="B56" i="14" s="1"/>
  <c r="D56" i="14" s="1"/>
  <c r="I88" i="15"/>
  <c r="B72" i="14" s="1"/>
  <c r="P72" i="14" s="1"/>
  <c r="I95" i="15"/>
  <c r="B79" i="14" s="1"/>
  <c r="S79" i="14" s="1"/>
  <c r="I98" i="15"/>
  <c r="B82" i="14" s="1"/>
  <c r="S82" i="14" s="1"/>
  <c r="I101" i="15"/>
  <c r="B85" i="14" s="1"/>
  <c r="J85" i="14" s="1"/>
  <c r="I97" i="15"/>
  <c r="B81" i="14" s="1"/>
  <c r="F81" i="14" s="1"/>
  <c r="I87" i="15"/>
  <c r="B71" i="14" s="1"/>
  <c r="T71" i="14" s="1"/>
  <c r="I82" i="15"/>
  <c r="B66" i="14" s="1"/>
  <c r="H66" i="14" s="1"/>
  <c r="I83" i="15"/>
  <c r="B67" i="14" s="1"/>
  <c r="F67" i="14" s="1"/>
  <c r="I79" i="15"/>
  <c r="B63" i="14" s="1"/>
  <c r="H63" i="14" s="1"/>
  <c r="I91" i="15"/>
  <c r="B75" i="14" s="1"/>
  <c r="W75" i="14" s="1"/>
  <c r="I105" i="15"/>
  <c r="B89" i="14" s="1"/>
  <c r="U89" i="14" s="1"/>
  <c r="I86" i="15"/>
  <c r="B70" i="14" s="1"/>
  <c r="P70" i="14" s="1"/>
  <c r="I92" i="15"/>
  <c r="B76" i="14" s="1"/>
  <c r="R76" i="14" s="1"/>
  <c r="I84" i="15"/>
  <c r="B68" i="14" s="1"/>
  <c r="O68" i="14" s="1"/>
  <c r="I96" i="15"/>
  <c r="B80" i="14" s="1"/>
  <c r="S80" i="14" s="1"/>
  <c r="I70" i="15"/>
  <c r="B54" i="14" s="1"/>
  <c r="J54" i="14" s="1"/>
  <c r="I75" i="15"/>
  <c r="B59" i="14" s="1"/>
  <c r="E59" i="14" s="1"/>
  <c r="I68" i="15"/>
  <c r="I66" i="15"/>
  <c r="I99" i="15"/>
  <c r="B83" i="14" s="1"/>
  <c r="Q83" i="14" s="1"/>
  <c r="I77" i="15"/>
  <c r="B61" i="14" s="1"/>
  <c r="H61" i="14" s="1"/>
  <c r="I90" i="15"/>
  <c r="B74" i="14" s="1"/>
  <c r="R74" i="14" s="1"/>
  <c r="I100" i="15"/>
  <c r="B84" i="14" s="1"/>
  <c r="O84" i="14" s="1"/>
  <c r="I103" i="15"/>
  <c r="B87" i="14" s="1"/>
  <c r="T87" i="14" s="1"/>
  <c r="I104" i="15"/>
  <c r="B88" i="14" s="1"/>
  <c r="N88" i="14" s="1"/>
  <c r="I80" i="15"/>
  <c r="B64" i="14" s="1"/>
  <c r="S64" i="14" s="1"/>
  <c r="I69" i="15"/>
  <c r="B53" i="14" s="1"/>
  <c r="G53" i="14" s="1"/>
  <c r="I67" i="15"/>
  <c r="B51" i="14" s="1"/>
  <c r="I73" i="15"/>
  <c r="B57" i="14" s="1"/>
  <c r="L57" i="14" s="1"/>
  <c r="I89" i="15"/>
  <c r="B73" i="14" s="1"/>
  <c r="L73" i="14" s="1"/>
  <c r="I81" i="15"/>
  <c r="B65" i="14" s="1"/>
  <c r="I65" i="14" s="1"/>
  <c r="I93" i="15"/>
  <c r="B77" i="14" s="1"/>
  <c r="Q77" i="14" s="1"/>
  <c r="I76" i="15"/>
  <c r="B60" i="14" s="1"/>
  <c r="T60" i="14" s="1"/>
  <c r="G78" i="34"/>
  <c r="G80" i="34" s="1"/>
  <c r="C209" i="119"/>
  <c r="D209" i="119" s="1"/>
  <c r="B51" i="15"/>
  <c r="H65" i="15" s="1"/>
  <c r="E116" i="6"/>
  <c r="E122" i="6" s="1"/>
  <c r="C9" i="119" s="1"/>
  <c r="I199" i="119" s="1"/>
  <c r="C8" i="119"/>
  <c r="Q58" i="14"/>
  <c r="N58" i="14"/>
  <c r="P58" i="14"/>
  <c r="L58" i="14"/>
  <c r="I58" i="14"/>
  <c r="J58" i="14"/>
  <c r="S58" i="14"/>
  <c r="U58" i="14"/>
  <c r="H58" i="14"/>
  <c r="G58" i="14"/>
  <c r="E58" i="14"/>
  <c r="K58" i="14"/>
  <c r="V58" i="14"/>
  <c r="O58" i="14"/>
  <c r="M58" i="14"/>
  <c r="T58" i="14"/>
  <c r="F58" i="14"/>
  <c r="D58" i="14"/>
  <c r="R58" i="14"/>
  <c r="C58" i="14"/>
  <c r="W58" i="14"/>
  <c r="H90" i="14"/>
  <c r="K90" i="14"/>
  <c r="U90" i="14"/>
  <c r="T90" i="14"/>
  <c r="G90" i="14"/>
  <c r="I90" i="14"/>
  <c r="J90" i="14"/>
  <c r="S90" i="14"/>
  <c r="V90" i="14"/>
  <c r="D90" i="14"/>
  <c r="M90" i="14"/>
  <c r="N90" i="14"/>
  <c r="W90" i="14"/>
  <c r="O90" i="14"/>
  <c r="P90" i="14"/>
  <c r="F90" i="14"/>
  <c r="L90" i="14"/>
  <c r="Q90" i="14"/>
  <c r="E90" i="14"/>
  <c r="R90" i="14"/>
  <c r="C90" i="14"/>
  <c r="S91" i="14"/>
  <c r="J91" i="14"/>
  <c r="O91" i="14"/>
  <c r="R91" i="14"/>
  <c r="H91" i="14"/>
  <c r="D91" i="14"/>
  <c r="V91" i="14"/>
  <c r="T91" i="14"/>
  <c r="L91" i="14"/>
  <c r="W91" i="14"/>
  <c r="B164" i="14" s="1"/>
  <c r="N91" i="14"/>
  <c r="Q91" i="14"/>
  <c r="K91" i="14"/>
  <c r="U91" i="14"/>
  <c r="C91" i="14"/>
  <c r="P91" i="14"/>
  <c r="E91" i="14"/>
  <c r="I91" i="14"/>
  <c r="F91" i="14"/>
  <c r="M91" i="14"/>
  <c r="G91" i="14"/>
  <c r="P81" i="14" l="1"/>
  <c r="H81" i="14"/>
  <c r="I81" i="14"/>
  <c r="M81" i="14"/>
  <c r="S81" i="14"/>
  <c r="K81" i="14"/>
  <c r="R81" i="14"/>
  <c r="C81" i="14"/>
  <c r="W81" i="14"/>
  <c r="O81" i="14"/>
  <c r="V81" i="14"/>
  <c r="R78" i="14"/>
  <c r="G78" i="14"/>
  <c r="V78" i="14"/>
  <c r="Q78" i="14"/>
  <c r="E78" i="14"/>
  <c r="N78" i="14"/>
  <c r="G62" i="14"/>
  <c r="M78" i="14"/>
  <c r="Q69" i="14"/>
  <c r="S62" i="14"/>
  <c r="M62" i="14"/>
  <c r="W62" i="14"/>
  <c r="C62" i="14"/>
  <c r="E62" i="14"/>
  <c r="W78" i="14"/>
  <c r="V62" i="14"/>
  <c r="K62" i="14"/>
  <c r="R62" i="14"/>
  <c r="L62" i="14"/>
  <c r="O62" i="14"/>
  <c r="F62" i="14"/>
  <c r="D78" i="14"/>
  <c r="H62" i="14"/>
  <c r="C78" i="14"/>
  <c r="J78" i="14"/>
  <c r="Q62" i="14"/>
  <c r="P62" i="14"/>
  <c r="K78" i="14"/>
  <c r="S78" i="14"/>
  <c r="U78" i="14"/>
  <c r="T62" i="14"/>
  <c r="I62" i="14"/>
  <c r="L78" i="14"/>
  <c r="T78" i="14"/>
  <c r="N62" i="14"/>
  <c r="U62" i="14"/>
  <c r="D62" i="14"/>
  <c r="H78" i="14"/>
  <c r="P78" i="14"/>
  <c r="E76" i="14"/>
  <c r="U81" i="14"/>
  <c r="J81" i="14"/>
  <c r="T81" i="14"/>
  <c r="Q81" i="14"/>
  <c r="G81" i="14"/>
  <c r="E81" i="14"/>
  <c r="L81" i="14"/>
  <c r="D81" i="14"/>
  <c r="N81" i="14"/>
  <c r="I78" i="14"/>
  <c r="F78" i="14"/>
  <c r="C69" i="14"/>
  <c r="G54" i="14"/>
  <c r="L67" i="14"/>
  <c r="I54" i="14"/>
  <c r="C67" i="14"/>
  <c r="J67" i="14"/>
  <c r="V67" i="14"/>
  <c r="D67" i="14"/>
  <c r="I67" i="14"/>
  <c r="P55" i="14"/>
  <c r="T55" i="14"/>
  <c r="M55" i="14"/>
  <c r="P86" i="14"/>
  <c r="D86" i="14"/>
  <c r="Q67" i="14"/>
  <c r="K67" i="14"/>
  <c r="N54" i="14"/>
  <c r="T67" i="14"/>
  <c r="M67" i="14"/>
  <c r="P67" i="14"/>
  <c r="D55" i="14"/>
  <c r="N55" i="14"/>
  <c r="N69" i="14"/>
  <c r="O55" i="14"/>
  <c r="Q55" i="14"/>
  <c r="F55" i="14"/>
  <c r="G69" i="14"/>
  <c r="U87" i="14"/>
  <c r="V55" i="14"/>
  <c r="S55" i="14"/>
  <c r="R55" i="14"/>
  <c r="H56" i="14"/>
  <c r="S69" i="14"/>
  <c r="J55" i="14"/>
  <c r="G55" i="14"/>
  <c r="C55" i="14"/>
  <c r="K55" i="14"/>
  <c r="H55" i="14"/>
  <c r="D69" i="14"/>
  <c r="U55" i="14"/>
  <c r="I55" i="14"/>
  <c r="V69" i="14"/>
  <c r="W55" i="14"/>
  <c r="L55" i="14"/>
  <c r="M69" i="14"/>
  <c r="R71" i="14"/>
  <c r="C79" i="14"/>
  <c r="D75" i="14"/>
  <c r="G75" i="14"/>
  <c r="N86" i="14"/>
  <c r="G86" i="14"/>
  <c r="J86" i="14"/>
  <c r="S86" i="14"/>
  <c r="H86" i="14"/>
  <c r="U86" i="14"/>
  <c r="O72" i="14"/>
  <c r="W72" i="14"/>
  <c r="E72" i="14"/>
  <c r="D72" i="14"/>
  <c r="E88" i="14"/>
  <c r="N72" i="14"/>
  <c r="M88" i="14"/>
  <c r="Q72" i="14"/>
  <c r="C72" i="14"/>
  <c r="Q88" i="14"/>
  <c r="T72" i="14"/>
  <c r="W86" i="14"/>
  <c r="O86" i="14"/>
  <c r="W56" i="14"/>
  <c r="M86" i="14"/>
  <c r="T86" i="14"/>
  <c r="Q86" i="14"/>
  <c r="R86" i="14"/>
  <c r="V71" i="14"/>
  <c r="W71" i="14"/>
  <c r="E86" i="14"/>
  <c r="M63" i="14"/>
  <c r="C86" i="14"/>
  <c r="K86" i="14"/>
  <c r="L86" i="14"/>
  <c r="Q71" i="14"/>
  <c r="W85" i="14"/>
  <c r="C71" i="14"/>
  <c r="K79" i="14"/>
  <c r="N75" i="14"/>
  <c r="L75" i="14"/>
  <c r="H75" i="14"/>
  <c r="C64" i="14"/>
  <c r="L64" i="14"/>
  <c r="V64" i="14"/>
  <c r="H64" i="14"/>
  <c r="T64" i="14"/>
  <c r="E64" i="14"/>
  <c r="F77" i="14"/>
  <c r="I68" i="14"/>
  <c r="S75" i="14"/>
  <c r="V86" i="14"/>
  <c r="F86" i="14"/>
  <c r="M71" i="14"/>
  <c r="P89" i="14"/>
  <c r="E67" i="14"/>
  <c r="S67" i="14"/>
  <c r="K54" i="14"/>
  <c r="G77" i="14"/>
  <c r="T56" i="14"/>
  <c r="U67" i="14"/>
  <c r="N67" i="14"/>
  <c r="T54" i="14"/>
  <c r="H77" i="14"/>
  <c r="U56" i="14"/>
  <c r="W67" i="14"/>
  <c r="R67" i="14"/>
  <c r="G67" i="14"/>
  <c r="S77" i="14"/>
  <c r="F87" i="14"/>
  <c r="C56" i="14"/>
  <c r="V87" i="14"/>
  <c r="Q56" i="14"/>
  <c r="E77" i="14"/>
  <c r="H67" i="14"/>
  <c r="O67" i="14"/>
  <c r="O87" i="14"/>
  <c r="F56" i="14"/>
  <c r="L87" i="14"/>
  <c r="S56" i="14"/>
  <c r="C89" i="14"/>
  <c r="W89" i="14"/>
  <c r="B162" i="14" s="1"/>
  <c r="P56" i="14"/>
  <c r="R56" i="14"/>
  <c r="L89" i="14"/>
  <c r="W53" i="14"/>
  <c r="U53" i="14"/>
  <c r="V89" i="14"/>
  <c r="C82" i="14"/>
  <c r="Q53" i="14"/>
  <c r="M89" i="14"/>
  <c r="Q82" i="14"/>
  <c r="J56" i="14"/>
  <c r="F82" i="14"/>
  <c r="K85" i="14"/>
  <c r="K56" i="14"/>
  <c r="J89" i="14"/>
  <c r="K89" i="14"/>
  <c r="R89" i="14"/>
  <c r="T69" i="14"/>
  <c r="F69" i="14"/>
  <c r="H82" i="14"/>
  <c r="M82" i="14"/>
  <c r="U82" i="14"/>
  <c r="C53" i="14"/>
  <c r="S53" i="14"/>
  <c r="F53" i="14"/>
  <c r="I89" i="14"/>
  <c r="H89" i="14"/>
  <c r="T89" i="14"/>
  <c r="L69" i="14"/>
  <c r="P69" i="14"/>
  <c r="N82" i="14"/>
  <c r="J82" i="14"/>
  <c r="P82" i="14"/>
  <c r="N53" i="14"/>
  <c r="O53" i="14"/>
  <c r="E53" i="14"/>
  <c r="Q89" i="14"/>
  <c r="N89" i="14"/>
  <c r="F89" i="14"/>
  <c r="W69" i="14"/>
  <c r="R69" i="14"/>
  <c r="E69" i="14"/>
  <c r="K82" i="14"/>
  <c r="V82" i="14"/>
  <c r="E82" i="14"/>
  <c r="H53" i="14"/>
  <c r="I53" i="14"/>
  <c r="V53" i="14"/>
  <c r="T82" i="14"/>
  <c r="R82" i="14"/>
  <c r="D82" i="14"/>
  <c r="M53" i="14"/>
  <c r="K53" i="14"/>
  <c r="L53" i="14"/>
  <c r="E89" i="14"/>
  <c r="S89" i="14"/>
  <c r="L82" i="14"/>
  <c r="O82" i="14"/>
  <c r="P53" i="14"/>
  <c r="J53" i="14"/>
  <c r="O89" i="14"/>
  <c r="G89" i="14"/>
  <c r="H69" i="14"/>
  <c r="I69" i="14"/>
  <c r="O69" i="14"/>
  <c r="I82" i="14"/>
  <c r="G82" i="14"/>
  <c r="D53" i="14"/>
  <c r="R53" i="14"/>
  <c r="D89" i="14"/>
  <c r="J69" i="14"/>
  <c r="U69" i="14"/>
  <c r="W82" i="14"/>
  <c r="T53" i="14"/>
  <c r="P85" i="14"/>
  <c r="N56" i="14"/>
  <c r="L56" i="14"/>
  <c r="V56" i="14"/>
  <c r="I56" i="14"/>
  <c r="P59" i="14"/>
  <c r="O59" i="14"/>
  <c r="N85" i="14"/>
  <c r="F85" i="14"/>
  <c r="O85" i="14"/>
  <c r="Q85" i="14"/>
  <c r="I85" i="14"/>
  <c r="D85" i="14"/>
  <c r="M85" i="14"/>
  <c r="U85" i="14"/>
  <c r="G85" i="14"/>
  <c r="H85" i="14"/>
  <c r="R85" i="14"/>
  <c r="V85" i="14"/>
  <c r="C85" i="14"/>
  <c r="S85" i="14"/>
  <c r="L85" i="14"/>
  <c r="E85" i="14"/>
  <c r="T85" i="14"/>
  <c r="I64" i="14"/>
  <c r="F64" i="14"/>
  <c r="E79" i="14"/>
  <c r="J79" i="14"/>
  <c r="W64" i="14"/>
  <c r="P64" i="14"/>
  <c r="U64" i="14"/>
  <c r="L72" i="14"/>
  <c r="J72" i="14"/>
  <c r="C88" i="14"/>
  <c r="C75" i="14"/>
  <c r="U75" i="14"/>
  <c r="I75" i="14"/>
  <c r="G63" i="14"/>
  <c r="H59" i="14"/>
  <c r="D79" i="14"/>
  <c r="W79" i="14"/>
  <c r="T79" i="14"/>
  <c r="T75" i="14"/>
  <c r="K75" i="14"/>
  <c r="N64" i="14"/>
  <c r="J64" i="14"/>
  <c r="K64" i="14"/>
  <c r="I72" i="14"/>
  <c r="V72" i="14"/>
  <c r="K72" i="14"/>
  <c r="O88" i="14"/>
  <c r="M75" i="14"/>
  <c r="V75" i="14"/>
  <c r="V79" i="14"/>
  <c r="O79" i="14"/>
  <c r="D64" i="14"/>
  <c r="R64" i="14"/>
  <c r="F72" i="14"/>
  <c r="U72" i="14"/>
  <c r="G72" i="14"/>
  <c r="G88" i="14"/>
  <c r="P75" i="14"/>
  <c r="J75" i="14"/>
  <c r="W63" i="14"/>
  <c r="I79" i="14"/>
  <c r="G79" i="14"/>
  <c r="Q64" i="14"/>
  <c r="M64" i="14"/>
  <c r="R72" i="14"/>
  <c r="S72" i="14"/>
  <c r="M72" i="14"/>
  <c r="E75" i="14"/>
  <c r="O75" i="14"/>
  <c r="N63" i="14"/>
  <c r="H79" i="14"/>
  <c r="G64" i="14"/>
  <c r="O64" i="14"/>
  <c r="H72" i="14"/>
  <c r="R75" i="14"/>
  <c r="F75" i="14"/>
  <c r="T63" i="14"/>
  <c r="L79" i="14"/>
  <c r="E56" i="14"/>
  <c r="O56" i="14"/>
  <c r="G56" i="14"/>
  <c r="M56" i="14"/>
  <c r="V66" i="14"/>
  <c r="D66" i="14"/>
  <c r="G66" i="14"/>
  <c r="U71" i="14"/>
  <c r="L71" i="14"/>
  <c r="K68" i="14"/>
  <c r="P71" i="14"/>
  <c r="F71" i="14"/>
  <c r="N71" i="14"/>
  <c r="O71" i="14"/>
  <c r="D84" i="14"/>
  <c r="H71" i="14"/>
  <c r="T73" i="14"/>
  <c r="Q66" i="14"/>
  <c r="G71" i="14"/>
  <c r="T65" i="14"/>
  <c r="W66" i="14"/>
  <c r="T66" i="14"/>
  <c r="R84" i="14"/>
  <c r="G65" i="14"/>
  <c r="I66" i="14"/>
  <c r="F66" i="14"/>
  <c r="O66" i="14"/>
  <c r="S66" i="14"/>
  <c r="U66" i="14"/>
  <c r="J66" i="14"/>
  <c r="W84" i="14"/>
  <c r="J65" i="14"/>
  <c r="C66" i="14"/>
  <c r="K66" i="14"/>
  <c r="M66" i="14"/>
  <c r="N66" i="14"/>
  <c r="P66" i="14"/>
  <c r="R66" i="14"/>
  <c r="M84" i="14"/>
  <c r="E65" i="14"/>
  <c r="M80" i="14"/>
  <c r="L66" i="14"/>
  <c r="E66" i="14"/>
  <c r="V84" i="14"/>
  <c r="N65" i="14"/>
  <c r="C80" i="14"/>
  <c r="D80" i="14"/>
  <c r="F80" i="14"/>
  <c r="R80" i="14"/>
  <c r="I80" i="14"/>
  <c r="T59" i="14"/>
  <c r="K71" i="14"/>
  <c r="I71" i="14"/>
  <c r="Q79" i="14"/>
  <c r="M79" i="14"/>
  <c r="F79" i="14"/>
  <c r="Q59" i="14"/>
  <c r="D71" i="14"/>
  <c r="J71" i="14"/>
  <c r="S71" i="14"/>
  <c r="P79" i="14"/>
  <c r="N79" i="14"/>
  <c r="I59" i="14"/>
  <c r="E71" i="14"/>
  <c r="R79" i="14"/>
  <c r="U79" i="14"/>
  <c r="H88" i="14"/>
  <c r="R88" i="14"/>
  <c r="T88" i="14"/>
  <c r="C63" i="14"/>
  <c r="E63" i="14"/>
  <c r="D63" i="14"/>
  <c r="N59" i="14"/>
  <c r="M59" i="14"/>
  <c r="M60" i="14"/>
  <c r="I88" i="14"/>
  <c r="V88" i="14"/>
  <c r="P88" i="14"/>
  <c r="P63" i="14"/>
  <c r="U63" i="14"/>
  <c r="L63" i="14"/>
  <c r="D59" i="14"/>
  <c r="L59" i="14"/>
  <c r="D60" i="14"/>
  <c r="K88" i="14"/>
  <c r="F88" i="14"/>
  <c r="V63" i="14"/>
  <c r="S63" i="14"/>
  <c r="O63" i="14"/>
  <c r="S59" i="14"/>
  <c r="F59" i="14"/>
  <c r="W88" i="14"/>
  <c r="D88" i="14"/>
  <c r="J63" i="14"/>
  <c r="I63" i="14"/>
  <c r="K63" i="14"/>
  <c r="W59" i="14"/>
  <c r="U59" i="14"/>
  <c r="G59" i="14"/>
  <c r="J88" i="14"/>
  <c r="L88" i="14"/>
  <c r="R63" i="14"/>
  <c r="F63" i="14"/>
  <c r="C59" i="14"/>
  <c r="K59" i="14"/>
  <c r="V59" i="14"/>
  <c r="S88" i="14"/>
  <c r="U88" i="14"/>
  <c r="Q63" i="14"/>
  <c r="J59" i="14"/>
  <c r="R59" i="14"/>
  <c r="V60" i="14"/>
  <c r="N70" i="14"/>
  <c r="E70" i="14"/>
  <c r="N83" i="14"/>
  <c r="M83" i="14"/>
  <c r="V83" i="14"/>
  <c r="J70" i="14"/>
  <c r="O83" i="14"/>
  <c r="R83" i="14"/>
  <c r="D70" i="14"/>
  <c r="F83" i="14"/>
  <c r="E83" i="14"/>
  <c r="O70" i="14"/>
  <c r="H83" i="14"/>
  <c r="J83" i="14"/>
  <c r="W70" i="14"/>
  <c r="V70" i="14"/>
  <c r="T70" i="14"/>
  <c r="Q75" i="14"/>
  <c r="K70" i="14"/>
  <c r="C83" i="14"/>
  <c r="L83" i="14"/>
  <c r="D83" i="14"/>
  <c r="C70" i="14"/>
  <c r="S70" i="14"/>
  <c r="R70" i="14"/>
  <c r="S83" i="14"/>
  <c r="G83" i="14"/>
  <c r="P83" i="14"/>
  <c r="H70" i="14"/>
  <c r="U70" i="14"/>
  <c r="M70" i="14"/>
  <c r="W83" i="14"/>
  <c r="I83" i="14"/>
  <c r="U83" i="14"/>
  <c r="F70" i="14"/>
  <c r="L70" i="14"/>
  <c r="Q70" i="14"/>
  <c r="K83" i="14"/>
  <c r="T83" i="14"/>
  <c r="G70" i="14"/>
  <c r="I70" i="14"/>
  <c r="N76" i="14"/>
  <c r="F57" i="14"/>
  <c r="Q57" i="14"/>
  <c r="D61" i="14"/>
  <c r="L74" i="14"/>
  <c r="Q61" i="14"/>
  <c r="J61" i="14"/>
  <c r="Q76" i="14"/>
  <c r="H57" i="14"/>
  <c r="C76" i="14"/>
  <c r="H76" i="14"/>
  <c r="S57" i="14"/>
  <c r="W61" i="14"/>
  <c r="U76" i="14"/>
  <c r="P57" i="14"/>
  <c r="P61" i="14"/>
  <c r="P76" i="14"/>
  <c r="V57" i="14"/>
  <c r="V61" i="14"/>
  <c r="W76" i="14"/>
  <c r="E57" i="14"/>
  <c r="G61" i="14"/>
  <c r="D76" i="14"/>
  <c r="U57" i="14"/>
  <c r="M73" i="14"/>
  <c r="S60" i="14"/>
  <c r="J60" i="14"/>
  <c r="L60" i="14"/>
  <c r="C60" i="14"/>
  <c r="H60" i="14"/>
  <c r="Q74" i="14"/>
  <c r="N60" i="14"/>
  <c r="U60" i="14"/>
  <c r="C73" i="14"/>
  <c r="K73" i="14"/>
  <c r="E73" i="14"/>
  <c r="I74" i="14"/>
  <c r="D74" i="14"/>
  <c r="L61" i="14"/>
  <c r="S61" i="14"/>
  <c r="K76" i="14"/>
  <c r="J76" i="14"/>
  <c r="M76" i="14"/>
  <c r="R57" i="14"/>
  <c r="I57" i="14"/>
  <c r="K57" i="14"/>
  <c r="W68" i="14"/>
  <c r="N68" i="14"/>
  <c r="P68" i="14"/>
  <c r="P73" i="14"/>
  <c r="W73" i="14"/>
  <c r="H73" i="14"/>
  <c r="J74" i="14"/>
  <c r="M74" i="14"/>
  <c r="Q68" i="14"/>
  <c r="C74" i="14"/>
  <c r="U74" i="14"/>
  <c r="C61" i="14"/>
  <c r="O61" i="14"/>
  <c r="M61" i="14"/>
  <c r="F76" i="14"/>
  <c r="I76" i="14"/>
  <c r="T76" i="14"/>
  <c r="D57" i="14"/>
  <c r="J57" i="14"/>
  <c r="H68" i="14"/>
  <c r="D68" i="14"/>
  <c r="J68" i="14"/>
  <c r="S73" i="14"/>
  <c r="J73" i="14"/>
  <c r="N73" i="14"/>
  <c r="O74" i="14"/>
  <c r="G74" i="14"/>
  <c r="K74" i="14"/>
  <c r="P60" i="14"/>
  <c r="U68" i="14"/>
  <c r="C68" i="14"/>
  <c r="W74" i="14"/>
  <c r="I61" i="14"/>
  <c r="K61" i="14"/>
  <c r="E61" i="14"/>
  <c r="L76" i="14"/>
  <c r="V76" i="14"/>
  <c r="M57" i="14"/>
  <c r="G57" i="14"/>
  <c r="M68" i="14"/>
  <c r="E68" i="14"/>
  <c r="R68" i="14"/>
  <c r="F73" i="14"/>
  <c r="G73" i="14"/>
  <c r="I73" i="14"/>
  <c r="P74" i="14"/>
  <c r="S74" i="14"/>
  <c r="N74" i="14"/>
  <c r="G68" i="14"/>
  <c r="R61" i="14"/>
  <c r="F61" i="14"/>
  <c r="U61" i="14"/>
  <c r="O76" i="14"/>
  <c r="G76" i="14"/>
  <c r="W57" i="14"/>
  <c r="O57" i="14"/>
  <c r="T57" i="14"/>
  <c r="V68" i="14"/>
  <c r="T68" i="14"/>
  <c r="F68" i="14"/>
  <c r="Q73" i="14"/>
  <c r="V73" i="14"/>
  <c r="F74" i="14"/>
  <c r="V74" i="14"/>
  <c r="H74" i="14"/>
  <c r="L68" i="14"/>
  <c r="O73" i="14"/>
  <c r="D73" i="14"/>
  <c r="R73" i="14"/>
  <c r="T61" i="14"/>
  <c r="N61" i="14"/>
  <c r="S76" i="14"/>
  <c r="C57" i="14"/>
  <c r="N57" i="14"/>
  <c r="S68" i="14"/>
  <c r="U73" i="14"/>
  <c r="E74" i="14"/>
  <c r="T74" i="14"/>
  <c r="E84" i="14"/>
  <c r="J84" i="14"/>
  <c r="D65" i="14"/>
  <c r="O65" i="14"/>
  <c r="F65" i="14"/>
  <c r="J80" i="14"/>
  <c r="V80" i="14"/>
  <c r="H80" i="14"/>
  <c r="S84" i="14"/>
  <c r="Q84" i="14"/>
  <c r="N84" i="14"/>
  <c r="L65" i="14"/>
  <c r="K65" i="14"/>
  <c r="M65" i="14"/>
  <c r="N80" i="14"/>
  <c r="W80" i="14"/>
  <c r="T80" i="14"/>
  <c r="L84" i="14"/>
  <c r="G84" i="14"/>
  <c r="V65" i="14"/>
  <c r="H65" i="14"/>
  <c r="E80" i="14"/>
  <c r="P80" i="14"/>
  <c r="U80" i="14"/>
  <c r="C84" i="14"/>
  <c r="T84" i="14"/>
  <c r="I84" i="14"/>
  <c r="U65" i="14"/>
  <c r="P65" i="14"/>
  <c r="L80" i="14"/>
  <c r="G80" i="14"/>
  <c r="G60" i="14"/>
  <c r="O60" i="14"/>
  <c r="K84" i="14"/>
  <c r="F84" i="14"/>
  <c r="H84" i="14"/>
  <c r="W65" i="14"/>
  <c r="S65" i="14"/>
  <c r="R65" i="14"/>
  <c r="K80" i="14"/>
  <c r="O80" i="14"/>
  <c r="P84" i="14"/>
  <c r="U84" i="14"/>
  <c r="C65" i="14"/>
  <c r="Q65" i="14"/>
  <c r="Q80" i="14"/>
  <c r="E54" i="14"/>
  <c r="P54" i="14"/>
  <c r="R54" i="14"/>
  <c r="R77" i="14"/>
  <c r="P77" i="14"/>
  <c r="O77" i="14"/>
  <c r="C87" i="14"/>
  <c r="R87" i="14"/>
  <c r="N87" i="14"/>
  <c r="I116" i="15"/>
  <c r="I117" i="15" s="1"/>
  <c r="O48" i="119" s="1"/>
  <c r="E160" i="119" s="1"/>
  <c r="L54" i="14"/>
  <c r="Q54" i="14"/>
  <c r="F54" i="14"/>
  <c r="M77" i="14"/>
  <c r="I77" i="14"/>
  <c r="T77" i="14"/>
  <c r="Q87" i="14"/>
  <c r="D87" i="14"/>
  <c r="E87" i="14"/>
  <c r="O54" i="14"/>
  <c r="V54" i="14"/>
  <c r="W77" i="14"/>
  <c r="U77" i="14"/>
  <c r="K77" i="14"/>
  <c r="K87" i="14"/>
  <c r="G87" i="14"/>
  <c r="S87" i="14"/>
  <c r="I114" i="15"/>
  <c r="D54" i="14"/>
  <c r="H54" i="14"/>
  <c r="N77" i="14"/>
  <c r="D77" i="14"/>
  <c r="I87" i="14"/>
  <c r="M87" i="14"/>
  <c r="P87" i="14"/>
  <c r="W54" i="14"/>
  <c r="S54" i="14"/>
  <c r="M54" i="14"/>
  <c r="J77" i="14"/>
  <c r="L77" i="14"/>
  <c r="H87" i="14"/>
  <c r="J87" i="14"/>
  <c r="I60" i="14"/>
  <c r="Q60" i="14"/>
  <c r="C54" i="14"/>
  <c r="U54" i="14"/>
  <c r="C77" i="14"/>
  <c r="V77" i="14"/>
  <c r="W87" i="14"/>
  <c r="I115" i="15"/>
  <c r="M51" i="14"/>
  <c r="L51" i="14"/>
  <c r="T51" i="14"/>
  <c r="J51" i="14"/>
  <c r="R51" i="14"/>
  <c r="W51" i="14"/>
  <c r="Q51" i="14"/>
  <c r="V51" i="14"/>
  <c r="I51" i="14"/>
  <c r="E51" i="14"/>
  <c r="N51" i="14"/>
  <c r="D51" i="14"/>
  <c r="O51" i="14"/>
  <c r="S51" i="14"/>
  <c r="U51" i="14"/>
  <c r="H51" i="14"/>
  <c r="G51" i="14"/>
  <c r="P51" i="14"/>
  <c r="C51" i="14"/>
  <c r="F51" i="14"/>
  <c r="K51" i="14"/>
  <c r="E60" i="14"/>
  <c r="K60" i="14"/>
  <c r="F60" i="14"/>
  <c r="W60" i="14"/>
  <c r="R60" i="14"/>
  <c r="B210" i="119"/>
  <c r="C93" i="119"/>
  <c r="D93" i="119" s="1"/>
  <c r="H199" i="119"/>
  <c r="C198" i="119" s="1"/>
  <c r="B56" i="15"/>
  <c r="H8" i="119"/>
  <c r="C92" i="119" s="1"/>
  <c r="D92" i="119" s="1"/>
  <c r="I8" i="119"/>
  <c r="C94" i="119" s="1"/>
  <c r="D94" i="119" s="1"/>
  <c r="G65" i="15"/>
  <c r="B53" i="15"/>
  <c r="B55" i="15" s="1"/>
  <c r="H67" i="15"/>
  <c r="H66" i="15"/>
  <c r="B54" i="15"/>
  <c r="B163" i="14"/>
  <c r="X58" i="14"/>
  <c r="X90" i="14"/>
  <c r="X91" i="14"/>
  <c r="C96" i="119"/>
  <c r="D96" i="119" s="1"/>
  <c r="H9" i="119"/>
  <c r="I9" i="119"/>
  <c r="C97" i="119" s="1"/>
  <c r="D97" i="119" s="1"/>
  <c r="D147" i="119" s="1"/>
  <c r="G114" i="15" l="1"/>
  <c r="C14" i="13"/>
  <c r="X62" i="14"/>
  <c r="X78" i="14"/>
  <c r="X81" i="14"/>
  <c r="X55" i="14"/>
  <c r="X86" i="14"/>
  <c r="B158" i="14"/>
  <c r="B161" i="14"/>
  <c r="X67" i="14"/>
  <c r="B159" i="14"/>
  <c r="X89" i="14"/>
  <c r="X53" i="14"/>
  <c r="X69" i="14"/>
  <c r="X56" i="14"/>
  <c r="X82" i="14"/>
  <c r="X72" i="14"/>
  <c r="X85" i="14"/>
  <c r="X64" i="14"/>
  <c r="X75" i="14"/>
  <c r="B156" i="14"/>
  <c r="X71" i="14"/>
  <c r="X88" i="14"/>
  <c r="X66" i="14"/>
  <c r="B160" i="14"/>
  <c r="X63" i="14"/>
  <c r="X59" i="14"/>
  <c r="X79" i="14"/>
  <c r="B157" i="14"/>
  <c r="B152" i="14"/>
  <c r="X70" i="14"/>
  <c r="B155" i="14"/>
  <c r="B148" i="14"/>
  <c r="X83" i="14"/>
  <c r="B149" i="14"/>
  <c r="B131" i="14"/>
  <c r="U99" i="15" s="1"/>
  <c r="B138" i="14"/>
  <c r="C138" i="14" s="1"/>
  <c r="B128" i="14"/>
  <c r="U96" i="15" s="1"/>
  <c r="B123" i="14"/>
  <c r="U91" i="15" s="1"/>
  <c r="B122" i="14"/>
  <c r="U90" i="15" s="1"/>
  <c r="B154" i="14"/>
  <c r="B146" i="14"/>
  <c r="B151" i="14"/>
  <c r="B130" i="14"/>
  <c r="U98" i="15" s="1"/>
  <c r="B125" i="14"/>
  <c r="U93" i="15" s="1"/>
  <c r="B127" i="14"/>
  <c r="U95" i="15" s="1"/>
  <c r="B147" i="14"/>
  <c r="B139" i="14"/>
  <c r="C139" i="14" s="1"/>
  <c r="X65" i="14"/>
  <c r="B137" i="14"/>
  <c r="X68" i="14"/>
  <c r="X84" i="14"/>
  <c r="B132" i="14"/>
  <c r="U100" i="15" s="1"/>
  <c r="B124" i="14"/>
  <c r="U92" i="15" s="1"/>
  <c r="X57" i="14"/>
  <c r="B135" i="14"/>
  <c r="U103" i="15" s="1"/>
  <c r="B121" i="14"/>
  <c r="U89" i="15" s="1"/>
  <c r="X73" i="14"/>
  <c r="X61" i="14"/>
  <c r="X74" i="14"/>
  <c r="B140" i="14"/>
  <c r="C140" i="14" s="1"/>
  <c r="B129" i="14"/>
  <c r="U97" i="15" s="1"/>
  <c r="X76" i="14"/>
  <c r="B150" i="14"/>
  <c r="X87" i="14"/>
  <c r="X54" i="14"/>
  <c r="B136" i="14"/>
  <c r="U104" i="15" s="1"/>
  <c r="B153" i="14"/>
  <c r="X80" i="14"/>
  <c r="B134" i="14"/>
  <c r="U102" i="15" s="1"/>
  <c r="B126" i="14"/>
  <c r="U94" i="15" s="1"/>
  <c r="X60" i="14"/>
  <c r="B133" i="14"/>
  <c r="U101" i="15" s="1"/>
  <c r="X77" i="14"/>
  <c r="N86" i="15"/>
  <c r="N66" i="15"/>
  <c r="J66" i="15" s="1"/>
  <c r="N67" i="15"/>
  <c r="M107" i="15"/>
  <c r="M105" i="15"/>
  <c r="X51" i="14"/>
  <c r="U106" i="15"/>
  <c r="L107" i="15"/>
  <c r="L105" i="15"/>
  <c r="L114" i="15" s="1"/>
  <c r="D117" i="119"/>
  <c r="D132" i="119"/>
  <c r="D142" i="119"/>
  <c r="D137" i="119"/>
  <c r="D127" i="119"/>
  <c r="D122" i="119"/>
  <c r="W14" i="119"/>
  <c r="W34" i="119"/>
  <c r="C210" i="119"/>
  <c r="D210" i="119" s="1"/>
  <c r="W15" i="119"/>
  <c r="W23" i="119"/>
  <c r="W31" i="119"/>
  <c r="W16" i="119"/>
  <c r="W24" i="119"/>
  <c r="W32" i="119"/>
  <c r="W17" i="119"/>
  <c r="W25" i="119"/>
  <c r="W33" i="119"/>
  <c r="W18" i="119"/>
  <c r="W26" i="119"/>
  <c r="W19" i="119"/>
  <c r="W27" i="119"/>
  <c r="W30" i="119"/>
  <c r="W20" i="119"/>
  <c r="W28" i="119"/>
  <c r="W21" i="119"/>
  <c r="W29" i="119"/>
  <c r="W22" i="119"/>
  <c r="E202" i="119"/>
  <c r="F202" i="119"/>
  <c r="E203" i="119"/>
  <c r="F203" i="119"/>
  <c r="E204" i="119"/>
  <c r="F204" i="119"/>
  <c r="E205" i="119"/>
  <c r="F205" i="119"/>
  <c r="E206" i="119"/>
  <c r="F206" i="119"/>
  <c r="E207" i="119"/>
  <c r="F207" i="119"/>
  <c r="E208" i="119"/>
  <c r="F208" i="119"/>
  <c r="E209" i="119"/>
  <c r="N74" i="15"/>
  <c r="N77" i="15"/>
  <c r="N99" i="15"/>
  <c r="N102" i="15"/>
  <c r="N97" i="15"/>
  <c r="N106" i="15"/>
  <c r="N101" i="15"/>
  <c r="N69" i="15"/>
  <c r="N104" i="15"/>
  <c r="N79" i="15"/>
  <c r="N100" i="15"/>
  <c r="N89" i="15"/>
  <c r="N103" i="15"/>
  <c r="N71" i="15"/>
  <c r="N92" i="15"/>
  <c r="N70" i="15"/>
  <c r="N95" i="15"/>
  <c r="N75" i="15"/>
  <c r="N68" i="15"/>
  <c r="N94" i="15"/>
  <c r="N81" i="15"/>
  <c r="N90" i="15"/>
  <c r="N87" i="15"/>
  <c r="N98" i="15"/>
  <c r="N91" i="15"/>
  <c r="N76" i="15"/>
  <c r="N105" i="15"/>
  <c r="N83" i="15"/>
  <c r="N73" i="15"/>
  <c r="N72" i="15"/>
  <c r="N96" i="15"/>
  <c r="N93" i="15"/>
  <c r="N80" i="15"/>
  <c r="N85" i="15"/>
  <c r="N107" i="15"/>
  <c r="N88" i="15"/>
  <c r="N82" i="15"/>
  <c r="N84" i="15"/>
  <c r="N78" i="15"/>
  <c r="L106" i="119"/>
  <c r="H115" i="15"/>
  <c r="H116" i="15"/>
  <c r="H117" i="15" s="1"/>
  <c r="G115" i="15"/>
  <c r="H114" i="15"/>
  <c r="G116" i="15"/>
  <c r="B44" i="14"/>
  <c r="L107" i="119"/>
  <c r="D107" i="119" s="1"/>
  <c r="C95" i="119"/>
  <c r="D95" i="119" s="1"/>
  <c r="D115" i="119" s="1"/>
  <c r="L116" i="15" l="1"/>
  <c r="L118" i="15" s="1"/>
  <c r="M48" i="119" s="1"/>
  <c r="E157" i="119" s="1"/>
  <c r="D101" i="119"/>
  <c r="M116" i="15"/>
  <c r="M117" i="15" s="1"/>
  <c r="R48" i="119" s="1"/>
  <c r="E163" i="119" s="1"/>
  <c r="B166" i="14"/>
  <c r="U107" i="15" s="1"/>
  <c r="C141" i="14"/>
  <c r="J67" i="15"/>
  <c r="M115" i="15"/>
  <c r="B120" i="15" s="1"/>
  <c r="M114" i="15"/>
  <c r="L115" i="15"/>
  <c r="B52" i="14"/>
  <c r="S52" i="14" s="1"/>
  <c r="B50" i="14"/>
  <c r="D125" i="119"/>
  <c r="D145" i="119"/>
  <c r="D130" i="119"/>
  <c r="D104" i="119"/>
  <c r="D120" i="119"/>
  <c r="D140" i="119"/>
  <c r="D135" i="119"/>
  <c r="D106" i="119"/>
  <c r="D105" i="119"/>
  <c r="D103" i="119"/>
  <c r="D102" i="119"/>
  <c r="G207" i="119"/>
  <c r="G203" i="119"/>
  <c r="G205" i="119"/>
  <c r="G208" i="119"/>
  <c r="G204" i="119"/>
  <c r="G206" i="119"/>
  <c r="G202" i="119"/>
  <c r="B211" i="119"/>
  <c r="F209" i="119"/>
  <c r="G209" i="119" s="1"/>
  <c r="J74" i="15"/>
  <c r="J75" i="15"/>
  <c r="J89" i="15"/>
  <c r="J77" i="15"/>
  <c r="J72" i="15"/>
  <c r="J100" i="15"/>
  <c r="J99" i="15"/>
  <c r="J97" i="15"/>
  <c r="J102" i="15"/>
  <c r="J103" i="15"/>
  <c r="J82" i="15"/>
  <c r="J101" i="15"/>
  <c r="J69" i="15"/>
  <c r="J94" i="15"/>
  <c r="J71" i="15"/>
  <c r="J79" i="15"/>
  <c r="J84" i="15"/>
  <c r="J90" i="15"/>
  <c r="J83" i="15"/>
  <c r="J80" i="15"/>
  <c r="J88" i="15"/>
  <c r="J95" i="15"/>
  <c r="J70" i="15"/>
  <c r="J104" i="15"/>
  <c r="J92" i="15"/>
  <c r="J96" i="15"/>
  <c r="J87" i="15"/>
  <c r="J98" i="15"/>
  <c r="N115" i="15"/>
  <c r="B121" i="15" s="1"/>
  <c r="J68" i="15"/>
  <c r="J73" i="15"/>
  <c r="J93" i="15"/>
  <c r="J85" i="15"/>
  <c r="J91" i="15"/>
  <c r="J86" i="15"/>
  <c r="J81" i="15"/>
  <c r="J106" i="15"/>
  <c r="J76" i="15"/>
  <c r="N114" i="15"/>
  <c r="J78" i="15"/>
  <c r="N116" i="15"/>
  <c r="N117" i="15" s="1"/>
  <c r="S48" i="119" s="1"/>
  <c r="E164" i="119" s="1"/>
  <c r="N48" i="119"/>
  <c r="E159" i="119" s="1"/>
  <c r="N52" i="14" l="1"/>
  <c r="H52" i="14"/>
  <c r="M52" i="14"/>
  <c r="I52" i="14"/>
  <c r="L52" i="14"/>
  <c r="G52" i="14"/>
  <c r="R52" i="14"/>
  <c r="Q52" i="14"/>
  <c r="T52" i="14"/>
  <c r="C52" i="14"/>
  <c r="P52" i="14"/>
  <c r="F52" i="14"/>
  <c r="V52" i="14"/>
  <c r="B119" i="14" s="1"/>
  <c r="U87" i="15" s="1"/>
  <c r="U52" i="14"/>
  <c r="K52" i="14"/>
  <c r="U105" i="15"/>
  <c r="O52" i="14"/>
  <c r="E52" i="14"/>
  <c r="W52" i="14"/>
  <c r="B120" i="14" s="1"/>
  <c r="U88" i="15" s="1"/>
  <c r="D52" i="14"/>
  <c r="J52" i="14"/>
  <c r="J105" i="15"/>
  <c r="G50" i="14"/>
  <c r="C50" i="14"/>
  <c r="D50" i="14"/>
  <c r="B99" i="14" s="1"/>
  <c r="U67" i="15" s="1"/>
  <c r="P50" i="14"/>
  <c r="K50" i="14"/>
  <c r="V50" i="14"/>
  <c r="H50" i="14"/>
  <c r="J50" i="14"/>
  <c r="U50" i="14"/>
  <c r="B116" i="14" s="1"/>
  <c r="U84" i="15" s="1"/>
  <c r="Q50" i="14"/>
  <c r="T50" i="14"/>
  <c r="M50" i="14"/>
  <c r="O50" i="14"/>
  <c r="N50" i="14"/>
  <c r="E50" i="14"/>
  <c r="F50" i="14"/>
  <c r="L50" i="14"/>
  <c r="S50" i="14"/>
  <c r="W50" i="14"/>
  <c r="I50" i="14"/>
  <c r="R50" i="14"/>
  <c r="C211" i="119"/>
  <c r="D211" i="119" s="1"/>
  <c r="E210" i="119"/>
  <c r="J107" i="15"/>
  <c r="B114" i="14" l="1"/>
  <c r="U82" i="15" s="1"/>
  <c r="B113" i="14"/>
  <c r="U81" i="15" s="1"/>
  <c r="B110" i="14"/>
  <c r="U78" i="15" s="1"/>
  <c r="B105" i="14"/>
  <c r="U73" i="15" s="1"/>
  <c r="B106" i="14"/>
  <c r="U74" i="15" s="1"/>
  <c r="B111" i="14"/>
  <c r="U79" i="15" s="1"/>
  <c r="B104" i="14"/>
  <c r="U72" i="15" s="1"/>
  <c r="B108" i="14"/>
  <c r="U76" i="15" s="1"/>
  <c r="B115" i="14"/>
  <c r="U83" i="15" s="1"/>
  <c r="B109" i="14"/>
  <c r="U77" i="15" s="1"/>
  <c r="B117" i="14"/>
  <c r="U85" i="15" s="1"/>
  <c r="B101" i="14"/>
  <c r="U69" i="15" s="1"/>
  <c r="B100" i="14"/>
  <c r="U68" i="15" s="1"/>
  <c r="B103" i="14"/>
  <c r="U71" i="15" s="1"/>
  <c r="X52" i="14"/>
  <c r="B118" i="14"/>
  <c r="U86" i="15" s="1"/>
  <c r="B107" i="14"/>
  <c r="U75" i="15" s="1"/>
  <c r="B102" i="14"/>
  <c r="U70" i="15" s="1"/>
  <c r="B112" i="14"/>
  <c r="U80" i="15" s="1"/>
  <c r="J114" i="15"/>
  <c r="X50" i="14"/>
  <c r="B98" i="14"/>
  <c r="B212" i="119"/>
  <c r="F210" i="119"/>
  <c r="G210" i="119" s="1"/>
  <c r="J116" i="15"/>
  <c r="J117" i="15" s="1"/>
  <c r="J115" i="15"/>
  <c r="U66" i="15" l="1"/>
  <c r="B141" i="14"/>
  <c r="C212" i="119"/>
  <c r="D212" i="119" s="1"/>
  <c r="E211" i="119"/>
  <c r="X55" i="15"/>
  <c r="X57" i="15" s="1"/>
  <c r="P48" i="119"/>
  <c r="E161" i="119" s="1"/>
  <c r="U115" i="15" l="1"/>
  <c r="U116" i="15"/>
  <c r="Y55" i="15" s="1"/>
  <c r="Y57" i="15" s="1"/>
  <c r="U114" i="15"/>
  <c r="B213" i="119"/>
  <c r="F211" i="119"/>
  <c r="G211" i="119" s="1"/>
  <c r="C213" i="119" l="1"/>
  <c r="D213" i="119" s="1"/>
  <c r="E212" i="119"/>
  <c r="F107" i="15"/>
  <c r="T107" i="15" s="1"/>
  <c r="V107" i="15" s="1"/>
  <c r="X107" i="15" s="1"/>
  <c r="Y107" i="15" s="1"/>
  <c r="F106" i="15"/>
  <c r="T106" i="15" s="1"/>
  <c r="AC106" i="15" s="1"/>
  <c r="B214" i="119" l="1"/>
  <c r="F212" i="119"/>
  <c r="G212" i="119" s="1"/>
  <c r="V106" i="15"/>
  <c r="X106" i="15" s="1"/>
  <c r="Y106" i="15" s="1"/>
  <c r="AC107" i="15"/>
  <c r="AA107" i="15"/>
  <c r="C214" i="119" l="1"/>
  <c r="D214" i="119" s="1"/>
  <c r="E213" i="119"/>
  <c r="AA106" i="15"/>
  <c r="B215" i="119" l="1"/>
  <c r="F213" i="119"/>
  <c r="G213" i="119" s="1"/>
  <c r="C215" i="119" l="1"/>
  <c r="D215" i="119" s="1"/>
  <c r="E214" i="119"/>
  <c r="B216" i="119" l="1"/>
  <c r="F214" i="119"/>
  <c r="G214" i="119" s="1"/>
  <c r="C216" i="119" l="1"/>
  <c r="D216" i="119" s="1"/>
  <c r="E215" i="119"/>
  <c r="B217" i="119" l="1"/>
  <c r="F215" i="119"/>
  <c r="G215" i="119" s="1"/>
  <c r="C217" i="119" l="1"/>
  <c r="D217" i="119" s="1"/>
  <c r="E216" i="119"/>
  <c r="B218" i="119" l="1"/>
  <c r="F216" i="119"/>
  <c r="G216" i="119" s="1"/>
  <c r="C218" i="119" l="1"/>
  <c r="D218" i="119" s="1"/>
  <c r="E217" i="119"/>
  <c r="B219" i="119" l="1"/>
  <c r="F217" i="119"/>
  <c r="G217" i="119" s="1"/>
  <c r="C219" i="119" l="1"/>
  <c r="D219" i="119" s="1"/>
  <c r="E218" i="119"/>
  <c r="B220" i="119" l="1"/>
  <c r="F218" i="119"/>
  <c r="G218" i="119" s="1"/>
  <c r="C220" i="119" l="1"/>
  <c r="D220" i="119" s="1"/>
  <c r="E219" i="119"/>
  <c r="B221" i="119" l="1"/>
  <c r="F219" i="119"/>
  <c r="G219" i="119" s="1"/>
  <c r="C221" i="119" l="1"/>
  <c r="D221" i="119" s="1"/>
  <c r="F222" i="119"/>
  <c r="G222" i="119" s="1"/>
  <c r="E220" i="119"/>
  <c r="D223" i="119" l="1"/>
  <c r="H220" i="119" s="1"/>
  <c r="F220" i="119"/>
  <c r="G220" i="119" s="1"/>
  <c r="H221" i="119" l="1"/>
  <c r="H202" i="119"/>
  <c r="I202" i="119" s="1"/>
  <c r="H203" i="119"/>
  <c r="H204" i="119"/>
  <c r="H205" i="119"/>
  <c r="H206" i="119"/>
  <c r="H207" i="119"/>
  <c r="H208" i="119"/>
  <c r="H209" i="119"/>
  <c r="H210" i="119"/>
  <c r="H211" i="119"/>
  <c r="H212" i="119"/>
  <c r="H213" i="119"/>
  <c r="H214" i="119"/>
  <c r="H215" i="119"/>
  <c r="H216" i="119"/>
  <c r="H217" i="119"/>
  <c r="H218" i="119"/>
  <c r="H219" i="119"/>
  <c r="F221" i="119"/>
  <c r="E221"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G221" i="119"/>
  <c r="F14" i="13" l="1"/>
  <c r="Z65" i="15" l="1"/>
  <c r="F25" i="13" l="1"/>
  <c r="Z76" i="15" s="1"/>
  <c r="F33" i="13" l="1"/>
  <c r="Z84" i="15" s="1"/>
  <c r="F48" i="13" l="1"/>
  <c r="Z99" i="15" s="1"/>
  <c r="F15" i="13" l="1"/>
  <c r="Z66" i="15" s="1"/>
  <c r="F16" i="13"/>
  <c r="Z67" i="15" s="1"/>
  <c r="F17" i="13"/>
  <c r="Z68" i="15" s="1"/>
  <c r="F18" i="13"/>
  <c r="Z69" i="15" s="1"/>
  <c r="F19" i="13"/>
  <c r="Z70" i="15" s="1"/>
  <c r="F20" i="13"/>
  <c r="Z71" i="15" s="1"/>
  <c r="F21" i="13"/>
  <c r="Z72" i="15" s="1"/>
  <c r="F22" i="13"/>
  <c r="Z73" i="15" s="1"/>
  <c r="F23" i="13"/>
  <c r="Z74" i="15" s="1"/>
  <c r="F24" i="13"/>
  <c r="Z75" i="15" s="1"/>
  <c r="F26" i="13"/>
  <c r="Z77" i="15" s="1"/>
  <c r="F27" i="13"/>
  <c r="Z78" i="15" s="1"/>
  <c r="F28" i="13"/>
  <c r="Z79" i="15" s="1"/>
  <c r="F29" i="13"/>
  <c r="Z80" i="15" s="1"/>
  <c r="F30" i="13"/>
  <c r="Z81" i="15" s="1"/>
  <c r="F31" i="13"/>
  <c r="Z82" i="15" s="1"/>
  <c r="F32" i="13"/>
  <c r="Z83" i="15" s="1"/>
  <c r="F34" i="13"/>
  <c r="Z85" i="15" s="1"/>
  <c r="F35" i="13"/>
  <c r="Z86" i="15" s="1"/>
  <c r="F36" i="13"/>
  <c r="Z87" i="15" s="1"/>
  <c r="F37" i="13"/>
  <c r="Z88" i="15" s="1"/>
  <c r="F38" i="13"/>
  <c r="Z89" i="15" s="1"/>
  <c r="F39" i="13"/>
  <c r="Z90" i="15" s="1"/>
  <c r="F40" i="13"/>
  <c r="Z91" i="15" s="1"/>
  <c r="F41" i="13"/>
  <c r="Z92" i="15" s="1"/>
  <c r="F42" i="13"/>
  <c r="Z93" i="15" s="1"/>
  <c r="F43" i="13"/>
  <c r="Z94" i="15" s="1"/>
  <c r="F44" i="13"/>
  <c r="Z95" i="15" s="1"/>
  <c r="F45" i="13"/>
  <c r="Z96" i="15" s="1"/>
  <c r="F46" i="13"/>
  <c r="Z97" i="15" s="1"/>
  <c r="F47" i="13"/>
  <c r="Z98" i="15" s="1"/>
  <c r="F49" i="13"/>
  <c r="Z100" i="15" s="1"/>
  <c r="F50" i="13"/>
  <c r="Z101" i="15" s="1"/>
  <c r="F51" i="13"/>
  <c r="Z102" i="15" s="1"/>
  <c r="F52" i="13"/>
  <c r="Z103" i="15" s="1"/>
  <c r="F53" i="13"/>
  <c r="Z104" i="15" s="1"/>
  <c r="E14" i="13" l="1"/>
  <c r="D14" i="13" s="1"/>
  <c r="G14" i="13"/>
  <c r="C15" i="13" s="1"/>
  <c r="E15" i="13" l="1"/>
  <c r="D15" i="13" s="1"/>
  <c r="G15" i="13"/>
  <c r="C16" i="13" s="1"/>
  <c r="S65" i="15"/>
  <c r="T65" i="15" l="1"/>
  <c r="G16" i="13"/>
  <c r="C17" i="13" s="1"/>
  <c r="E16" i="13"/>
  <c r="D16" i="13" s="1"/>
  <c r="S66" i="15"/>
  <c r="S67" i="15" l="1"/>
  <c r="E17" i="13"/>
  <c r="D17" i="13" s="1"/>
  <c r="G17" i="13"/>
  <c r="C18" i="13" s="1"/>
  <c r="AC65" i="15"/>
  <c r="V65" i="15"/>
  <c r="G18" i="13" l="1"/>
  <c r="C19" i="13" s="1"/>
  <c r="E18" i="13"/>
  <c r="D18" i="13" s="1"/>
  <c r="S68" i="15"/>
  <c r="X65" i="15"/>
  <c r="E19" i="13" l="1"/>
  <c r="D19" i="13" s="1"/>
  <c r="G19" i="13"/>
  <c r="C20" i="13" s="1"/>
  <c r="S69" i="15"/>
  <c r="AA65" i="15"/>
  <c r="Y65" i="15"/>
  <c r="AB65" i="15" l="1"/>
  <c r="G20" i="13"/>
  <c r="C21" i="13" s="1"/>
  <c r="E20" i="13"/>
  <c r="D20" i="13" s="1"/>
  <c r="S70" i="15"/>
  <c r="G21" i="13" l="1"/>
  <c r="C22" i="13" s="1"/>
  <c r="E21" i="13"/>
  <c r="D21" i="13" s="1"/>
  <c r="S71" i="15"/>
  <c r="S72" i="15" l="1"/>
  <c r="G22" i="13"/>
  <c r="C23" i="13" s="1"/>
  <c r="E22" i="13"/>
  <c r="D22" i="13" s="1"/>
  <c r="S73" i="15" l="1"/>
  <c r="E23" i="13"/>
  <c r="D23" i="13" s="1"/>
  <c r="G23" i="13"/>
  <c r="C24" i="13" s="1"/>
  <c r="E24" i="13" l="1"/>
  <c r="D24" i="13" s="1"/>
  <c r="G24" i="13"/>
  <c r="C25" i="13" s="1"/>
  <c r="S74" i="15"/>
  <c r="E25" i="13" l="1"/>
  <c r="D25" i="13" s="1"/>
  <c r="G25" i="13"/>
  <c r="C26" i="13" s="1"/>
  <c r="S75" i="15"/>
  <c r="E26" i="13" l="1"/>
  <c r="D26" i="13" s="1"/>
  <c r="G26" i="13"/>
  <c r="C27" i="13" s="1"/>
  <c r="S76" i="15"/>
  <c r="E27" i="13" l="1"/>
  <c r="D27" i="13" s="1"/>
  <c r="G27" i="13"/>
  <c r="C28" i="13" s="1"/>
  <c r="S77" i="15"/>
  <c r="G28" i="13" l="1"/>
  <c r="C29" i="13" s="1"/>
  <c r="E28" i="13"/>
  <c r="D28" i="13" s="1"/>
  <c r="S78" i="15"/>
  <c r="S79" i="15" l="1"/>
  <c r="G29" i="13"/>
  <c r="C30" i="13" s="1"/>
  <c r="E29" i="13"/>
  <c r="D29" i="13" s="1"/>
  <c r="S80" i="15" l="1"/>
  <c r="E30" i="13"/>
  <c r="D30" i="13" s="1"/>
  <c r="G30" i="13"/>
  <c r="C31" i="13" s="1"/>
  <c r="S81" i="15" l="1"/>
  <c r="E31" i="13"/>
  <c r="D31" i="13" s="1"/>
  <c r="G31" i="13"/>
  <c r="C32" i="13" s="1"/>
  <c r="G32" i="13" l="1"/>
  <c r="C33" i="13" s="1"/>
  <c r="E32" i="13"/>
  <c r="D32" i="13" s="1"/>
  <c r="S82" i="15"/>
  <c r="S83" i="15" l="1"/>
  <c r="G33" i="13"/>
  <c r="C34" i="13" s="1"/>
  <c r="E33" i="13"/>
  <c r="D33" i="13" s="1"/>
  <c r="S84" i="15" l="1"/>
  <c r="E34" i="13"/>
  <c r="D34" i="13" s="1"/>
  <c r="G34" i="13"/>
  <c r="C35" i="13" s="1"/>
  <c r="G35" i="13" l="1"/>
  <c r="C36" i="13" s="1"/>
  <c r="E35" i="13"/>
  <c r="D35" i="13" s="1"/>
  <c r="S85" i="15"/>
  <c r="S86" i="15" l="1"/>
  <c r="G36" i="13"/>
  <c r="C37" i="13" s="1"/>
  <c r="E36" i="13"/>
  <c r="D36" i="13" s="1"/>
  <c r="S87" i="15" l="1"/>
  <c r="E37" i="13"/>
  <c r="D37" i="13" s="1"/>
  <c r="G37" i="13"/>
  <c r="C38" i="13" s="1"/>
  <c r="S88" i="15" l="1"/>
  <c r="E38" i="13"/>
  <c r="D38" i="13" s="1"/>
  <c r="G38" i="13"/>
  <c r="C39" i="13" s="1"/>
  <c r="E39" i="13" l="1"/>
  <c r="D39" i="13" s="1"/>
  <c r="G39" i="13"/>
  <c r="C40" i="13" s="1"/>
  <c r="S89" i="15"/>
  <c r="G40" i="13" l="1"/>
  <c r="C41" i="13" s="1"/>
  <c r="E40" i="13"/>
  <c r="D40" i="13" s="1"/>
  <c r="S90" i="15"/>
  <c r="S91" i="15" l="1"/>
  <c r="E41" i="13"/>
  <c r="D41" i="13" s="1"/>
  <c r="G41" i="13"/>
  <c r="C42" i="13" s="1"/>
  <c r="S92" i="15" l="1"/>
  <c r="E42" i="13"/>
  <c r="D42" i="13" s="1"/>
  <c r="G42" i="13"/>
  <c r="C43" i="13" s="1"/>
  <c r="E43" i="13" l="1"/>
  <c r="D43" i="13" s="1"/>
  <c r="G43" i="13"/>
  <c r="C44" i="13" s="1"/>
  <c r="S93" i="15"/>
  <c r="G44" i="13" l="1"/>
  <c r="C45" i="13" s="1"/>
  <c r="E44" i="13"/>
  <c r="D44" i="13" s="1"/>
  <c r="S94" i="15"/>
  <c r="S95" i="15" l="1"/>
  <c r="E45" i="13"/>
  <c r="D45" i="13" s="1"/>
  <c r="G45" i="13"/>
  <c r="C46" i="13" s="1"/>
  <c r="G46" i="13" l="1"/>
  <c r="C47" i="13" s="1"/>
  <c r="E46" i="13"/>
  <c r="D46" i="13" s="1"/>
  <c r="S96" i="15"/>
  <c r="S97" i="15" l="1"/>
  <c r="G47" i="13"/>
  <c r="C48" i="13" s="1"/>
  <c r="E47" i="13"/>
  <c r="D47" i="13" s="1"/>
  <c r="E48" i="13" l="1"/>
  <c r="D48" i="13" s="1"/>
  <c r="G48" i="13"/>
  <c r="C49" i="13" s="1"/>
  <c r="S98" i="15"/>
  <c r="G49" i="13" l="1"/>
  <c r="C50" i="13" s="1"/>
  <c r="E49" i="13"/>
  <c r="D49" i="13" s="1"/>
  <c r="S99" i="15"/>
  <c r="S100" i="15" l="1"/>
  <c r="E50" i="13"/>
  <c r="D50" i="13" s="1"/>
  <c r="G50" i="13"/>
  <c r="C51" i="13" s="1"/>
  <c r="G51" i="13" l="1"/>
  <c r="C52" i="13" s="1"/>
  <c r="E51" i="13"/>
  <c r="D51" i="13" s="1"/>
  <c r="S101" i="15"/>
  <c r="S102" i="15" l="1"/>
  <c r="G52" i="13"/>
  <c r="C53" i="13" s="1"/>
  <c r="E52" i="13"/>
  <c r="D52" i="13" s="1"/>
  <c r="S103" i="15" l="1"/>
  <c r="G53" i="13"/>
  <c r="C54" i="13" s="1"/>
  <c r="E53" i="13"/>
  <c r="D53" i="13" s="1"/>
  <c r="F54" i="13" l="1"/>
  <c r="Z105" i="15" s="1"/>
  <c r="E54" i="13"/>
  <c r="S104" i="15"/>
  <c r="D54" i="13" l="1"/>
  <c r="G54" i="13"/>
  <c r="G55" i="13"/>
  <c r="E55" i="13"/>
  <c r="D55" i="13" s="1"/>
  <c r="S105" i="15"/>
  <c r="Z116" i="15"/>
  <c r="Z114" i="15"/>
  <c r="Z115" i="15"/>
  <c r="Z55" i="15" l="1"/>
  <c r="Z57" i="15" s="1"/>
  <c r="Z117" i="15"/>
  <c r="Y48" i="119" s="1"/>
  <c r="E170" i="119" s="1"/>
  <c r="S116" i="15"/>
  <c r="S114" i="15"/>
  <c r="S115" i="15"/>
  <c r="B119" i="15" s="1"/>
  <c r="E56" i="13"/>
  <c r="D56" i="13" s="1"/>
  <c r="G56" i="13"/>
  <c r="C119" i="15" l="1"/>
  <c r="D19" i="34" s="1"/>
  <c r="C124" i="15"/>
  <c r="D24" i="34" s="1"/>
  <c r="C120" i="15"/>
  <c r="D20" i="34" s="1"/>
  <c r="C122" i="15"/>
  <c r="D22" i="34" s="1"/>
  <c r="C123" i="15"/>
  <c r="D23" i="34" s="1"/>
  <c r="C121" i="15"/>
  <c r="D21" i="34" s="1"/>
  <c r="C125" i="15"/>
  <c r="D25" i="34" s="1"/>
  <c r="AA55" i="15"/>
  <c r="AA57" i="15" s="1"/>
  <c r="X60" i="15" s="1"/>
  <c r="S117" i="15"/>
  <c r="E17" i="15" l="1"/>
  <c r="W48" i="119"/>
  <c r="E168" i="119" s="1"/>
  <c r="F71" i="15" l="1"/>
  <c r="T71" i="15" s="1"/>
  <c r="F85" i="15"/>
  <c r="T85" i="15" s="1"/>
  <c r="F68" i="15"/>
  <c r="T68" i="15" s="1"/>
  <c r="F104" i="15"/>
  <c r="T104" i="15" s="1"/>
  <c r="F75" i="15"/>
  <c r="T75" i="15" s="1"/>
  <c r="F81" i="15"/>
  <c r="T81" i="15" s="1"/>
  <c r="F100" i="15"/>
  <c r="T100" i="15" s="1"/>
  <c r="F88" i="15"/>
  <c r="T88" i="15" s="1"/>
  <c r="F98" i="15"/>
  <c r="T98" i="15" s="1"/>
  <c r="F93" i="15"/>
  <c r="T93" i="15" s="1"/>
  <c r="F66" i="15"/>
  <c r="F96" i="15"/>
  <c r="T96" i="15" s="1"/>
  <c r="F67" i="15"/>
  <c r="T67" i="15" s="1"/>
  <c r="F103" i="15"/>
  <c r="T103" i="15" s="1"/>
  <c r="F105" i="15"/>
  <c r="T105" i="15" s="1"/>
  <c r="F77" i="15"/>
  <c r="T77" i="15" s="1"/>
  <c r="F78" i="15"/>
  <c r="T78" i="15" s="1"/>
  <c r="F74" i="15"/>
  <c r="T74" i="15" s="1"/>
  <c r="F87" i="15"/>
  <c r="T87" i="15" s="1"/>
  <c r="F86" i="15"/>
  <c r="T86" i="15" s="1"/>
  <c r="F84" i="15"/>
  <c r="T84" i="15" s="1"/>
  <c r="F97" i="15"/>
  <c r="T97" i="15" s="1"/>
  <c r="F94" i="15"/>
  <c r="T94" i="15" s="1"/>
  <c r="F69" i="15"/>
  <c r="T69" i="15" s="1"/>
  <c r="F102" i="15"/>
  <c r="T102" i="15" s="1"/>
  <c r="F95" i="15"/>
  <c r="T95" i="15" s="1"/>
  <c r="F89" i="15"/>
  <c r="T89" i="15" s="1"/>
  <c r="F101" i="15"/>
  <c r="T101" i="15" s="1"/>
  <c r="F90" i="15"/>
  <c r="T90" i="15" s="1"/>
  <c r="F82" i="15"/>
  <c r="T82" i="15" s="1"/>
  <c r="F99" i="15"/>
  <c r="T99" i="15" s="1"/>
  <c r="F76" i="15"/>
  <c r="T76" i="15" s="1"/>
  <c r="F70" i="15"/>
  <c r="T70" i="15" s="1"/>
  <c r="F80" i="15"/>
  <c r="T80" i="15" s="1"/>
  <c r="F92" i="15"/>
  <c r="T92" i="15" s="1"/>
  <c r="F72" i="15"/>
  <c r="T72" i="15" s="1"/>
  <c r="F91" i="15"/>
  <c r="T91" i="15" s="1"/>
  <c r="F73" i="15"/>
  <c r="T73" i="15" s="1"/>
  <c r="E16" i="15"/>
  <c r="F83" i="15"/>
  <c r="T83" i="15" s="1"/>
  <c r="F79" i="15"/>
  <c r="T79" i="15" s="1"/>
  <c r="V91" i="15" l="1"/>
  <c r="X91" i="15" s="1"/>
  <c r="AA91" i="15" s="1"/>
  <c r="AC91" i="15"/>
  <c r="AC90" i="15"/>
  <c r="V90" i="15"/>
  <c r="X90" i="15" s="1"/>
  <c r="Y90" i="15" s="1"/>
  <c r="AC84" i="15"/>
  <c r="V84" i="15"/>
  <c r="X84" i="15" s="1"/>
  <c r="Y84" i="15" s="1"/>
  <c r="V67" i="15"/>
  <c r="X67" i="15" s="1"/>
  <c r="Y67" i="15" s="1"/>
  <c r="AC67" i="15"/>
  <c r="V75" i="15"/>
  <c r="X75" i="15" s="1"/>
  <c r="Y75" i="15" s="1"/>
  <c r="AC75" i="15"/>
  <c r="AC86" i="15"/>
  <c r="V86" i="15"/>
  <c r="X86" i="15" s="1"/>
  <c r="Y86" i="15" s="1"/>
  <c r="V92" i="15"/>
  <c r="X92" i="15" s="1"/>
  <c r="Y92" i="15" s="1"/>
  <c r="AC92" i="15"/>
  <c r="V89" i="15"/>
  <c r="X89" i="15" s="1"/>
  <c r="Y89" i="15" s="1"/>
  <c r="AC89" i="15"/>
  <c r="V87" i="15"/>
  <c r="X87" i="15" s="1"/>
  <c r="Y87" i="15" s="1"/>
  <c r="AC87" i="15"/>
  <c r="T66" i="15"/>
  <c r="F116" i="15"/>
  <c r="F118" i="15" s="1"/>
  <c r="F115" i="15"/>
  <c r="F114" i="15"/>
  <c r="AC68" i="15"/>
  <c r="V68" i="15"/>
  <c r="X68" i="15" s="1"/>
  <c r="AA68" i="15" s="1"/>
  <c r="AC96" i="15"/>
  <c r="V96" i="15"/>
  <c r="X96" i="15" s="1"/>
  <c r="AA96" i="15" s="1"/>
  <c r="AC95" i="15"/>
  <c r="V95" i="15"/>
  <c r="X95" i="15" s="1"/>
  <c r="Y95" i="15" s="1"/>
  <c r="V74" i="15"/>
  <c r="X74" i="15" s="1"/>
  <c r="Y74" i="15" s="1"/>
  <c r="AC74" i="15"/>
  <c r="AC93" i="15"/>
  <c r="V93" i="15"/>
  <c r="X93" i="15" s="1"/>
  <c r="Y93" i="15" s="1"/>
  <c r="V85" i="15"/>
  <c r="X85" i="15" s="1"/>
  <c r="Y85" i="15" s="1"/>
  <c r="AC85" i="15"/>
  <c r="AC104" i="15"/>
  <c r="V104" i="15"/>
  <c r="X104" i="15" s="1"/>
  <c r="Y104" i="15" s="1"/>
  <c r="AC70" i="15"/>
  <c r="V70" i="15"/>
  <c r="X70" i="15" s="1"/>
  <c r="Y70" i="15" s="1"/>
  <c r="V102" i="15"/>
  <c r="X102" i="15" s="1"/>
  <c r="Y102" i="15" s="1"/>
  <c r="AC102" i="15"/>
  <c r="V78" i="15"/>
  <c r="X78" i="15" s="1"/>
  <c r="Y78" i="15" s="1"/>
  <c r="AC78" i="15"/>
  <c r="V98" i="15"/>
  <c r="X98" i="15" s="1"/>
  <c r="Y98" i="15" s="1"/>
  <c r="AC98" i="15"/>
  <c r="V71" i="15"/>
  <c r="X71" i="15" s="1"/>
  <c r="Y71" i="15" s="1"/>
  <c r="AC71" i="15"/>
  <c r="AC72" i="15"/>
  <c r="V72" i="15"/>
  <c r="X72" i="15" s="1"/>
  <c r="Y72" i="15" s="1"/>
  <c r="V80" i="15"/>
  <c r="X80" i="15" s="1"/>
  <c r="Y80" i="15" s="1"/>
  <c r="AC80" i="15"/>
  <c r="V76" i="15"/>
  <c r="X76" i="15" s="1"/>
  <c r="Y76" i="15" s="1"/>
  <c r="AC76" i="15"/>
  <c r="V69" i="15"/>
  <c r="X69" i="15" s="1"/>
  <c r="AA69" i="15" s="1"/>
  <c r="AC69" i="15"/>
  <c r="AC77" i="15"/>
  <c r="V77" i="15"/>
  <c r="X77" i="15" s="1"/>
  <c r="Y77" i="15" s="1"/>
  <c r="V88" i="15"/>
  <c r="X88" i="15" s="1"/>
  <c r="AA88" i="15" s="1"/>
  <c r="AC88" i="15"/>
  <c r="AC101" i="15"/>
  <c r="V101" i="15"/>
  <c r="X101" i="15" s="1"/>
  <c r="Y101" i="15" s="1"/>
  <c r="V79" i="15"/>
  <c r="X79" i="15" s="1"/>
  <c r="Y79" i="15" s="1"/>
  <c r="AC79" i="15"/>
  <c r="AC83" i="15"/>
  <c r="V83" i="15"/>
  <c r="X83" i="15" s="1"/>
  <c r="Y83" i="15" s="1"/>
  <c r="D121" i="15"/>
  <c r="C21" i="34" s="1"/>
  <c r="D124" i="15"/>
  <c r="C24" i="34" s="1"/>
  <c r="D123" i="15"/>
  <c r="C23" i="34" s="1"/>
  <c r="D122" i="15"/>
  <c r="C22" i="34" s="1"/>
  <c r="D120" i="15"/>
  <c r="C20" i="34" s="1"/>
  <c r="D119" i="15"/>
  <c r="C19" i="34" s="1"/>
  <c r="D125" i="15"/>
  <c r="C25" i="34" s="1"/>
  <c r="AC99" i="15"/>
  <c r="V99" i="15"/>
  <c r="X99" i="15" s="1"/>
  <c r="Y99" i="15" s="1"/>
  <c r="V94" i="15"/>
  <c r="X94" i="15" s="1"/>
  <c r="AA94" i="15" s="1"/>
  <c r="AC94" i="15"/>
  <c r="V105" i="15"/>
  <c r="X105" i="15" s="1"/>
  <c r="AA105" i="15" s="1"/>
  <c r="AC105" i="15"/>
  <c r="V100" i="15"/>
  <c r="X100" i="15" s="1"/>
  <c r="Y100" i="15" s="1"/>
  <c r="AC100" i="15"/>
  <c r="AC73" i="15"/>
  <c r="V73" i="15"/>
  <c r="X73" i="15" s="1"/>
  <c r="Y73" i="15" s="1"/>
  <c r="V82" i="15"/>
  <c r="X82" i="15" s="1"/>
  <c r="Y82" i="15" s="1"/>
  <c r="AC82" i="15"/>
  <c r="V97" i="15"/>
  <c r="X97" i="15" s="1"/>
  <c r="Y97" i="15" s="1"/>
  <c r="AC97" i="15"/>
  <c r="V103" i="15"/>
  <c r="X103" i="15" s="1"/>
  <c r="Y103" i="15" s="1"/>
  <c r="AC103" i="15"/>
  <c r="AC81" i="15"/>
  <c r="V81" i="15"/>
  <c r="X81" i="15" s="1"/>
  <c r="Y81" i="15" s="1"/>
  <c r="Y96" i="15" l="1"/>
  <c r="AA83" i="15"/>
  <c r="AA75" i="15"/>
  <c r="Y91" i="15"/>
  <c r="AA70" i="15"/>
  <c r="AA103" i="15"/>
  <c r="Y88" i="15"/>
  <c r="AA76" i="15"/>
  <c r="AA93" i="15"/>
  <c r="AA90" i="15"/>
  <c r="Y105" i="15"/>
  <c r="AA82" i="15"/>
  <c r="AA78" i="15"/>
  <c r="AA92" i="15"/>
  <c r="Y69" i="15"/>
  <c r="AA72" i="15"/>
  <c r="AA81" i="15"/>
  <c r="AA99" i="15"/>
  <c r="AA101" i="15"/>
  <c r="AA98" i="15"/>
  <c r="AA95" i="15"/>
  <c r="AA89" i="15"/>
  <c r="K48" i="119"/>
  <c r="E155" i="119" s="1"/>
  <c r="AG118" i="15"/>
  <c r="AA73" i="15"/>
  <c r="C26" i="34"/>
  <c r="AA104" i="15"/>
  <c r="V66" i="15"/>
  <c r="AC66" i="15"/>
  <c r="T115" i="15"/>
  <c r="T116" i="15"/>
  <c r="T114" i="15"/>
  <c r="AA67" i="15"/>
  <c r="AA79" i="15"/>
  <c r="AA71" i="15"/>
  <c r="AA74" i="15"/>
  <c r="AA87" i="15"/>
  <c r="Y94" i="15"/>
  <c r="AA97" i="15"/>
  <c r="AA77" i="15"/>
  <c r="AA102" i="15"/>
  <c r="Y68" i="15"/>
  <c r="AA86" i="15"/>
  <c r="AA100" i="15"/>
  <c r="AA80" i="15"/>
  <c r="AA85" i="15"/>
  <c r="AA84" i="15"/>
  <c r="AC115" i="15" l="1"/>
  <c r="E21" i="15"/>
  <c r="E19" i="15" s="1"/>
  <c r="AC114" i="15"/>
  <c r="AC116" i="15"/>
  <c r="F155" i="119"/>
  <c r="F156" i="119"/>
  <c r="F157" i="119"/>
  <c r="X66" i="15"/>
  <c r="V116" i="15"/>
  <c r="V115" i="15"/>
  <c r="V114" i="15"/>
  <c r="H157" i="119" l="1"/>
  <c r="K157" i="119" s="1"/>
  <c r="X114" i="15"/>
  <c r="X115" i="15"/>
  <c r="X116" i="15"/>
  <c r="X117" i="15" s="1"/>
  <c r="AA66" i="15"/>
  <c r="Y66" i="15"/>
  <c r="I157" i="119"/>
  <c r="L157" i="119" s="1"/>
  <c r="N157" i="119" s="1"/>
  <c r="I155" i="119"/>
  <c r="L155" i="119" s="1"/>
  <c r="I156" i="119"/>
  <c r="L156" i="119" s="1"/>
  <c r="H156" i="119"/>
  <c r="K156" i="119" s="1"/>
  <c r="H155" i="119"/>
  <c r="K155" i="119" s="1"/>
  <c r="N156" i="119" l="1"/>
  <c r="Y114" i="15"/>
  <c r="Y116" i="15"/>
  <c r="Y115" i="15"/>
  <c r="N155" i="119"/>
  <c r="L171" i="119"/>
  <c r="AA115" i="15"/>
  <c r="E26" i="15"/>
  <c r="H17" i="6" s="1"/>
  <c r="AA114" i="15"/>
  <c r="E20" i="15"/>
  <c r="E18" i="15" s="1"/>
  <c r="AA116" i="15"/>
  <c r="AB66" i="15"/>
  <c r="X48" i="119"/>
  <c r="E169" i="119" s="1"/>
  <c r="AG117" i="15"/>
  <c r="F169" i="119" l="1"/>
  <c r="F166" i="119"/>
  <c r="F167" i="119"/>
  <c r="F163" i="119"/>
  <c r="F162" i="119"/>
  <c r="F164" i="119"/>
  <c r="F159" i="119"/>
  <c r="F170" i="119"/>
  <c r="F168" i="119"/>
  <c r="F160" i="119"/>
  <c r="F165" i="119"/>
  <c r="F161" i="119"/>
  <c r="AB67" i="15"/>
  <c r="AB68" i="15" s="1"/>
  <c r="AB69" i="15" s="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AB115" i="15" l="1"/>
  <c r="I169" i="119"/>
  <c r="M169" i="119" s="1"/>
  <c r="H165" i="119"/>
  <c r="K165" i="119" s="1"/>
  <c r="H159" i="119"/>
  <c r="K159" i="119" s="1"/>
  <c r="I163" i="119"/>
  <c r="M163" i="119" s="1"/>
  <c r="H163" i="119"/>
  <c r="K163" i="119" s="1"/>
  <c r="H160" i="119"/>
  <c r="K160" i="119" s="1"/>
  <c r="H168" i="119"/>
  <c r="K168" i="119" s="1"/>
  <c r="I166" i="119"/>
  <c r="M166" i="119" s="1"/>
  <c r="I159" i="119"/>
  <c r="M159" i="119" s="1"/>
  <c r="H169" i="119"/>
  <c r="K169" i="119" s="1"/>
  <c r="I162" i="119"/>
  <c r="M162" i="119" s="1"/>
  <c r="H162" i="119"/>
  <c r="K162" i="119" s="1"/>
  <c r="I170" i="119"/>
  <c r="M170" i="119" s="1"/>
  <c r="N170" i="119" s="1"/>
  <c r="I167" i="119"/>
  <c r="M167" i="119" s="1"/>
  <c r="I160" i="119"/>
  <c r="M160" i="119" s="1"/>
  <c r="I164" i="119"/>
  <c r="M164" i="119" s="1"/>
  <c r="I168" i="119"/>
  <c r="M168" i="119" s="1"/>
  <c r="H170" i="119"/>
  <c r="K170" i="119" s="1"/>
  <c r="I161" i="119"/>
  <c r="M161" i="119" s="1"/>
  <c r="I165" i="119"/>
  <c r="M165" i="119" s="1"/>
  <c r="H167" i="119"/>
  <c r="K167" i="119" s="1"/>
  <c r="H164" i="119"/>
  <c r="K164" i="119" s="1"/>
  <c r="H161" i="119"/>
  <c r="K161" i="119" s="1"/>
  <c r="H166" i="119"/>
  <c r="K166" i="119" s="1"/>
  <c r="AB114" i="15"/>
  <c r="AB116" i="15"/>
  <c r="N165" i="119" l="1"/>
  <c r="N167" i="119"/>
  <c r="N160" i="119"/>
  <c r="N163" i="119"/>
  <c r="N161" i="119"/>
  <c r="N162" i="119"/>
  <c r="N168" i="119"/>
  <c r="N159" i="119"/>
  <c r="M171" i="119"/>
  <c r="N171" i="119" s="1"/>
  <c r="N169" i="119"/>
  <c r="N164" i="119"/>
  <c r="N166"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<sst xmlns="http://schemas.openxmlformats.org/spreadsheetml/2006/main" count="3972" uniqueCount="1436">
  <si>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</si>
  <si>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</si>
  <si>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</si>
  <si>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</si>
  <si>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</si>
  <si>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</si>
  <si>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</si>
  <si>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</si>
  <si>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</si>
  <si>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</si>
  <si>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</si>
  <si>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</si>
  <si>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</si>
  <si>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</si>
  <si>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</si>
  <si>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</si>
  <si>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</si>
  <si>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</si>
  <si>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</si>
  <si>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</si>
  <si>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</si>
  <si>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</si>
  <si>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</si>
  <si>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</si>
  <si>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</si>
  <si>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</si>
  <si>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</si>
  <si>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</si>
  <si>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</si>
  <si>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</si>
  <si>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</si>
  <si>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</si>
  <si>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</si>
  <si>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</si>
  <si>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</si>
  <si>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</si>
  <si>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</si>
  <si>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</si>
  <si>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</si>
  <si>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</si>
  <si>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</si>
  <si>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</si>
  <si>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</si>
  <si>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</si>
  <si>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</si>
  <si>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</si>
  <si>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</si>
  <si>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</si>
  <si>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</si>
  <si>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</si>
  <si>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</si>
  <si>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</si>
  <si>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</si>
  <si>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</si>
  <si>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</si>
  <si>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</si>
  <si>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</si>
  <si>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</si>
  <si>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</si>
  <si>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</si>
  <si>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</si>
  <si>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</si>
  <si>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</si>
  <si>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</si>
  <si>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</si>
  <si>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</si>
  <si>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</si>
  <si>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</si>
  <si>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</si>
  <si>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</si>
  <si>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</si>
  <si>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</si>
  <si>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</si>
  <si>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</si>
  <si>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</si>
  <si>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</si>
  <si>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</si>
  <si>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</si>
  <si>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</si>
  <si>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</si>
  <si>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</si>
  <si>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</si>
  <si>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</si>
  <si>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</si>
  <si>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</si>
  <si>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</si>
  <si>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</si>
  <si>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</si>
  <si>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</si>
  <si>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</si>
  <si>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</si>
  <si>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</si>
  <si>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</si>
  <si>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</si>
  <si>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</si>
  <si>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</si>
  <si>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</si>
  <si>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</si>
  <si>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</si>
  <si>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</si>
  <si>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</si>
  <si>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</si>
  <si>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</si>
  <si>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</si>
  <si>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</si>
  <si>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</si>
  <si>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</si>
  <si>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</si>
  <si>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</si>
  <si>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</si>
  <si>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</si>
  <si>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</si>
  <si>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</si>
  <si>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</si>
  <si>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</si>
  <si>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</si>
  <si>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</si>
  <si>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</si>
  <si>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</si>
  <si>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</si>
  <si>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</si>
  <si>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</si>
  <si>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</si>
  <si>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</si>
  <si>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</si>
  <si>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</si>
  <si>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</si>
  <si>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</si>
  <si>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</si>
  <si>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</si>
  <si>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</si>
  <si>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</si>
  <si>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</si>
  <si>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</si>
  <si>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</si>
  <si>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</si>
  <si>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</si>
  <si>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</si>
  <si>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</si>
  <si>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</si>
  <si>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</si>
  <si>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</si>
  <si>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</si>
  <si>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</si>
  <si>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</si>
  <si>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</si>
  <si>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</si>
  <si>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</si>
  <si>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</si>
  <si>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</si>
  <si>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</si>
  <si>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</si>
  <si>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</si>
  <si>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</si>
  <si>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</si>
  <si>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</si>
  <si>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</si>
  <si>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</si>
  <si>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</si>
  <si>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</si>
  <si>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</si>
  <si>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</si>
  <si>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</si>
  <si>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</si>
  <si>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</si>
  <si>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</si>
  <si>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</si>
  <si>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</si>
  <si>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</si>
  <si>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</si>
  <si>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</si>
  <si>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</si>
  <si>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</si>
  <si>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</si>
  <si>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</si>
  <si>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</si>
  <si>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</si>
  <si>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</si>
  <si>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</si>
  <si>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</si>
  <si>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</si>
  <si>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</si>
  <si>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</si>
  <si>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</si>
  <si>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</si>
  <si>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</si>
  <si>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</si>
  <si>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</si>
  <si>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</si>
  <si>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</si>
  <si>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</si>
  <si>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</si>
  <si>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</si>
  <si>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</si>
  <si>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</si>
  <si>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</si>
  <si>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</si>
  <si>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</si>
  <si>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</si>
  <si>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</si>
  <si>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</si>
  <si>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</si>
  <si>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</si>
  <si>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</si>
  <si>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</si>
  <si>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</si>
  <si>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</si>
  <si>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</si>
  <si>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</si>
  <si>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</si>
  <si>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</si>
  <si>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</si>
  <si>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</si>
  <si>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</si>
  <si>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</si>
  <si>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</si>
  <si>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</si>
  <si>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</si>
  <si>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</si>
  <si>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</si>
  <si>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</si>
  <si>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</si>
  <si>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</si>
  <si>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</si>
  <si>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</si>
  <si>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</si>
  <si>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</si>
  <si>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</si>
  <si>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</si>
  <si>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</si>
  <si>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</si>
  <si>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</si>
  <si>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</si>
  <si>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</si>
  <si>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</si>
  <si>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</si>
  <si>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</si>
  <si>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</si>
  <si>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</si>
  <si>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</si>
  <si>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</si>
  <si>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</si>
  <si>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</si>
  <si>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</si>
  <si>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</si>
  <si>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</si>
  <si>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</si>
  <si>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</si>
  <si>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</si>
  <si>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</si>
  <si>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</si>
  <si>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</si>
  <si>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</si>
  <si>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</si>
  <si>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</si>
  <si>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</si>
  <si>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</si>
  <si>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</si>
  <si>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</si>
  <si>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</si>
  <si>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</si>
  <si>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</si>
  <si>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</si>
  <si>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</si>
  <si>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</si>
  <si>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</si>
  <si>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</si>
  <si>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</si>
  <si>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</si>
  <si>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</si>
  <si>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</si>
  <si>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</si>
  <si>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</si>
  <si>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</si>
  <si>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</si>
  <si>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</si>
  <si>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</si>
  <si>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</si>
  <si>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</si>
  <si>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</si>
  <si>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</si>
  <si>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</si>
  <si>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</si>
  <si>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</si>
  <si>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</si>
  <si>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</si>
  <si>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</si>
  <si>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</si>
  <si>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</si>
  <si>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</si>
  <si>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</si>
  <si>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</si>
  <si>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</si>
  <si>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</si>
  <si>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</si>
  <si>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</si>
  <si>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</si>
  <si>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</si>
  <si>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</si>
  <si>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</si>
  <si>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</si>
  <si>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</si>
  <si>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</si>
  <si>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</si>
  <si>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</si>
  <si>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</si>
  <si>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</si>
  <si>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</si>
  <si>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</si>
  <si>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</si>
  <si>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</si>
  <si>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</si>
  <si>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</si>
  <si>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</si>
  <si>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</si>
  <si>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</si>
  <si>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</si>
  <si>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</si>
  <si>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</si>
  <si>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</si>
  <si>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</si>
  <si>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</si>
  <si>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</si>
  <si>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</si>
  <si>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</si>
  <si>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</si>
  <si>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</si>
  <si>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</si>
  <si>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</si>
  <si>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</si>
  <si>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</si>
  <si>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</si>
  <si>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</si>
  <si>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</si>
  <si>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</si>
  <si>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</si>
  <si>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</si>
  <si>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</si>
  <si>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</si>
  <si>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</si>
  <si>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</si>
  <si>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</si>
  <si>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</si>
  <si>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</si>
  <si>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</si>
  <si>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</si>
  <si>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</si>
  <si>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</si>
  <si>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</si>
  <si>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</si>
  <si>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</si>
  <si>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</si>
  <si>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</si>
  <si>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</si>
  <si>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</si>
  <si>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</si>
  <si>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</si>
  <si>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</si>
  <si>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</si>
  <si>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</si>
  <si>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</si>
  <si>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</si>
  <si>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</si>
  <si>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</si>
  <si>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</si>
  <si>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</si>
  <si>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</si>
  <si>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</si>
  <si>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</si>
  <si>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</si>
  <si>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</si>
  <si>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</si>
  <si>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</si>
  <si>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</si>
  <si>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</si>
  <si>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</si>
  <si>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</si>
  <si>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</si>
  <si>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</si>
  <si>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</si>
  <si>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</si>
  <si>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</si>
  <si>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</si>
  <si>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</si>
  <si>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</si>
  <si>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</si>
  <si>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</si>
  <si>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</si>
  <si>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</si>
  <si>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</si>
  <si>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</si>
  <si>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</si>
  <si>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</si>
  <si>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</si>
  <si>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</si>
  <si>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</si>
  <si>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</si>
  <si>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</si>
  <si>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</si>
  <si>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</si>
  <si>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</si>
  <si>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</si>
  <si>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</si>
  <si>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</si>
  <si>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</si>
  <si>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</si>
  <si>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</si>
  <si>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</si>
  <si>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</si>
  <si>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</si>
  <si>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</si>
  <si>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</si>
  <si>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</si>
  <si>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</si>
  <si>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</si>
  <si>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</si>
  <si>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</si>
  <si>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</si>
  <si>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</si>
  <si>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</si>
  <si>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</si>
  <si>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</si>
  <si>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</si>
  <si>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</si>
  <si>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</si>
  <si>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</si>
  <si>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</si>
  <si>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</si>
  <si>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</si>
  <si>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</si>
  <si>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</si>
  <si>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</si>
  <si>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</si>
  <si>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</si>
  <si>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</si>
  <si>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</si>
  <si>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</si>
  <si>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</si>
  <si>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</si>
  <si>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</si>
  <si>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</si>
  <si>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</si>
  <si>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</si>
  <si>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</si>
  <si>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</si>
  <si>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</si>
  <si>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</si>
  <si>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</si>
  <si>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</si>
  <si>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</si>
  <si>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</si>
  <si>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</si>
  <si>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</si>
  <si>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</si>
  <si>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</si>
  <si>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</si>
  <si>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</si>
  <si>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</si>
  <si>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</si>
  <si>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</si>
  <si>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</si>
  <si>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</si>
  <si>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</si>
  <si>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</si>
  <si>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</si>
  <si>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</si>
  <si>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</si>
  <si>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</si>
  <si>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</si>
  <si>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</si>
  <si>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</si>
  <si>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</si>
  <si>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</si>
  <si>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</si>
  <si>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</si>
  <si>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</si>
  <si>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</si>
  <si>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</si>
  <si>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</si>
  <si>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</si>
  <si>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</si>
  <si>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</si>
  <si>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</si>
  <si>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</si>
  <si>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</si>
  <si>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</si>
  <si>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</si>
  <si>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</si>
  <si>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</si>
  <si>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</si>
  <si>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</si>
  <si>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</si>
  <si>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</si>
  <si>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</si>
  <si>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</si>
  <si>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</si>
  <si>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</si>
  <si>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</si>
  <si>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</si>
  <si>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</si>
  <si>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</si>
  <si>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</si>
  <si>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</si>
  <si>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</si>
  <si>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</si>
  <si>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</si>
  <si>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</si>
  <si>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</si>
  <si>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</si>
  <si>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</si>
  <si>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</si>
  <si>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</si>
  <si>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</si>
  <si>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</si>
  <si>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</si>
  <si>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</si>
  <si>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</si>
  <si>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</si>
  <si>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</si>
  <si>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</si>
  <si>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</si>
  <si>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</si>
  <si>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</si>
  <si>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</si>
  <si>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</si>
  <si>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</si>
  <si>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</si>
  <si>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</si>
  <si>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</si>
  <si>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</si>
  <si>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</si>
  <si>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</si>
  <si>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</si>
  <si>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</si>
  <si>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</si>
  <si>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</si>
  <si>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</si>
  <si>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</si>
  <si>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</si>
  <si>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</si>
  <si>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</si>
  <si>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</si>
  <si>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</si>
  <si>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</si>
  <si>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</si>
  <si>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</si>
  <si>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</si>
  <si>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</si>
  <si>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</si>
  <si>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</si>
  <si>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</si>
  <si>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</si>
  <si>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</si>
  <si>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</si>
  <si>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</si>
  <si>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</si>
  <si>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</si>
  <si>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</si>
  <si>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</si>
  <si>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</si>
  <si>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</si>
  <si>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</si>
  <si>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</si>
  <si>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</si>
  <si>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</si>
  <si>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</si>
  <si>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</si>
  <si>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</si>
  <si>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</si>
  <si>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</si>
  <si>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</si>
  <si>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</si>
  <si>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</si>
  <si>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</si>
  <si>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</si>
  <si>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</si>
  <si>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</si>
  <si>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</si>
  <si>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</si>
  <si>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</si>
  <si>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</si>
  <si>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</si>
  <si>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</si>
  <si>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</si>
  <si>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</si>
  <si>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</si>
  <si>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</si>
  <si>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</si>
  <si>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</si>
  <si>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</si>
  <si>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</si>
  <si>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</si>
  <si>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</si>
  <si>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</si>
  <si>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</si>
  <si>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</si>
  <si>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</si>
  <si>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</si>
  <si>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</si>
  <si>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</si>
  <si>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</si>
  <si>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</si>
  <si>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</si>
  <si>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</si>
  <si>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</si>
  <si>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</si>
  <si>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</si>
  <si>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</si>
  <si>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</si>
  <si>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</si>
  <si>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</si>
  <si>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</si>
  <si>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</si>
  <si>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</si>
  <si>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</si>
  <si>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</si>
  <si>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</si>
  <si>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</si>
  <si>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</si>
  <si>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</si>
  <si>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</si>
  <si>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</si>
  <si>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</si>
  <si>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</si>
  <si>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</si>
  <si>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</si>
  <si>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</si>
  <si>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</si>
  <si>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</si>
  <si>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</si>
  <si>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</si>
  <si>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</si>
  <si>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</si>
  <si>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</si>
  <si>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</si>
  <si>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</si>
  <si>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</si>
  <si>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</si>
  <si>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</si>
  <si>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</si>
  <si>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</si>
  <si>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</si>
  <si>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</si>
  <si>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</si>
  <si>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</si>
  <si>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</si>
  <si>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</si>
  <si>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</si>
  <si>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</si>
  <si>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</si>
  <si>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</si>
  <si>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</si>
  <si>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</si>
  <si>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</si>
  <si>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</si>
  <si>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</si>
  <si>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</si>
  <si>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</si>
  <si>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</si>
  <si>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</si>
  <si>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</si>
  <si>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</si>
  <si>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</si>
  <si>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</si>
  <si>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</si>
  <si>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</si>
  <si>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</si>
  <si>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</si>
  <si>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</si>
  <si>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</si>
  <si>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</si>
  <si>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</si>
  <si>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</si>
  <si>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</si>
  <si>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</si>
  <si>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</si>
  <si>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</si>
  <si>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</si>
  <si>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</si>
  <si>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</si>
  <si>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</si>
  <si>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</si>
  <si>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</si>
  <si>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</si>
  <si>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</si>
  <si>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</si>
  <si>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</si>
  <si>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</si>
  <si>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</si>
  <si>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</si>
  <si>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</si>
  <si>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</si>
  <si>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</si>
  <si>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</si>
  <si>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</si>
  <si>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</si>
  <si>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</si>
  <si>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</si>
  <si>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</si>
  <si>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</si>
  <si>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</si>
  <si>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</si>
  <si>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</si>
  <si>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</si>
  <si>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</si>
  <si>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</si>
  <si>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</si>
  <si>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</si>
  <si>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</si>
  <si>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</si>
  <si>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</si>
  <si>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</si>
  <si>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</si>
  <si>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</si>
  <si>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</si>
  <si>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</si>
  <si>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</si>
  <si>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</si>
  <si>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</si>
  <si>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</si>
  <si>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</si>
  <si>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</si>
  <si>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</si>
  <si>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</si>
  <si>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</si>
  <si>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</si>
  <si>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</si>
  <si>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</si>
  <si>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</si>
  <si>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</si>
  <si>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</si>
  <si>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</si>
  <si>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</si>
  <si>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</si>
  <si>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</si>
  <si>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</si>
  <si>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</si>
  <si>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</si>
  <si>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</si>
  <si>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</si>
  <si>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</si>
  <si>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</si>
  <si>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</si>
  <si>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</si>
  <si>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</si>
  <si>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</si>
  <si>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</si>
  <si>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</si>
  <si>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</si>
  <si>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</si>
  <si>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</si>
  <si>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</si>
  <si>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</si>
  <si>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</si>
  <si>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</si>
  <si>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</si>
  <si>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</si>
  <si>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</si>
  <si>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</si>
  <si>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</si>
  <si>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</si>
  <si>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</si>
  <si>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</si>
  <si>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</si>
  <si>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</si>
  <si>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</si>
  <si>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</si>
  <si>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</si>
  <si>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</si>
  <si>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</si>
  <si>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</si>
  <si>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</si>
  <si>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</si>
  <si>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</si>
  <si>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</si>
  <si>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</si>
  <si>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</si>
  <si>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</si>
  <si>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</si>
  <si>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</si>
  <si>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</si>
  <si>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</si>
  <si>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</si>
  <si>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</si>
  <si>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</si>
  <si>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</si>
  <si>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</si>
  <si>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</si>
  <si>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</si>
  <si>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</si>
  <si>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</si>
  <si>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</si>
  <si>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</si>
  <si>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</si>
  <si>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</si>
  <si>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</si>
  <si>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</si>
  <si>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</si>
  <si>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</si>
  <si>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</si>
  <si>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</si>
  <si>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</si>
  <si>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</si>
  <si>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</si>
  <si>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</si>
  <si>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</si>
  <si>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</si>
  <si>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</si>
  <si>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</si>
  <si>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</si>
  <si>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</si>
  <si>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</si>
  <si>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</si>
  <si>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</si>
  <si>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</si>
  <si>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</si>
  <si>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</si>
  <si>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</si>
  <si>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</si>
  <si>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</si>
  <si>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</si>
  <si>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</si>
  <si>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</si>
  <si>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</si>
  <si>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</si>
  <si>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</si>
  <si>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</si>
  <si>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</si>
  <si>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</si>
  <si>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</si>
  <si>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</si>
  <si>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</si>
  <si>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</si>
  <si>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</si>
  <si>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</si>
  <si>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</si>
  <si>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</si>
  <si>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</si>
  <si>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</si>
  <si>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</si>
  <si>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</si>
  <si>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</si>
  <si>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</si>
  <si>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</si>
  <si>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</si>
  <si>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</si>
  <si>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</si>
  <si>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</si>
  <si>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</si>
  <si>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</si>
  <si>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</si>
  <si>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</si>
  <si>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</si>
  <si>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</si>
  <si>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</si>
  <si>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</si>
  <si>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</si>
  <si>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</si>
  <si>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</si>
  <si>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</si>
  <si>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</si>
  <si>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</si>
  <si>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</si>
  <si>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</si>
  <si>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</si>
  <si>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</si>
  <si>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</si>
  <si>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</si>
  <si>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</si>
  <si>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</si>
  <si>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</si>
  <si>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</si>
  <si>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</si>
  <si>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</si>
  <si>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</si>
  <si>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</si>
  <si>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</si>
  <si>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</si>
  <si>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</si>
  <si>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</si>
  <si>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</si>
  <si>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</si>
  <si>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</si>
  <si>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</si>
  <si>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</si>
  <si>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</si>
  <si>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</si>
  <si>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</si>
  <si>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</si>
  <si>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</si>
  <si>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</si>
  <si>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</si>
  <si>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</si>
  <si>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</si>
  <si>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</si>
  <si>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</si>
  <si>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</si>
  <si>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</si>
  <si>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</si>
  <si>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</si>
  <si>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</si>
  <si>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</si>
  <si>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</si>
  <si>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</si>
  <si>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</si>
  <si>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</si>
  <si>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</si>
  <si>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</si>
  <si>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</si>
  <si>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</si>
  <si>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</si>
  <si>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</si>
  <si>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</si>
  <si>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</si>
  <si>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</si>
  <si>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</si>
  <si>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</si>
  <si>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</si>
  <si>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</si>
  <si>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</si>
  <si>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</si>
  <si>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</si>
  <si>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</si>
  <si>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</si>
  <si>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</si>
  <si>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</si>
  <si>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</si>
  <si>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</si>
  <si>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</si>
  <si>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</si>
  <si>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</si>
  <si>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</si>
  <si>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</si>
  <si>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</si>
  <si>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</si>
  <si>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</si>
  <si>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</si>
  <si>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</si>
  <si>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</si>
  <si>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</si>
  <si>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</si>
  <si>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</si>
  <si>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</si>
  <si>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</si>
  <si>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</si>
  <si>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</si>
  <si>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</si>
  <si>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</si>
  <si>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</si>
  <si>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</si>
  <si>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</si>
  <si>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</si>
  <si>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</si>
  <si>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</si>
  <si>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</si>
  <si>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</si>
  <si>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</si>
  <si>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</si>
  <si>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</si>
  <si>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</si>
  <si>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</si>
  <si>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</si>
  <si>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</si>
  <si>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</si>
  <si>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</si>
  <si>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</si>
  <si>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</si>
  <si>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</si>
  <si>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</si>
  <si>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</si>
  <si>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</si>
  <si>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</si>
  <si>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</si>
  <si>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</si>
  <si>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</si>
  <si>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</si>
  <si>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</si>
  <si>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</si>
  <si>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</si>
  <si>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</si>
  <si>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</si>
  <si>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</si>
  <si>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</si>
  <si>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</si>
  <si>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</si>
  <si>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</si>
  <si>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</si>
  <si>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</si>
  <si>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</si>
  <si>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</si>
  <si>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</si>
  <si>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</si>
  <si>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</si>
  <si>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</si>
  <si>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</si>
  <si>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</si>
  <si>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</si>
  <si>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</si>
  <si>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</si>
  <si>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</si>
  <si>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</si>
  <si>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</si>
  <si>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</si>
  <si>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</si>
  <si>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</si>
  <si>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</si>
  <si>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</si>
  <si>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</si>
  <si>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</si>
  <si>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</si>
  <si>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</si>
  <si>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</si>
  <si>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</si>
  <si>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</si>
  <si>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</si>
  <si>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</si>
  <si>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</si>
  <si>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</si>
  <si>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</si>
  <si>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</si>
  <si>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</si>
  <si>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</si>
  <si>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</si>
  <si>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</si>
  <si>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</si>
  <si>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</si>
  <si>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</si>
  <si>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</si>
  <si>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</si>
  <si>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</si>
  <si>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</si>
  <si>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</si>
  <si>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</si>
  <si>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</si>
  <si>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</si>
  <si>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</si>
  <si>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</si>
  <si>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</si>
  <si>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</si>
  <si>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</si>
  <si>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</si>
  <si>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</si>
  <si>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</si>
  <si>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</si>
  <si>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</si>
  <si>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</si>
  <si>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</si>
  <si>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</si>
  <si>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</si>
  <si>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</si>
  <si>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</si>
  <si>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</si>
  <si>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</si>
  <si>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</si>
  <si>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</si>
  <si>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</si>
  <si>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</si>
  <si>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</si>
  <si>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</si>
  <si>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</si>
  <si>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</si>
  <si>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</si>
  <si>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</si>
  <si>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</si>
  <si>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</si>
  <si>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</si>
  <si>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</si>
  <si>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</si>
  <si>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</si>
  <si>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</si>
  <si>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</si>
  <si>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</si>
  <si>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</si>
  <si>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</si>
  <si>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</si>
  <si>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</si>
  <si>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</si>
  <si>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</si>
  <si>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</si>
  <si>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</si>
  <si>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</si>
  <si>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</si>
  <si>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</si>
  <si>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</si>
  <si>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</si>
  <si>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</si>
  <si>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</si>
  <si>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</si>
  <si>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</si>
  <si>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</si>
  <si>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</si>
  <si>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</si>
  <si>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</si>
  <si>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</si>
  <si>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</si>
  <si>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</si>
  <si>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</si>
  <si>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</si>
  <si>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</si>
  <si>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</si>
  <si>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</si>
  <si>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</si>
  <si>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</si>
  <si>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</si>
  <si>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</si>
  <si>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</si>
  <si>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</si>
  <si>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</si>
  <si>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</si>
  <si>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</si>
  <si>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</si>
  <si>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</si>
  <si>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</si>
  <si>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</si>
  <si>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</si>
  <si>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</si>
  <si>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</si>
  <si>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</si>
  <si>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</si>
  <si>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</si>
  <si>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</si>
  <si>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</si>
  <si>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</si>
  <si>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</si>
  <si>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</si>
  <si>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</si>
  <si>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</si>
  <si>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</si>
  <si>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</si>
  <si>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</si>
  <si>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</si>
  <si>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</si>
  <si>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</si>
  <si>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</si>
  <si>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</si>
  <si>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</si>
  <si>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</si>
  <si>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</si>
  <si>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</si>
  <si>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</si>
  <si>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</si>
  <si>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</si>
  <si>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</si>
  <si>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</si>
  <si>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</si>
  <si>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</si>
  <si>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</si>
  <si>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</si>
  <si>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</si>
  <si>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</si>
  <si>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</si>
  <si>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</si>
  <si>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</si>
  <si>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</si>
  <si>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</si>
  <si>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</si>
  <si>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</si>
  <si>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</si>
  <si>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</si>
  <si>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</si>
  <si>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</si>
  <si>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</si>
  <si>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</si>
  <si>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</si>
  <si>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</si>
  <si>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</si>
  <si>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</si>
  <si>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</si>
  <si>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</si>
  <si>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</si>
  <si>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</si>
  <si>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</si>
  <si>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</si>
  <si>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</si>
  <si>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</si>
  <si>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</si>
  <si>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</si>
  <si>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</si>
  <si>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</si>
  <si>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</si>
  <si>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</si>
  <si>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</si>
  <si>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</si>
  <si>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</si>
  <si>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</si>
  <si>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</si>
  <si>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</si>
  <si>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</si>
  <si>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</si>
  <si>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</si>
  <si>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</si>
  <si>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</si>
  <si>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</si>
  <si>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</si>
  <si>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</si>
  <si>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</si>
  <si>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</si>
  <si>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</si>
  <si>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</si>
  <si>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</si>
  <si>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</si>
  <si>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</si>
  <si>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</si>
  <si>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</si>
  <si>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</si>
  <si>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</si>
  <si>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</si>
  <si>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</si>
  <si>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</si>
  <si>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</si>
  <si>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</si>
  <si>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</si>
  <si>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</si>
  <si>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</si>
  <si>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</si>
  <si>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</si>
  <si>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</si>
  <si>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</si>
  <si>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</si>
  <si>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</si>
  <si>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</si>
  <si>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</si>
  <si>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</si>
  <si>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</si>
  <si>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</si>
  <si>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</si>
  <si>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</si>
  <si>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</si>
  <si>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</si>
  <si>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</si>
  <si>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</si>
  <si>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</si>
  <si>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</si>
  <si>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</si>
  <si>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</si>
  <si>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</si>
  <si>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</si>
  <si>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</si>
  <si>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</si>
  <si>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</si>
  <si>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</si>
  <si>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</si>
  <si>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</si>
  <si>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</si>
  <si>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</si>
  <si>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</si>
  <si>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</si>
  <si>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</si>
  <si>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</si>
  <si>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</si>
  <si>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</si>
  <si>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</si>
  <si>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</si>
  <si>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</si>
  <si>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</si>
  <si>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</si>
  <si>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</si>
  <si>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</si>
  <si>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</si>
  <si>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</si>
  <si>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</si>
  <si>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</si>
  <si>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</si>
  <si>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</si>
  <si>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</si>
  <si>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</si>
  <si>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</si>
  <si>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</si>
  <si>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</si>
  <si>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</si>
  <si>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</si>
  <si>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</si>
  <si>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</si>
  <si>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</si>
  <si>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</si>
  <si>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</si>
  <si>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</si>
  <si>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</si>
  <si>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</si>
  <si>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</si>
  <si>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</si>
  <si>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</si>
  <si>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</si>
  <si>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</si>
  <si>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</si>
  <si>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</si>
  <si>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</si>
  <si>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</si>
  <si>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</si>
  <si>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</si>
  <si>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</si>
  <si>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</si>
  <si>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</si>
  <si>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</si>
  <si>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</si>
  <si>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</si>
  <si>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</si>
  <si>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H2A Version 3</t>
  </si>
  <si>
    <t>M. Penev</t>
  </si>
  <si>
    <t>Case was ported to H2A version 3</t>
  </si>
  <si>
    <t>$(2016)/ gal</t>
  </si>
  <si>
    <t>Run Risk Analysis?</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</si>
  <si>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</si>
  <si>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</si>
  <si>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</si>
  <si>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</si>
  <si>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</si>
  <si>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</si>
  <si>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</si>
  <si>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</si>
  <si>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</si>
  <si>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</si>
  <si>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</si>
  <si>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</si>
  <si>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</si>
  <si>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</si>
  <si>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</si>
  <si>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</si>
  <si>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</si>
  <si>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</si>
  <si>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</si>
  <si>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</si>
  <si>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</si>
  <si>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</si>
  <si>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</si>
  <si>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</si>
  <si>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</si>
  <si>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</si>
  <si>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</si>
  <si>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</si>
  <si>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</si>
  <si>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</si>
  <si>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</si>
  <si>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</si>
  <si>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</si>
  <si>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</si>
  <si>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</si>
  <si>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</si>
  <si>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</si>
  <si>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</si>
  <si>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</si>
  <si>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</si>
  <si>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</si>
  <si>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</si>
  <si>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Price Conversion Factor (GJ/kWh)</t>
  </si>
  <si>
    <t>Price in Startup Year ($2016)/kWh</t>
  </si>
  <si>
    <t>Usage (kWh/kg H2)</t>
  </si>
  <si>
    <t>;</t>
  </si>
  <si>
    <t>Genevieve Saur</t>
  </si>
  <si>
    <t>PEM electrolysis case study</t>
  </si>
  <si>
    <t>G. Saur, T. Ramsden, B. James, W. Colella</t>
  </si>
  <si>
    <t>Grid Electricity (industrial)</t>
  </si>
  <si>
    <t>PEM electrolysis</t>
  </si>
  <si>
    <t>none</t>
  </si>
  <si>
    <t>USA</t>
  </si>
  <si>
    <t>The purpose of this analysis was to analyze the technical and economic aspects of a process for production of hydrogen from the electrolysis of water using grid-based electricity.</t>
  </si>
  <si>
    <t xml:space="preserve">The system modeled is a standalone grid powered PEM electrolyzer system with a total hydrogen production capacity of 50,000 kg/day.  The system is based on a generic system using input from several key industry collaborators (KIC) with commercial experience in PEM electrolysis.  The electrolyzer units use process water and grid electricity for electrolysis.  </t>
  </si>
  <si>
    <t>Energy balances done manually from generic system estimates, equipment costing and performance from input from key industry collaborators (KIC).</t>
  </si>
  <si>
    <t>Corporate ownership, 100% equity financed.</t>
  </si>
  <si>
    <t>PEP Yearbook 2002</t>
  </si>
  <si>
    <t>Plant Design and Economics for Chemical Engineers, Max S. Peters, Klaus D. Timmerhaus, Ronald E. West</t>
  </si>
  <si>
    <t>Johanna Ivy, "Summary of Electrolytic Hydrogen Production," September, 2004.  NREL Report:  NREL/MP-560-36734.</t>
  </si>
  <si>
    <t>Cost and performance projections based on input from H2A development team and key industrial collaborators (KIC) collected during H2A model development meetings, May-September 2013</t>
  </si>
  <si>
    <t xml:space="preserve">Norsk Hydro Electrolysers presentation, 2/13/2004.  </t>
  </si>
  <si>
    <t>Energy Efficiency Calculations</t>
  </si>
  <si>
    <t>Central</t>
  </si>
  <si>
    <t>Basis for Assumptions</t>
  </si>
  <si>
    <t>Current</t>
  </si>
  <si>
    <r>
      <t>H</t>
    </r>
    <r>
      <rPr>
        <b/>
        <vertAlign val="subscript"/>
        <sz val="11"/>
        <color indexed="8"/>
        <rFont val="Calibri"/>
        <family val="2"/>
      </rPr>
      <t>2</t>
    </r>
    <r>
      <rPr>
        <b/>
        <sz val="11"/>
        <color indexed="8"/>
        <rFont val="Calibri"/>
        <family val="2"/>
      </rPr>
      <t xml:space="preserve"> Outlet Pressure</t>
    </r>
  </si>
  <si>
    <t>Industry feedback</t>
  </si>
  <si>
    <t>Stack Electrical Usage</t>
  </si>
  <si>
    <t>Cell voltage</t>
  </si>
  <si>
    <t>volts/cell</t>
  </si>
  <si>
    <r>
      <t>Based on literature and industry input (assuming  1.5A/cm</t>
    </r>
    <r>
      <rPr>
        <vertAlign val="superscript"/>
        <sz val="11"/>
        <rFont val="Calibri"/>
        <family val="2"/>
      </rPr>
      <t>2</t>
    </r>
    <r>
      <rPr>
        <sz val="11"/>
        <rFont val="Calibri"/>
        <family val="2"/>
      </rPr>
      <t xml:space="preserve"> current density). </t>
    </r>
  </si>
  <si>
    <t>Voltage Efficiency</t>
  </si>
  <si>
    <t>% LHV</t>
  </si>
  <si>
    <t>Equation: 1.23/cell voltage</t>
  </si>
  <si>
    <t>Dryer Loss</t>
  </si>
  <si>
    <r>
      <t>% of gross H</t>
    </r>
    <r>
      <rPr>
        <vertAlign val="subscript"/>
        <sz val="11"/>
        <color indexed="8"/>
        <rFont val="Calibri"/>
        <family val="2"/>
      </rPr>
      <t>2</t>
    </r>
  </si>
  <si>
    <t xml:space="preserve">The 3% Dryer loss comes from industry input ("3-4%"). </t>
  </si>
  <si>
    <t>Permeation Loss</t>
  </si>
  <si>
    <r>
      <t>Based on back diffusion model (1.85x10-7cm</t>
    </r>
    <r>
      <rPr>
        <vertAlign val="superscript"/>
        <sz val="11"/>
        <rFont val="Calibri"/>
        <family val="2"/>
      </rPr>
      <t>2</t>
    </r>
    <r>
      <rPr>
        <sz val="11"/>
        <rFont val="Calibri"/>
        <family val="2"/>
      </rPr>
      <t>/s back diffusion coefficient): Industry input is 0.7% at 450psi, model says 0.5% at 450psi for a 3</t>
    </r>
    <r>
      <rPr>
        <sz val="11"/>
        <rFont val="Calibri"/>
        <family val="2"/>
      </rPr>
      <t>µm thick</t>
    </r>
    <r>
      <rPr>
        <sz val="11"/>
        <rFont val="Arial"/>
        <family val="2"/>
      </rPr>
      <t xml:space="preserve"> </t>
    </r>
    <r>
      <rPr>
        <sz val="11"/>
        <rFont val="Calibri"/>
        <family val="2"/>
      </rPr>
      <t>membrane.</t>
    </r>
  </si>
  <si>
    <r>
      <t>Total Stack Energy Usage per mass net H</t>
    </r>
    <r>
      <rPr>
        <b/>
        <vertAlign val="subscript"/>
        <sz val="11"/>
        <color indexed="8"/>
        <rFont val="Calibri"/>
        <family val="2"/>
      </rPr>
      <t>2</t>
    </r>
  </si>
  <si>
    <r>
      <t>kWh</t>
    </r>
    <r>
      <rPr>
        <b/>
        <vertAlign val="subscript"/>
        <sz val="11"/>
        <color indexed="8"/>
        <rFont val="Calibri"/>
        <family val="2"/>
      </rPr>
      <t>elec</t>
    </r>
    <r>
      <rPr>
        <b/>
        <sz val="11"/>
        <color indexed="8"/>
        <rFont val="Calibri"/>
        <family val="2"/>
      </rPr>
      <t>/kg</t>
    </r>
    <r>
      <rPr>
        <b/>
        <vertAlign val="subscript"/>
        <sz val="11"/>
        <color indexed="8"/>
        <rFont val="Calibri"/>
        <family val="2"/>
      </rPr>
      <t xml:space="preserve">Net H2 </t>
    </r>
  </si>
  <si>
    <r>
      <t>Based on 33.33 kWh/kg H</t>
    </r>
    <r>
      <rPr>
        <vertAlign val="subscript"/>
        <sz val="11"/>
        <rFont val="Calibri"/>
        <family val="2"/>
      </rPr>
      <t>2</t>
    </r>
  </si>
  <si>
    <t>BOP Loads</t>
  </si>
  <si>
    <t>Power Inverter Efficiency</t>
  </si>
  <si>
    <t>%</t>
  </si>
  <si>
    <t>Based on industry input.</t>
  </si>
  <si>
    <t>Inverter Electrical Load</t>
  </si>
  <si>
    <r>
      <t>kWh</t>
    </r>
    <r>
      <rPr>
        <vertAlign val="subscript"/>
        <sz val="11"/>
        <color indexed="8"/>
        <rFont val="Calibri"/>
        <family val="2"/>
      </rPr>
      <t>elec</t>
    </r>
    <r>
      <rPr>
        <sz val="11"/>
        <color indexed="8"/>
        <rFont val="Calibri"/>
        <family val="2"/>
      </rPr>
      <t>/kg</t>
    </r>
    <r>
      <rPr>
        <vertAlign val="subscript"/>
        <sz val="11"/>
        <color indexed="8"/>
        <rFont val="Calibri"/>
        <family val="2"/>
      </rPr>
      <t>Net H2</t>
    </r>
  </si>
  <si>
    <t>Dryer Thermal Load</t>
  </si>
  <si>
    <r>
      <t>kWh</t>
    </r>
    <r>
      <rPr>
        <vertAlign val="subscript"/>
        <sz val="11"/>
        <color indexed="8"/>
        <rFont val="Calibri"/>
        <family val="2"/>
      </rPr>
      <t>therm</t>
    </r>
    <r>
      <rPr>
        <sz val="11"/>
        <color indexed="8"/>
        <rFont val="Calibri"/>
        <family val="2"/>
      </rPr>
      <t>/kg</t>
    </r>
    <r>
      <rPr>
        <vertAlign val="subscript"/>
        <sz val="11"/>
        <color indexed="8"/>
        <rFont val="Calibri"/>
        <family val="2"/>
      </rPr>
      <t>Net H2</t>
    </r>
  </si>
  <si>
    <t>Based on Hysys Simulation.</t>
  </si>
  <si>
    <t>Dryer Efficiency</t>
  </si>
  <si>
    <r>
      <t>kWh</t>
    </r>
    <r>
      <rPr>
        <vertAlign val="subscript"/>
        <sz val="11"/>
        <color indexed="8"/>
        <rFont val="Calibri"/>
        <family val="2"/>
      </rPr>
      <t>elec</t>
    </r>
    <r>
      <rPr>
        <sz val="11"/>
        <color indexed="8"/>
        <rFont val="Calibri"/>
        <family val="2"/>
      </rPr>
      <t>/kWh</t>
    </r>
    <r>
      <rPr>
        <vertAlign val="subscript"/>
        <sz val="11"/>
        <color indexed="8"/>
        <rFont val="Calibri"/>
        <family val="2"/>
      </rPr>
      <t>therm</t>
    </r>
  </si>
  <si>
    <t xml:space="preserve">Based on industry input for the ratio of net electrical energy for the chiller. </t>
  </si>
  <si>
    <t xml:space="preserve">Dryer Electrical Load </t>
  </si>
  <si>
    <t xml:space="preserve">Misc Electrical Load </t>
  </si>
  <si>
    <t xml:space="preserve">Based on industry input for current.  </t>
  </si>
  <si>
    <t xml:space="preserve">Total BOP Electrical Load </t>
  </si>
  <si>
    <r>
      <t>kWh</t>
    </r>
    <r>
      <rPr>
        <b/>
        <vertAlign val="subscript"/>
        <sz val="11"/>
        <color indexed="8"/>
        <rFont val="Calibri"/>
        <family val="2"/>
      </rPr>
      <t>elec</t>
    </r>
    <r>
      <rPr>
        <b/>
        <sz val="11"/>
        <color indexed="8"/>
        <rFont val="Calibri"/>
        <family val="2"/>
      </rPr>
      <t>/kg</t>
    </r>
    <r>
      <rPr>
        <b/>
        <vertAlign val="subscript"/>
        <sz val="11"/>
        <color indexed="8"/>
        <rFont val="Calibri"/>
        <family val="2"/>
      </rPr>
      <t>Net H2</t>
    </r>
  </si>
  <si>
    <t>Summary</t>
  </si>
  <si>
    <r>
      <t>kWh</t>
    </r>
    <r>
      <rPr>
        <b/>
        <vertAlign val="subscript"/>
        <sz val="11"/>
        <color indexed="8"/>
        <rFont val="Calibri"/>
        <family val="2"/>
      </rPr>
      <t>elec</t>
    </r>
    <r>
      <rPr>
        <b/>
        <sz val="11"/>
        <color indexed="8"/>
        <rFont val="Calibri"/>
        <family val="2"/>
      </rPr>
      <t>/kg</t>
    </r>
    <r>
      <rPr>
        <b/>
        <vertAlign val="subscript"/>
        <sz val="11"/>
        <color indexed="8"/>
        <rFont val="Calibri"/>
        <family val="2"/>
      </rPr>
      <t>H2</t>
    </r>
  </si>
  <si>
    <t>BOP Electrical Usage</t>
  </si>
  <si>
    <r>
      <t>kWh</t>
    </r>
    <r>
      <rPr>
        <vertAlign val="subscript"/>
        <sz val="11"/>
        <color indexed="8"/>
        <rFont val="Calibri"/>
        <family val="2"/>
      </rPr>
      <t>elec</t>
    </r>
    <r>
      <rPr>
        <sz val="11"/>
        <color indexed="8"/>
        <rFont val="Calibri"/>
        <family val="2"/>
      </rPr>
      <t>/kg</t>
    </r>
    <r>
      <rPr>
        <vertAlign val="subscript"/>
        <sz val="11"/>
        <color indexed="8"/>
        <rFont val="Calibri"/>
        <family val="2"/>
      </rPr>
      <t>H2</t>
    </r>
  </si>
  <si>
    <r>
      <t>Total System Electral Usage per mass net H</t>
    </r>
    <r>
      <rPr>
        <b/>
        <vertAlign val="subscript"/>
        <sz val="11"/>
        <rFont val="Calibri"/>
        <family val="2"/>
      </rPr>
      <t>2</t>
    </r>
  </si>
  <si>
    <r>
      <t>kWh</t>
    </r>
    <r>
      <rPr>
        <vertAlign val="subscript"/>
        <sz val="11"/>
        <rFont val="Calibri"/>
        <family val="2"/>
      </rPr>
      <t>elec</t>
    </r>
    <r>
      <rPr>
        <sz val="11"/>
        <rFont val="Calibri"/>
        <family val="2"/>
      </rPr>
      <t>/kg</t>
    </r>
    <r>
      <rPr>
        <vertAlign val="subscript"/>
        <sz val="11"/>
        <rFont val="Calibri"/>
        <family val="2"/>
      </rPr>
      <t>Net H2</t>
    </r>
  </si>
  <si>
    <t>Stacks</t>
  </si>
  <si>
    <t>BoP Breakdown</t>
  </si>
  <si>
    <t>Hydrogen Gas Management System-Cathode system side</t>
  </si>
  <si>
    <t>Oxygen Gas Management System-Anode system side</t>
  </si>
  <si>
    <t>Water Reacant Delivery Management System</t>
  </si>
  <si>
    <t>Thermal Management System</t>
  </si>
  <si>
    <t>Power Electronics</t>
  </si>
  <si>
    <t>Controls &amp; Sensors</t>
  </si>
  <si>
    <t>Mechanical Balance of Plant-ss plumbing/copper cabling/Dryer valves...</t>
  </si>
  <si>
    <t>Item Breakdown- Other</t>
  </si>
  <si>
    <t>Item Breakdown-Assembly Labor</t>
  </si>
  <si>
    <t>Uninstalled Cost - ($/kW)  (with suggested subsystem breakdown, further breakdown desirable if available )</t>
  </si>
  <si>
    <t>Electricity Usage (kWh/kg)</t>
  </si>
  <si>
    <t>System Power (kW)</t>
  </si>
  <si>
    <t>BoP Total</t>
  </si>
  <si>
    <t>feedstock Industrial Electricity Usage</t>
  </si>
  <si>
    <t>feedstockIndustrial_Electricity_Usage</t>
  </si>
  <si>
    <t xml:space="preserve">15% of direct capital cost based on industry input.  15% is less than the full replacement cost of stack or stack refurbishment.  Lower replacement cost given a seven year design advancement. </t>
  </si>
  <si>
    <t>Central Proton Exchange Membrane (PEM) Electrolysis - Current Timeframe</t>
  </si>
  <si>
    <t>Michael Penev</t>
  </si>
  <si>
    <t>303 275 3880</t>
  </si>
  <si>
    <t>mike.penev@nrel.gov</t>
  </si>
  <si>
    <t>www.nrel.gov</t>
  </si>
  <si>
    <t>in 2016 $/GJ, LHV</t>
  </si>
  <si>
    <t>NOTE: AEO Prices prior to 2015 were augmented with AEO historical data</t>
  </si>
  <si>
    <t>Enter 0 to enable constant outstanding debt.</t>
  </si>
  <si>
    <t>H2A Hydrogen Production Cash Flow Analysis Tool v3.2018</t>
  </si>
  <si>
    <t>Current Central Hydrogen Production from Grid PEM Electrolysis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</si>
</sst>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_(* #,##0.0_);_(* \(#,##0.0\);_(* &quot;-&quot;??_);_(@_)"/>
    <numFmt numFmtId="189" formatCode="0;;&quot;Constant debt&quot;"/>
  </numFmts>
  <fonts count="95"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u/>
      <sz val="10"/>
      <name val="Arial"/>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b/>
      <sz val="16"/>
      <name val="Calibri"/>
      <family val="2"/>
      <scheme val="minor"/>
    </font>
    <font>
      <b/>
      <sz val="11"/>
      <name val="Calibri"/>
      <family val="2"/>
      <scheme val="minor"/>
    </font>
    <font>
      <b/>
      <vertAlign val="subscript"/>
      <sz val="11"/>
      <color indexed="8"/>
      <name val="Calibri"/>
      <family val="2"/>
    </font>
    <font>
      <b/>
      <sz val="11"/>
      <color indexed="8"/>
      <name val="Calibri"/>
      <family val="2"/>
    </font>
    <font>
      <sz val="11"/>
      <name val="Calibri"/>
      <family val="2"/>
      <scheme val="minor"/>
    </font>
    <font>
      <vertAlign val="superscript"/>
      <sz val="11"/>
      <name val="Calibri"/>
      <family val="2"/>
    </font>
    <font>
      <sz val="11"/>
      <name val="Calibri"/>
      <family val="2"/>
    </font>
    <font>
      <vertAlign val="subscript"/>
      <sz val="11"/>
      <color indexed="8"/>
      <name val="Calibri"/>
      <family val="2"/>
    </font>
    <font>
      <vertAlign val="subscript"/>
      <sz val="11"/>
      <name val="Calibri"/>
      <family val="2"/>
    </font>
    <font>
      <sz val="11"/>
      <color indexed="8"/>
      <name val="Calibri"/>
      <family val="2"/>
    </font>
    <font>
      <b/>
      <vertAlign val="subscript"/>
      <sz val="11"/>
      <name val="Calibri"/>
      <family val="2"/>
    </font>
    <font>
      <sz val="10"/>
      <color theme="3" tint="0.59999389629810485"/>
      <name val="Arial"/>
      <family val="2"/>
    </font>
    <font>
      <b/>
      <sz val="10"/>
      <color theme="3" tint="0.59999389629810485"/>
      <name val="Arial"/>
      <family val="2"/>
    </font>
  </fonts>
  <fills count="28">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3" tint="0.59999389629810485"/>
        <bgColor indexed="64"/>
      </patternFill>
    </fill>
  </fills>
  <borders count="1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style="thin">
        <color theme="0"/>
      </left>
      <right/>
      <top/>
      <bottom style="thin">
        <color theme="0"/>
      </bottom>
      <diagonal/>
    </border>
    <border>
      <left style="thin">
        <color theme="0"/>
      </left>
      <right/>
      <top/>
      <bottom/>
      <diagonal/>
    </border>
    <border>
      <left style="thin">
        <color theme="0"/>
      </left>
      <right style="thin">
        <color theme="0"/>
      </right>
      <top style="thin">
        <color theme="0"/>
      </top>
      <bottom/>
      <diagonal/>
    </border>
    <border>
      <left style="thin">
        <color theme="0"/>
      </left>
      <right style="thin">
        <color theme="0"/>
      </right>
      <top/>
      <bottom/>
      <diagonal/>
    </border>
    <border>
      <left/>
      <right style="thin">
        <color theme="0"/>
      </right>
      <top/>
      <bottom/>
      <diagonal/>
    </border>
    <border>
      <left/>
      <right style="thin">
        <color indexed="64"/>
      </right>
      <top style="thin">
        <color indexed="64"/>
      </top>
      <bottom/>
      <diagonal/>
    </border>
    <border>
      <left/>
      <right style="thin">
        <color indexed="64"/>
      </right>
      <top/>
      <bottom/>
      <diagonal/>
    </border>
  </borders>
  <cellStyleXfs count="21">
    <xf numFmtId="0" fontId="0" fillId="0" borderId="0"/>
    <xf numFmtId="43" fontId="1" fillId="0" borderId="0" applyFont="0" applyFill="0" applyBorder="0" applyAlignment="0" applyProtection="0"/>
    <xf numFmtId="43" fontId="62" fillId="0" borderId="0" applyFont="0" applyFill="0" applyBorder="0" applyAlignment="0" applyProtection="0"/>
    <xf numFmtId="44" fontId="1" fillId="0" borderId="0" applyFont="0" applyFill="0" applyBorder="0" applyAlignment="0" applyProtection="0"/>
    <xf numFmtId="44" fontId="62"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3" fillId="0" borderId="0"/>
    <xf numFmtId="0" fontId="63" fillId="0" borderId="0"/>
    <xf numFmtId="0" fontId="59" fillId="0" borderId="0"/>
    <xf numFmtId="0" fontId="63" fillId="0" borderId="0"/>
    <xf numFmtId="173" fontId="53" fillId="0" borderId="0"/>
    <xf numFmtId="173" fontId="53"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2" fillId="0" borderId="0" applyFont="0" applyFill="0" applyBorder="0" applyAlignment="0" applyProtection="0"/>
    <xf numFmtId="0" fontId="75" fillId="0" borderId="0"/>
  </cellStyleXfs>
  <cellXfs count="1751">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0" xfId="0" applyFont="1" applyFill="1" applyBorder="1" applyAlignment="1" applyProtection="1">
      <alignment horizontal="left" vertical="center" wrapText="1"/>
      <protection locked="0"/>
    </xf>
    <xf numFmtId="0" fontId="49" fillId="6" borderId="8" xfId="0" applyFont="1" applyFill="1" applyBorder="1" applyAlignment="1" applyProtection="1">
      <alignment wrapText="1"/>
      <protection locked="0"/>
    </xf>
    <xf numFmtId="0" fontId="3" fillId="0" borderId="13" xfId="0" applyFont="1" applyBorder="1" applyAlignment="1" applyProtection="1">
      <alignment horizontal="right"/>
      <protection locked="0"/>
    </xf>
    <xf numFmtId="0" fontId="11" fillId="6" borderId="99" xfId="0" applyFont="1" applyFill="1" applyBorder="1" applyAlignment="1" applyProtection="1">
      <alignment horizontal="left" wrapText="1"/>
      <protection locked="0"/>
    </xf>
    <xf numFmtId="0" fontId="11" fillId="0" borderId="0" xfId="0" applyFont="1" applyFill="1" applyBorder="1" applyAlignment="1" applyProtection="1">
      <alignment wrapText="1"/>
      <protection locked="0"/>
    </xf>
    <xf numFmtId="0" fontId="3" fillId="0" borderId="17" xfId="0" applyFont="1" applyBorder="1" applyAlignment="1" applyProtection="1">
      <alignment horizontal="right"/>
      <protection locked="0"/>
    </xf>
    <xf numFmtId="0" fontId="4" fillId="6" borderId="100" xfId="5" applyFont="1" applyFill="1" applyBorder="1" applyAlignment="1" applyProtection="1">
      <alignment wrapText="1"/>
      <protection locked="0"/>
    </xf>
    <xf numFmtId="0" fontId="4" fillId="0" borderId="0" xfId="5" applyFont="1" applyFill="1" applyBorder="1" applyAlignment="1" applyProtection="1">
      <alignment wrapText="1"/>
      <protection locked="0"/>
    </xf>
    <xf numFmtId="15" fontId="11" fillId="6" borderId="100" xfId="0" applyNumberFormat="1" applyFont="1" applyFill="1" applyBorder="1" applyAlignment="1" applyProtection="1">
      <alignment horizontal="left" wrapText="1"/>
      <protection locked="0"/>
    </xf>
    <xf numFmtId="15" fontId="11" fillId="0" borderId="0" xfId="0" applyNumberFormat="1" applyFont="1" applyFill="1" applyBorder="1" applyAlignment="1" applyProtection="1">
      <alignment horizontal="left" wrapText="1"/>
      <protection locked="0"/>
    </xf>
    <xf numFmtId="0" fontId="3" fillId="0" borderId="20" xfId="0" applyFont="1" applyBorder="1" applyAlignment="1" applyProtection="1">
      <alignment horizontal="right"/>
      <protection locked="0"/>
    </xf>
    <xf numFmtId="0" fontId="3" fillId="0" borderId="0" xfId="0" applyFont="1" applyFill="1" applyBorder="1" applyAlignment="1" applyProtection="1">
      <alignment horizontal="right"/>
      <protection locked="0"/>
    </xf>
    <xf numFmtId="0" fontId="11" fillId="0" borderId="0" xfId="0" applyFont="1" applyFill="1" applyBorder="1" applyProtection="1">
      <protection locked="0"/>
    </xf>
    <xf numFmtId="0" fontId="11" fillId="6" borderId="16" xfId="0" applyFont="1" applyFill="1" applyBorder="1" applyAlignment="1" applyProtection="1">
      <alignment horizontal="left" wrapText="1"/>
      <protection locked="0"/>
    </xf>
    <xf numFmtId="0" fontId="11" fillId="0" borderId="0" xfId="0" applyFont="1" applyProtection="1">
      <protection locked="0"/>
    </xf>
    <xf numFmtId="0" fontId="11" fillId="6" borderId="19" xfId="0" applyFont="1" applyFill="1" applyBorder="1" applyAlignment="1" applyProtection="1">
      <alignment horizontal="left" wrapText="1"/>
      <protection locked="0"/>
    </xf>
    <xf numFmtId="0" fontId="19" fillId="0" borderId="0" xfId="0" applyFont="1" applyAlignment="1" applyProtection="1">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11" fillId="6" borderId="23" xfId="0" applyFont="1" applyFill="1" applyBorder="1" applyAlignment="1" applyProtection="1">
      <alignment wrapText="1"/>
      <protection locked="0"/>
    </xf>
    <xf numFmtId="0" fontId="3" fillId="0" borderId="0" xfId="0" applyFont="1" applyAlignment="1" applyProtection="1">
      <alignment horizontal="right"/>
      <protection locked="0"/>
    </xf>
    <xf numFmtId="0" fontId="3" fillId="0" borderId="17" xfId="0" applyFont="1" applyBorder="1" applyProtection="1">
      <protection locked="0"/>
    </xf>
    <xf numFmtId="0" fontId="3" fillId="0" borderId="8" xfId="0" applyFont="1" applyBorder="1" applyProtection="1">
      <protection locked="0"/>
    </xf>
    <xf numFmtId="0" fontId="3" fillId="0" borderId="19" xfId="0" applyFont="1" applyBorder="1" applyAlignment="1" applyProtection="1">
      <alignment wrapText="1"/>
      <protection locked="0"/>
    </xf>
    <xf numFmtId="15" fontId="11" fillId="6" borderId="17" xfId="0" applyNumberFormat="1" applyFont="1" applyFill="1" applyBorder="1" applyAlignment="1" applyProtection="1">
      <alignment horizontal="right" wrapText="1"/>
      <protection locked="0"/>
    </xf>
    <xf numFmtId="14" fontId="11" fillId="6" borderId="8" xfId="0" applyNumberFormat="1" applyFont="1" applyFill="1" applyBorder="1" applyAlignment="1" applyProtection="1">
      <alignment wrapText="1"/>
      <protection locked="0"/>
    </xf>
    <xf numFmtId="15" fontId="11" fillId="6" borderId="17" xfId="0" applyNumberFormat="1" applyFont="1" applyFill="1" applyBorder="1" applyAlignment="1" applyProtection="1">
      <alignment wrapText="1"/>
      <protection locked="0"/>
    </xf>
    <xf numFmtId="15" fontId="11" fillId="6" borderId="20" xfId="0" applyNumberFormat="1" applyFont="1" applyFill="1" applyBorder="1" applyProtection="1">
      <protection locked="0"/>
    </xf>
    <xf numFmtId="14" fontId="11" fillId="6" borderId="22" xfId="0" applyNumberFormat="1" applyFont="1" applyFill="1" applyBorder="1" applyAlignment="1" applyProtection="1">
      <alignment wrapText="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50" fillId="0" borderId="0" xfId="0" applyFont="1"/>
    <xf numFmtId="0" fontId="50" fillId="0" borderId="0" xfId="0" applyFont="1" applyAlignment="1">
      <alignment vertical="top" wrapText="1"/>
    </xf>
    <xf numFmtId="0" fontId="50"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1"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5" fontId="11" fillId="3" borderId="57" xfId="0" applyNumberFormat="1" applyFont="1" applyFill="1" applyBorder="1" applyAlignment="1">
      <alignment vertical="top" wrapText="1"/>
    </xf>
    <xf numFmtId="0" fontId="51"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2"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34" fillId="0" borderId="0" xfId="0" applyFont="1" applyFill="1" applyBorder="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60"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5" fillId="0" borderId="1" xfId="0" applyFont="1" applyFill="1" applyBorder="1" applyAlignment="1">
      <alignment wrapText="1"/>
    </xf>
    <xf numFmtId="0" fontId="55" fillId="0" borderId="2" xfId="0" applyFont="1" applyFill="1" applyBorder="1" applyAlignment="1">
      <alignment horizontal="center"/>
    </xf>
    <xf numFmtId="0" fontId="55" fillId="0" borderId="2" xfId="0" applyFont="1" applyFill="1" applyBorder="1" applyAlignment="1">
      <alignment horizontal="center" wrapText="1"/>
    </xf>
    <xf numFmtId="0" fontId="55" fillId="0" borderId="3" xfId="0" applyFont="1" applyFill="1" applyBorder="1" applyAlignment="1">
      <alignment horizontal="center" wrapText="1"/>
    </xf>
    <xf numFmtId="0" fontId="56" fillId="0" borderId="4" xfId="0" applyFont="1" applyFill="1" applyBorder="1" applyAlignment="1">
      <alignment wrapText="1"/>
    </xf>
    <xf numFmtId="2" fontId="56" fillId="0" borderId="0" xfId="0" applyNumberFormat="1" applyFont="1" applyFill="1" applyBorder="1" applyAlignment="1">
      <alignment horizontal="center"/>
    </xf>
    <xf numFmtId="2" fontId="57" fillId="0" borderId="0" xfId="0" applyNumberFormat="1" applyFont="1" applyFill="1" applyBorder="1" applyAlignment="1">
      <alignment wrapText="1"/>
    </xf>
    <xf numFmtId="2" fontId="57" fillId="0" borderId="0" xfId="0" applyNumberFormat="1" applyFont="1" applyFill="1" applyBorder="1" applyAlignment="1"/>
    <xf numFmtId="2" fontId="57" fillId="0" borderId="0" xfId="0" applyNumberFormat="1" applyFont="1" applyFill="1" applyBorder="1"/>
    <xf numFmtId="2" fontId="57" fillId="0" borderId="5" xfId="0" applyNumberFormat="1" applyFont="1" applyFill="1" applyBorder="1"/>
    <xf numFmtId="0" fontId="56" fillId="0" borderId="4" xfId="0" applyFont="1" applyFill="1" applyBorder="1"/>
    <xf numFmtId="0" fontId="55" fillId="0" borderId="4" xfId="0" applyFont="1" applyFill="1" applyBorder="1"/>
    <xf numFmtId="2" fontId="56" fillId="0" borderId="5" xfId="0" applyNumberFormat="1" applyFont="1" applyFill="1" applyBorder="1" applyAlignment="1">
      <alignment horizontal="center"/>
    </xf>
    <xf numFmtId="2" fontId="57" fillId="0" borderId="5" xfId="0" applyNumberFormat="1" applyFont="1" applyFill="1" applyBorder="1" applyAlignment="1">
      <alignment wrapText="1"/>
    </xf>
    <xf numFmtId="0" fontId="56" fillId="0" borderId="58" xfId="0" applyFont="1" applyFill="1" applyBorder="1" applyAlignment="1">
      <alignment wrapText="1"/>
    </xf>
    <xf numFmtId="2" fontId="56" fillId="0" borderId="59" xfId="0" applyNumberFormat="1" applyFont="1" applyFill="1" applyBorder="1" applyAlignment="1">
      <alignment horizontal="center"/>
    </xf>
    <xf numFmtId="2" fontId="56" fillId="0" borderId="59" xfId="0" applyNumberFormat="1" applyFont="1" applyFill="1" applyBorder="1" applyAlignment="1">
      <alignment horizontal="center" wrapText="1"/>
    </xf>
    <xf numFmtId="2" fontId="56" fillId="0" borderId="87" xfId="0" applyNumberFormat="1" applyFont="1" applyFill="1" applyBorder="1" applyAlignment="1">
      <alignment horizontal="center" wrapText="1"/>
    </xf>
    <xf numFmtId="0" fontId="58" fillId="0" borderId="0" xfId="0" applyFont="1" applyFill="1" applyBorder="1" applyAlignment="1"/>
    <xf numFmtId="0" fontId="57" fillId="0" borderId="0" xfId="0" applyFont="1" applyFill="1"/>
    <xf numFmtId="0" fontId="58"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7" fillId="3" borderId="4" xfId="0" applyFont="1" applyFill="1" applyBorder="1"/>
    <xf numFmtId="165" fontId="57" fillId="3" borderId="0" xfId="0" applyNumberFormat="1" applyFont="1" applyFill="1" applyBorder="1" applyAlignment="1">
      <alignment horizontal="center"/>
    </xf>
    <xf numFmtId="0" fontId="57" fillId="0" borderId="4" xfId="0" applyFont="1" applyFill="1" applyBorder="1"/>
    <xf numFmtId="165" fontId="57" fillId="0" borderId="0" xfId="0" applyNumberFormat="1" applyFont="1" applyFill="1" applyBorder="1" applyAlignment="1">
      <alignment horizontal="center"/>
    </xf>
    <xf numFmtId="0" fontId="57" fillId="3" borderId="0" xfId="0" applyFont="1" applyFill="1" applyBorder="1" applyAlignment="1">
      <alignment horizontal="center"/>
    </xf>
    <xf numFmtId="0" fontId="57" fillId="3" borderId="5" xfId="0" applyFont="1" applyFill="1" applyBorder="1" applyAlignment="1">
      <alignment horizontal="center"/>
    </xf>
    <xf numFmtId="0" fontId="57" fillId="0" borderId="0" xfId="0" applyFont="1" applyFill="1" applyBorder="1" applyAlignment="1">
      <alignment horizontal="center"/>
    </xf>
    <xf numFmtId="0" fontId="57" fillId="0" borderId="5" xfId="0" applyFont="1" applyFill="1" applyBorder="1" applyAlignment="1">
      <alignment horizontal="center"/>
    </xf>
    <xf numFmtId="0" fontId="3" fillId="3" borderId="0" xfId="0" applyFont="1" applyFill="1" applyBorder="1" applyAlignment="1">
      <alignment horizontal="center"/>
    </xf>
    <xf numFmtId="0" fontId="57" fillId="3" borderId="0" xfId="0" applyFont="1" applyFill="1" applyBorder="1"/>
    <xf numFmtId="0" fontId="57"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7" fillId="0" borderId="0" xfId="0" applyFont="1"/>
    <xf numFmtId="0" fontId="57" fillId="0" borderId="4" xfId="0" applyFont="1" applyFill="1" applyBorder="1" applyAlignment="1">
      <alignment wrapText="1"/>
    </xf>
    <xf numFmtId="0" fontId="57" fillId="0" borderId="0" xfId="0" applyFont="1" applyFill="1" applyBorder="1" applyAlignment="1">
      <alignment wrapText="1"/>
    </xf>
    <xf numFmtId="0" fontId="57"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7" fillId="3" borderId="2" xfId="0" applyNumberFormat="1" applyFont="1" applyFill="1" applyBorder="1" applyAlignment="1">
      <alignment horizontal="center"/>
    </xf>
    <xf numFmtId="165" fontId="57" fillId="3" borderId="82" xfId="0" applyNumberFormat="1" applyFont="1" applyFill="1" applyBorder="1" applyAlignment="1">
      <alignment horizontal="center"/>
    </xf>
    <xf numFmtId="165" fontId="57" fillId="3" borderId="7" xfId="0" applyNumberFormat="1" applyFont="1" applyFill="1" applyBorder="1" applyAlignment="1">
      <alignment horizontal="center"/>
    </xf>
    <xf numFmtId="0" fontId="11" fillId="0" borderId="4" xfId="0" applyFont="1" applyFill="1" applyBorder="1"/>
    <xf numFmtId="2" fontId="56" fillId="0" borderId="0" xfId="0" applyNumberFormat="1" applyFont="1" applyFill="1" applyBorder="1" applyAlignment="1">
      <alignment horizontal="center" wrapText="1"/>
    </xf>
    <xf numFmtId="2" fontId="56" fillId="0" borderId="7" xfId="0" applyNumberFormat="1" applyFont="1" applyFill="1" applyBorder="1" applyAlignment="1">
      <alignment horizontal="center" wrapText="1"/>
    </xf>
    <xf numFmtId="0" fontId="11" fillId="0" borderId="144" xfId="0" applyFont="1" applyFill="1" applyBorder="1"/>
    <xf numFmtId="165" fontId="57" fillId="3" borderId="90" xfId="0" applyNumberFormat="1" applyFont="1" applyFill="1" applyBorder="1" applyAlignment="1">
      <alignment horizontal="center"/>
    </xf>
    <xf numFmtId="165" fontId="57"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8"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3" fillId="6" borderId="7" xfId="9" applyNumberFormat="1" applyFill="1" applyBorder="1"/>
    <xf numFmtId="39" fontId="63"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4" fillId="0" borderId="0" xfId="7" applyFont="1" applyFill="1" applyBorder="1"/>
    <xf numFmtId="0" fontId="11" fillId="0" borderId="4" xfId="7" applyFill="1" applyBorder="1"/>
    <xf numFmtId="0" fontId="65"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4"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1"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6"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70" fillId="21" borderId="8" xfId="0" applyFont="1" applyFill="1" applyBorder="1" applyAlignment="1">
      <alignment vertical="center" wrapText="1"/>
    </xf>
    <xf numFmtId="44" fontId="70"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1"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99" xfId="0" applyFont="1" applyFill="1" applyBorder="1" applyAlignment="1" applyProtection="1">
      <alignment horizontal="left" wrapText="1"/>
      <protection locked="0"/>
    </xf>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0" borderId="0" xfId="0" applyFont="1" applyFill="1" applyBorder="1" applyAlignment="1" applyProtection="1">
      <alignmen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2"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2"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6" fillId="0" borderId="0" xfId="0" applyFont="1"/>
    <xf numFmtId="170" fontId="76"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7" fillId="0" borderId="0" xfId="0" applyFont="1" applyAlignment="1"/>
    <xf numFmtId="0" fontId="77"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167" fontId="0" fillId="0" borderId="59" xfId="0" applyNumberForma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15" fontId="1" fillId="0" borderId="0" xfId="0" applyNumberFormat="1" applyFont="1" applyFill="1" applyBorder="1" applyAlignment="1" applyProtection="1">
      <alignment horizontal="left" wrapText="1"/>
      <protection locked="0"/>
    </xf>
    <xf numFmtId="0" fontId="1" fillId="0" borderId="0" xfId="0" applyFont="1" applyFill="1" applyBorder="1" applyProtection="1">
      <protection locked="0"/>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1" fillId="21" borderId="0" xfId="0" applyFont="1" applyFill="1"/>
    <xf numFmtId="14" fontId="1" fillId="6" borderId="136" xfId="0" applyNumberFormat="1" applyFont="1" applyFill="1" applyBorder="1" applyAlignment="1" applyProtection="1">
      <alignment wrapText="1"/>
      <protection locked="0"/>
    </xf>
    <xf numFmtId="14" fontId="1" fillId="6" borderId="100" xfId="0" applyNumberFormat="1" applyFont="1" applyFill="1" applyBorder="1" applyAlignment="1" applyProtection="1">
      <alignment wrapText="1"/>
      <protection locked="0"/>
    </xf>
    <xf numFmtId="14" fontId="1" fillId="6" borderId="138" xfId="0" applyNumberFormat="1" applyFont="1" applyFill="1" applyBorder="1" applyAlignment="1" applyProtection="1">
      <alignment wrapText="1"/>
      <protection locked="0"/>
    </xf>
    <xf numFmtId="14" fontId="1" fillId="6" borderId="145" xfId="0" applyNumberFormat="1" applyFont="1" applyFill="1" applyBorder="1" applyAlignment="1" applyProtection="1">
      <alignment wrapText="1"/>
      <protection locked="0"/>
    </xf>
    <xf numFmtId="14" fontId="1" fillId="6" borderId="101" xfId="0" applyNumberFormat="1" applyFont="1" applyFill="1" applyBorder="1" applyAlignment="1" applyProtection="1">
      <alignment wrapText="1"/>
      <protection locked="0"/>
    </xf>
    <xf numFmtId="3" fontId="1" fillId="5" borderId="99" xfId="0" applyNumberFormat="1" applyFont="1" applyFill="1" applyBorder="1" applyAlignment="1" applyProtection="1">
      <alignment wrapText="1"/>
      <protection locked="0"/>
    </xf>
    <xf numFmtId="14" fontId="3" fillId="6" borderId="138" xfId="0" applyNumberFormat="1" applyFont="1" applyFill="1" applyBorder="1" applyAlignment="1" applyProtection="1">
      <alignment wrapText="1"/>
      <protection locked="0"/>
    </xf>
    <xf numFmtId="0" fontId="3" fillId="5" borderId="138" xfId="0" applyFont="1" applyFill="1" applyBorder="1" applyAlignment="1" applyProtection="1">
      <alignment horizontal="left" wrapText="1"/>
      <protection locked="0"/>
    </xf>
    <xf numFmtId="172" fontId="1" fillId="5" borderId="100" xfId="0" applyNumberFormat="1" applyFont="1" applyFill="1" applyBorder="1" applyAlignment="1" applyProtection="1">
      <alignment wrapText="1"/>
      <protection locked="0"/>
    </xf>
    <xf numFmtId="15" fontId="1" fillId="6" borderId="138" xfId="0" applyNumberFormat="1" applyFont="1" applyFill="1" applyBorder="1" applyAlignment="1" applyProtection="1">
      <alignment horizontal="right" wrapText="1"/>
      <protection locked="0"/>
    </xf>
    <xf numFmtId="0" fontId="0" fillId="6" borderId="8" xfId="0" applyFill="1" applyBorder="1" applyAlignment="1" applyProtection="1">
      <alignment horizontal="left" wrapText="1"/>
      <protection locked="0"/>
    </xf>
    <xf numFmtId="0" fontId="1" fillId="6" borderId="37" xfId="0" applyFont="1" applyFill="1" applyBorder="1" applyAlignment="1" applyProtection="1">
      <alignment vertical="top" wrapText="1"/>
      <protection locked="0"/>
    </xf>
    <xf numFmtId="0" fontId="14" fillId="27" borderId="0" xfId="0" applyFont="1" applyFill="1"/>
    <xf numFmtId="0" fontId="83" fillId="27" borderId="177" xfId="0" applyFont="1" applyFill="1" applyBorder="1" applyAlignment="1">
      <alignment horizontal="center" vertical="center"/>
    </xf>
    <xf numFmtId="0" fontId="83" fillId="27" borderId="178" xfId="0" applyFont="1" applyFill="1" applyBorder="1" applyAlignment="1">
      <alignment horizontal="left" vertical="center" indent="3"/>
    </xf>
    <xf numFmtId="0" fontId="0" fillId="6" borderId="84" xfId="0" applyFill="1" applyBorder="1" applyAlignment="1" applyProtection="1">
      <alignment vertical="top" wrapText="1"/>
      <protection locked="0"/>
    </xf>
    <xf numFmtId="0" fontId="83" fillId="27" borderId="0" xfId="0" applyFont="1" applyFill="1" applyAlignment="1">
      <alignment horizontal="left" vertical="center"/>
    </xf>
    <xf numFmtId="0" fontId="83" fillId="27" borderId="179" xfId="0" applyFont="1" applyFill="1" applyBorder="1" applyAlignment="1">
      <alignment horizontal="center" vertical="center"/>
    </xf>
    <xf numFmtId="0" fontId="14" fillId="0" borderId="0" xfId="0" applyFont="1" applyFill="1" applyBorder="1" applyAlignment="1">
      <alignment wrapText="1"/>
    </xf>
    <xf numFmtId="0" fontId="83" fillId="0" borderId="0" xfId="0" applyFont="1" applyFill="1" applyBorder="1" applyAlignment="1">
      <alignment wrapText="1"/>
    </xf>
    <xf numFmtId="0" fontId="86" fillId="0" borderId="0" xfId="0" applyFont="1" applyFill="1" applyBorder="1" applyAlignment="1">
      <alignment horizontal="center" vertical="center"/>
    </xf>
    <xf numFmtId="0" fontId="86" fillId="0" borderId="0" xfId="0" applyFont="1" applyFill="1" applyBorder="1"/>
    <xf numFmtId="0" fontId="83" fillId="27" borderId="0" xfId="0" applyFont="1" applyFill="1" applyAlignment="1">
      <alignment horizontal="left"/>
    </xf>
    <xf numFmtId="0" fontId="83" fillId="27" borderId="0" xfId="0" applyFont="1" applyFill="1" applyAlignment="1">
      <alignment horizontal="left" wrapText="1"/>
    </xf>
    <xf numFmtId="0" fontId="86" fillId="27" borderId="0" xfId="0" applyFont="1" applyFill="1" applyAlignment="1">
      <alignment horizontal="center" vertical="center" wrapText="1"/>
    </xf>
    <xf numFmtId="0" fontId="86" fillId="27" borderId="0" xfId="0" applyFont="1" applyFill="1" applyAlignment="1">
      <alignment wrapText="1"/>
    </xf>
    <xf numFmtId="0" fontId="86" fillId="27" borderId="0" xfId="0" applyFont="1" applyFill="1"/>
    <xf numFmtId="0" fontId="14" fillId="0" borderId="0" xfId="0" applyFont="1" applyFill="1" applyBorder="1" applyAlignment="1">
      <alignment vertical="center" wrapText="1"/>
    </xf>
    <xf numFmtId="0" fontId="83" fillId="0" borderId="0" xfId="0" applyFont="1" applyFill="1" applyBorder="1" applyAlignment="1">
      <alignment vertical="center" wrapText="1"/>
    </xf>
    <xf numFmtId="0" fontId="86" fillId="0" borderId="0" xfId="0" applyFont="1" applyFill="1" applyBorder="1" applyAlignment="1">
      <alignment wrapText="1"/>
    </xf>
    <xf numFmtId="0" fontId="14" fillId="19" borderId="0" xfId="0" applyFont="1" applyFill="1" applyAlignment="1">
      <alignment vertical="center" wrapText="1"/>
    </xf>
    <xf numFmtId="0" fontId="83" fillId="19" borderId="180" xfId="0" applyFont="1" applyFill="1" applyBorder="1" applyAlignment="1">
      <alignment vertical="center" wrapText="1"/>
    </xf>
    <xf numFmtId="0" fontId="86" fillId="19" borderId="180" xfId="0" applyFont="1" applyFill="1" applyBorder="1" applyAlignment="1">
      <alignment horizontal="center" vertical="center"/>
    </xf>
    <xf numFmtId="164" fontId="86" fillId="19" borderId="180" xfId="18" applyNumberFormat="1" applyFont="1" applyFill="1" applyBorder="1" applyAlignment="1">
      <alignment horizontal="center" vertical="center"/>
    </xf>
    <xf numFmtId="0" fontId="86" fillId="19" borderId="0" xfId="0" applyFont="1" applyFill="1" applyAlignment="1">
      <alignment wrapText="1"/>
    </xf>
    <xf numFmtId="164" fontId="86" fillId="0" borderId="0" xfId="0" applyNumberFormat="1" applyFont="1" applyFill="1" applyBorder="1" applyAlignment="1">
      <alignment horizontal="center" vertical="center"/>
    </xf>
    <xf numFmtId="164" fontId="86" fillId="19" borderId="180" xfId="0" applyNumberFormat="1" applyFont="1" applyFill="1" applyBorder="1" applyAlignment="1">
      <alignment horizontal="center" vertical="center"/>
    </xf>
    <xf numFmtId="0" fontId="0" fillId="6" borderId="30" xfId="0" applyFill="1" applyBorder="1" applyAlignment="1" applyProtection="1">
      <alignment vertical="top" wrapText="1"/>
      <protection locked="0"/>
    </xf>
    <xf numFmtId="0" fontId="83" fillId="0" borderId="0" xfId="0" applyFont="1" applyFill="1" applyBorder="1" applyAlignment="1">
      <alignment horizontal="center" vertical="center"/>
    </xf>
    <xf numFmtId="2" fontId="83" fillId="0" borderId="0" xfId="0" applyNumberFormat="1" applyFont="1" applyFill="1" applyBorder="1" applyAlignment="1">
      <alignment horizontal="center" vertical="center"/>
    </xf>
    <xf numFmtId="0" fontId="86" fillId="0" borderId="0" xfId="0" applyFont="1" applyFill="1" applyBorder="1" applyAlignment="1">
      <alignment vertical="center" wrapText="1"/>
    </xf>
    <xf numFmtId="0" fontId="83" fillId="27" borderId="0" xfId="0" applyFont="1" applyFill="1" applyAlignment="1">
      <alignment horizontal="left" vertical="center" wrapText="1"/>
    </xf>
    <xf numFmtId="0" fontId="86" fillId="27" borderId="0" xfId="0" applyFont="1" applyFill="1" applyAlignment="1">
      <alignment horizontal="left" vertical="center" wrapText="1"/>
    </xf>
    <xf numFmtId="9" fontId="86" fillId="19" borderId="180" xfId="0" applyNumberFormat="1" applyFont="1" applyFill="1" applyBorder="1" applyAlignment="1">
      <alignment horizontal="center" vertical="center"/>
    </xf>
    <xf numFmtId="0" fontId="86" fillId="19" borderId="0" xfId="0" applyFont="1" applyFill="1" applyAlignment="1">
      <alignment horizontal="left" vertical="center" wrapText="1"/>
    </xf>
    <xf numFmtId="2" fontId="86" fillId="0" borderId="0" xfId="0" applyNumberFormat="1" applyFont="1" applyFill="1" applyBorder="1" applyAlignment="1">
      <alignment horizontal="center" vertical="center"/>
    </xf>
    <xf numFmtId="0" fontId="14" fillId="0" borderId="0" xfId="0" applyFont="1" applyFill="1" applyBorder="1" applyAlignment="1">
      <alignment horizontal="left" vertical="center" wrapText="1"/>
    </xf>
    <xf numFmtId="2" fontId="86" fillId="19" borderId="180" xfId="0" applyNumberFormat="1" applyFont="1" applyFill="1" applyBorder="1" applyAlignment="1">
      <alignment horizontal="center" vertical="center"/>
    </xf>
    <xf numFmtId="0" fontId="86" fillId="0" borderId="0" xfId="0" applyFont="1" applyFill="1" applyBorder="1" applyAlignment="1">
      <alignment horizontal="left" vertical="center" wrapText="1"/>
    </xf>
    <xf numFmtId="0" fontId="14" fillId="19" borderId="0" xfId="0" applyFont="1" applyFill="1" applyAlignment="1">
      <alignment horizontal="left" vertical="center" wrapText="1"/>
    </xf>
    <xf numFmtId="0" fontId="83" fillId="19" borderId="180" xfId="0" applyFont="1" applyFill="1" applyBorder="1" applyAlignment="1">
      <alignment horizontal="center" vertical="center"/>
    </xf>
    <xf numFmtId="2" fontId="83" fillId="19" borderId="180" xfId="0" applyNumberFormat="1" applyFont="1" applyFill="1" applyBorder="1" applyAlignment="1">
      <alignment horizontal="center" vertical="center"/>
    </xf>
    <xf numFmtId="0" fontId="14" fillId="19" borderId="0" xfId="0" applyFont="1" applyFill="1"/>
    <xf numFmtId="0" fontId="83" fillId="27" borderId="181" xfId="0" applyFont="1" applyFill="1" applyBorder="1" applyAlignment="1">
      <alignment horizontal="left"/>
    </xf>
    <xf numFmtId="0" fontId="86" fillId="27" borderId="180" xfId="0" applyFont="1" applyFill="1" applyBorder="1" applyAlignment="1">
      <alignment horizontal="center" vertical="center"/>
    </xf>
    <xf numFmtId="166" fontId="83" fillId="27" borderId="180" xfId="0" applyNumberFormat="1" applyFont="1" applyFill="1" applyBorder="1" applyAlignment="1">
      <alignment horizontal="center" vertical="center"/>
    </xf>
    <xf numFmtId="0" fontId="1" fillId="5" borderId="138" xfId="0" applyFont="1" applyFill="1" applyBorder="1" applyAlignment="1" applyProtection="1">
      <alignment horizontal="left" wrapText="1" indent="1"/>
      <protection locked="0"/>
    </xf>
    <xf numFmtId="0" fontId="18" fillId="22" borderId="8" xfId="0" applyFont="1" applyFill="1" applyBorder="1"/>
    <xf numFmtId="172" fontId="0" fillId="22" borderId="8" xfId="1" applyNumberFormat="1" applyFont="1" applyFill="1" applyBorder="1"/>
    <xf numFmtId="0" fontId="1" fillId="5" borderId="141" xfId="0" applyFont="1" applyFill="1" applyBorder="1" applyAlignment="1" applyProtection="1">
      <alignment wrapText="1"/>
      <protection locked="0"/>
    </xf>
    <xf numFmtId="3" fontId="1" fillId="2" borderId="15" xfId="0" applyNumberFormat="1" applyFont="1" applyFill="1" applyBorder="1" applyAlignment="1" applyProtection="1">
      <alignment horizontal="right" vertical="center" wrapText="1"/>
      <protection locked="0"/>
    </xf>
    <xf numFmtId="3" fontId="1" fillId="2" borderId="8" xfId="0" applyNumberFormat="1" applyFont="1" applyFill="1" applyBorder="1" applyAlignment="1" applyProtection="1">
      <alignment horizontal="right" vertical="center" wrapText="1"/>
      <protection locked="0"/>
    </xf>
    <xf numFmtId="3" fontId="1" fillId="2" borderId="8" xfId="0" applyNumberFormat="1" applyFont="1" applyFill="1" applyBorder="1" applyAlignment="1" applyProtection="1">
      <alignment horizontal="left" vertical="center" wrapText="1"/>
      <protection locked="0"/>
    </xf>
    <xf numFmtId="6" fontId="3" fillId="3" borderId="8" xfId="16" applyNumberFormat="1" applyFont="1" applyFill="1" applyBorder="1" applyProtection="1"/>
    <xf numFmtId="43" fontId="11" fillId="0" borderId="0" xfId="1" applyFont="1" applyProtection="1"/>
    <xf numFmtId="188" fontId="11" fillId="0" borderId="0" xfId="1" applyNumberFormat="1" applyFont="1" applyProtection="1"/>
    <xf numFmtId="0" fontId="0" fillId="0" borderId="0" xfId="0" applyBorder="1"/>
    <xf numFmtId="0" fontId="1" fillId="0" borderId="4" xfId="0" applyFont="1" applyFill="1" applyBorder="1"/>
    <xf numFmtId="0" fontId="1" fillId="0" borderId="4" xfId="0" applyFont="1" applyFill="1" applyBorder="1" applyAlignment="1">
      <alignment horizontal="left"/>
    </xf>
    <xf numFmtId="167" fontId="1" fillId="0" borderId="0" xfId="0" applyNumberFormat="1" applyFont="1" applyFill="1" applyBorder="1"/>
    <xf numFmtId="0" fontId="1" fillId="0" borderId="58" xfId="0" applyFont="1" applyFill="1" applyBorder="1"/>
    <xf numFmtId="0" fontId="1" fillId="21" borderId="58" xfId="0" applyFont="1" applyFill="1" applyBorder="1"/>
    <xf numFmtId="0" fontId="93" fillId="0" borderId="0" xfId="0" applyFont="1"/>
    <xf numFmtId="0" fontId="94" fillId="0" borderId="0" xfId="0" applyFont="1"/>
    <xf numFmtId="0" fontId="93" fillId="0" borderId="161" xfId="0" applyFont="1" applyBorder="1"/>
    <xf numFmtId="0" fontId="93" fillId="0" borderId="129" xfId="0" applyFont="1" applyBorder="1"/>
    <xf numFmtId="0" fontId="93" fillId="0" borderId="182" xfId="0" applyFont="1" applyBorder="1"/>
    <xf numFmtId="0" fontId="93" fillId="0" borderId="44" xfId="0" applyFont="1" applyBorder="1"/>
    <xf numFmtId="0" fontId="93" fillId="0" borderId="0" xfId="0" applyFont="1" applyBorder="1"/>
    <xf numFmtId="0" fontId="93" fillId="0" borderId="183" xfId="0" applyFont="1" applyBorder="1"/>
    <xf numFmtId="0" fontId="93" fillId="0" borderId="142" xfId="0" applyFont="1" applyBorder="1"/>
    <xf numFmtId="0" fontId="93" fillId="0" borderId="140" xfId="0" applyFont="1" applyBorder="1"/>
    <xf numFmtId="0" fontId="93" fillId="0" borderId="29" xfId="0" applyFont="1" applyBorder="1"/>
    <xf numFmtId="173" fontId="17" fillId="0" borderId="12" xfId="16" applyFont="1" applyBorder="1" applyAlignment="1" applyProtection="1"/>
    <xf numFmtId="0" fontId="0" fillId="18" borderId="0" xfId="0" applyFill="1"/>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189" fontId="1" fillId="5" borderId="62" xfId="0" applyNumberFormat="1" applyFont="1" applyFill="1" applyBorder="1" applyAlignment="1">
      <alignment vertical="top" wrapText="1"/>
    </xf>
    <xf numFmtId="0" fontId="13"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82" fillId="27" borderId="0" xfId="0" applyFont="1" applyFill="1" applyAlignment="1">
      <alignment horizontal="center" vertical="center"/>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11" fillId="0" borderId="0" xfId="0" applyFont="1" applyFill="1" applyBorder="1" applyAlignment="1">
      <alignment horizontal="left" vertic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Border="1" applyAlignment="1">
      <alignment horizontal="left" vertical="top" wrapText="1"/>
    </xf>
    <xf numFmtId="0" fontId="11" fillId="6" borderId="0" xfId="0" quotePrefix="1"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4" borderId="4"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 fillId="6" borderId="55" xfId="0" applyFont="1" applyFill="1" applyBorder="1" applyAlignment="1">
      <alignment horizontal="left" vertical="top" wrapText="1"/>
    </xf>
    <xf numFmtId="0" fontId="1" fillId="6" borderId="10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0" fillId="6" borderId="108" xfId="0"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54" fillId="13" borderId="0" xfId="0" applyFont="1" applyFill="1" applyAlignment="1">
      <alignment horizontal="left"/>
    </xf>
    <xf numFmtId="0" fontId="55" fillId="0" borderId="0" xfId="0" applyFont="1" applyFill="1" applyBorder="1" applyAlignment="1" applyProtection="1">
      <alignment horizontal="left"/>
    </xf>
    <xf numFmtId="0" fontId="55" fillId="0" borderId="59" xfId="0" applyFont="1" applyFill="1" applyBorder="1" applyAlignment="1" applyProtection="1">
      <alignment horizontal="left"/>
    </xf>
    <xf numFmtId="0" fontId="55" fillId="3" borderId="4" xfId="0" applyFont="1" applyFill="1" applyBorder="1" applyAlignment="1">
      <alignment horizontal="left"/>
    </xf>
    <xf numFmtId="0" fontId="55" fillId="3" borderId="0" xfId="0" applyFont="1" applyFill="1" applyBorder="1" applyAlignment="1">
      <alignment horizontal="left"/>
    </xf>
    <xf numFmtId="0" fontId="55"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7" fillId="0" borderId="2" xfId="0" applyFont="1" applyFill="1" applyBorder="1" applyAlignment="1">
      <alignment horizontal="left" wrapText="1"/>
    </xf>
    <xf numFmtId="0" fontId="57" fillId="0" borderId="0" xfId="0" applyFont="1" applyFill="1" applyBorder="1" applyAlignment="1">
      <alignment horizontal="left" wrapText="1"/>
    </xf>
    <xf numFmtId="0" fontId="54"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3" fillId="0" borderId="0" xfId="0" applyFont="1" applyFill="1" applyBorder="1" applyAlignment="1">
      <alignment horizontal="center"/>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5" xfId="0" applyFont="1" applyFill="1" applyBorder="1" applyAlignment="1">
      <alignment horizontal="center"/>
    </xf>
    <xf numFmtId="0" fontId="57" fillId="0" borderId="4" xfId="0" applyFont="1" applyFill="1" applyBorder="1" applyAlignment="1">
      <alignment horizontal="center"/>
    </xf>
    <xf numFmtId="0" fontId="57"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7" fillId="0" borderId="4" xfId="0" applyFont="1" applyFill="1" applyBorder="1" applyAlignment="1">
      <alignment horizontal="left" wrapText="1"/>
    </xf>
    <xf numFmtId="0" fontId="57" fillId="0" borderId="5" xfId="0" applyFont="1" applyFill="1" applyBorder="1" applyAlignment="1">
      <alignment horizontal="left" wrapText="1"/>
    </xf>
    <xf numFmtId="0" fontId="57" fillId="0" borderId="4" xfId="0" applyFont="1" applyFill="1" applyBorder="1" applyAlignment="1">
      <alignment horizontal="left"/>
    </xf>
    <xf numFmtId="0" fontId="57" fillId="0" borderId="0" xfId="0" applyFont="1" applyFill="1" applyBorder="1" applyAlignment="1">
      <alignment horizontal="left"/>
    </xf>
    <xf numFmtId="0" fontId="57" fillId="0" borderId="5" xfId="0" applyFont="1" applyFill="1" applyBorder="1" applyAlignment="1">
      <alignment horizontal="left"/>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xf numFmtId="0" fontId="13" fillId="0" borderId="13" xfId="0" applyFont="1" applyBorder="1" applyAlignment="1" applyProtection="1">
      <alignment horizontal="left"/>
      <protection locked="0"/>
    </xf>
    <xf numFmtId="0" fontId="0" fillId="0" borderId="15" xfId="0" applyBorder="1" applyAlignment="1" applyProtection="1">
      <protection locked="0"/>
    </xf>
    <xf numFmtId="0" fontId="0" fillId="0" borderId="16" xfId="0" applyBorder="1" applyAlignment="1" applyProtection="1">
      <protection locked="0"/>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3">
    <dxf>
      <font>
        <strike val="0"/>
        <condense val="0"/>
        <extend val="0"/>
        <color indexed="22"/>
      </font>
    </dxf>
    <dxf>
      <font>
        <b/>
        <i val="0"/>
        <strike val="0"/>
        <condense val="0"/>
        <extend val="0"/>
        <color auto="1"/>
      </font>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Fixed Operating Cost</c:v>
                </c:pt>
                <c:pt idx="6">
                  <c:v>Initial Equity Depreciable Capital</c:v>
                </c:pt>
                <c:pt idx="7">
                  <c:v>Debt Interest</c:v>
                </c:pt>
                <c:pt idx="8">
                  <c:v>Yearly Replacement Costs</c:v>
                </c:pt>
                <c:pt idx="9">
                  <c:v>Taxes</c:v>
                </c:pt>
                <c:pt idx="10">
                  <c:v>Cash for Working Capital Reserve</c:v>
                </c:pt>
                <c:pt idx="11">
                  <c:v>Other Variable Operating Costs</c:v>
                </c:pt>
                <c:pt idx="12">
                  <c:v>Principal Payment</c:v>
                </c:pt>
                <c:pt idx="13">
                  <c:v>Decommissioning Costs</c:v>
                </c:pt>
                <c:pt idx="14">
                  <c:v>Other Non-Depreciable Capital Costs</c:v>
                </c:pt>
                <c:pt idx="15">
                  <c:v>Other Raw Material Cost</c:v>
                </c:pt>
              </c:strCache>
            </c:strRef>
          </c:cat>
          <c:val>
            <c:numRef>
              <c:f>'Tornado Charts &amp; Risk Analysis'!$I$155:$I$170</c:f>
              <c:numCache>
                <c:formatCode>_("$"* #,##0.00_);_("$"* \(#,##0.00\);_("$"* "-"??_);_(@_)</c:formatCode>
                <c:ptCount val="16"/>
                <c:pt idx="0">
                  <c:v>5.175427725657066</c:v>
                </c:pt>
                <c:pt idx="1">
                  <c:v>3.6162038529268764E-3</c:v>
                </c:pt>
                <c:pt idx="2">
                  <c:v>0</c:v>
                </c:pt>
                <c:pt idx="4">
                  <c:v>3.995330806246626</c:v>
                </c:pt>
                <c:pt idx="5">
                  <c:v>0.46242636654752067</c:v>
                </c:pt>
                <c:pt idx="6">
                  <c:v>0.31371975905265359</c:v>
                </c:pt>
                <c:pt idx="7">
                  <c:v>0.18686972706006519</c:v>
                </c:pt>
                <c:pt idx="8">
                  <c:v>0.14839099904025835</c:v>
                </c:pt>
                <c:pt idx="9">
                  <c:v>2.5559942042201422E-2</c:v>
                </c:pt>
                <c:pt idx="10">
                  <c:v>2.0325062994071771E-2</c:v>
                </c:pt>
                <c:pt idx="11">
                  <c:v>1.1304767209823824E-2</c:v>
                </c:pt>
                <c:pt idx="12">
                  <c:v>1.0202710225216656E-2</c:v>
                </c:pt>
                <c:pt idx="13">
                  <c:v>3.6102033259842637E-3</c:v>
                </c:pt>
                <c:pt idx="14">
                  <c:v>1.303585765569026E-3</c:v>
                </c:pt>
                <c:pt idx="15">
                  <c:v>0</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5.175427725657066</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3.6162038529268764E-3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3.995330806246626</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0.46242636654752067</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0.31371975905265359</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Debt Interest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0.18686972706006519</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Yearly Replacement Costs</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0.14839099904025835</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Taxes</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2.5559942042201422E-2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Cash for Working Capital Reserve</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2.0325062994071771E-2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Other Variable Operating Costs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1.1304767209823824E-2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Principal Payment</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1.0202710225216656E-2</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Decommissioning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3.6102033259842637E-3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1.303585765569026E-3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Other Raw Material Cost</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0</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5.1790439295099926</c:v>
                </c:pt>
                <c:pt idx="1">
                  <c:v>5.1790439295099917</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(102%, 97%, 92%)</c:v>
                </c:pt>
                <c:pt idx="2">
                  <c:v>Total Capital Investment
($157,545K, $165,837K, $174,129K) </c:v>
                </c:pt>
                <c:pt idx="3">
                  <c:v>Total Fixed Operating Cost
($7,777K, $8,186K, $8,595K) </c:v>
                </c:pt>
                <c:pt idx="4">
                  <c:v>Plant Design Capacity (kg of H2/day)
(52,500, 50,000, 47,500) </c:v>
                </c:pt>
                <c:pt idx="5">
                  <c:v>After-tax Real IRR
(8%, 8%, 8%)</c:v>
                </c:pt>
                <c:pt idx="6">
                  <c:v>Utilities Consumption (% of baseline)
(95%, 100%, 105%)</c:v>
                </c:pt>
              </c:strCache>
            </c:strRef>
          </c:cat>
          <c:val>
            <c:numRef>
              <c:f>'Tornado Charts &amp; Risk Analysis'!$H$101:$H$107</c:f>
              <c:numCache>
                <c:formatCode>General</c:formatCode>
                <c:ptCount val="7"/>
                <c:pt idx="0">
                  <c:v>4.9210838261309968</c:v>
                </c:pt>
                <c:pt idx="1">
                  <c:v>5.1209393959249274</c:v>
                </c:pt>
                <c:pt idx="2">
                  <c:v>5.1408006094552849</c:v>
                </c:pt>
                <c:pt idx="3">
                  <c:v>5.1521647619209459</c:v>
                </c:pt>
                <c:pt idx="4">
                  <c:v>5.157939904429262</c:v>
                </c:pt>
                <c:pt idx="5">
                  <c:v>5.1655554183140211</c:v>
                </c:pt>
                <c:pt idx="6">
                  <c:v>5.175427725657066</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($157,545K, $165,837K, $174,129K) </c:v>
                </c:pt>
                <c:pt idx="3">
                  <c:v>Total Fixed Operating Cost
($7,777K, $8,186K, $8,595K) </c:v>
                </c:pt>
                <c:pt idx="4">
                  <c:v>Plant Design Capacity (kg of H2/day)
(52,500, 50,000, 47,500) </c:v>
                </c:pt>
                <c:pt idx="5">
                  <c:v>After-tax Real IRR
(8%, 8%, 8%)</c:v>
                </c:pt>
                <c:pt idx="6">
                  <c:v>Utilities Consumption (% of baseline)
(95%, 100%, 105%)</c:v>
                </c:pt>
              </c:strCache>
            </c:strRef>
          </c:cat>
          <c:val>
            <c:numRef>
              <c:f>'Tornado Charts &amp; Risk Analysis'!$I$101:$I$107</c:f>
              <c:numCache>
                <c:formatCode>General</c:formatCode>
                <c:ptCount val="7"/>
                <c:pt idx="0">
                  <c:v>0.25434389952606917</c:v>
                </c:pt>
                <c:pt idx="1">
                  <c:v>5.4488329732138574E-2</c:v>
                </c:pt>
                <c:pt idx="2">
                  <c:v>3.462711620178105E-2</c:v>
                </c:pt>
                <c:pt idx="3">
                  <c:v>2.3262963736120135E-2</c:v>
                </c:pt>
                <c:pt idx="4">
                  <c:v>1.7487821227804012E-2</c:v>
                </c:pt>
                <c:pt idx="5">
                  <c:v>9.8723073430448949E-3</c:v>
                </c:pt>
                <c:pt idx="6">
                  <c:v>0</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($157,545K, $165,837K, $174,129K) </c:v>
                </c:pt>
                <c:pt idx="3">
                  <c:v>Total Fixed Operating Cost
($7,777K, $8,186K, $8,595K) </c:v>
                </c:pt>
                <c:pt idx="4">
                  <c:v>Plant Design Capacity (kg of H2/day)
(52,500, 50,000, 47,500) </c:v>
                </c:pt>
                <c:pt idx="5">
                  <c:v>After-tax Real IRR
(8%, 8%, 8%)</c:v>
                </c:pt>
                <c:pt idx="6">
                  <c:v>Utilities Consumption (% of baseline)
(95%, 100%, 105%)</c:v>
                </c:pt>
              </c:strCache>
            </c:strRef>
          </c:cat>
          <c:val>
            <c:numRef>
              <c:f>'Tornado Charts &amp; Risk Analysis'!$J$101:$J$107</c:f>
              <c:numCache>
                <c:formatCode>General</c:formatCode>
                <c:ptCount val="7"/>
                <c:pt idx="0">
                  <c:v>0.25434389952607184</c:v>
                </c:pt>
                <c:pt idx="1">
                  <c:v>6.0223943388155732E-2</c:v>
                </c:pt>
                <c:pt idx="2">
                  <c:v>3.4627116201784602E-2</c:v>
                </c:pt>
                <c:pt idx="3">
                  <c:v>2.3262963736121911E-2</c:v>
                </c:pt>
                <c:pt idx="4">
                  <c:v>1.8870652056268256E-2</c:v>
                </c:pt>
                <c:pt idx="5">
                  <c:v>1.0361053961910116E-2</c:v>
                </c:pt>
                <c:pt idx="6">
                  <c:v>0</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4.9210838261309968</c:v>
                </c:pt>
                <c:pt idx="1">
                  <c:v>5.1209393959249274</c:v>
                </c:pt>
                <c:pt idx="2">
                  <c:v>5.1408006094552849</c:v>
                </c:pt>
                <c:pt idx="3">
                  <c:v>5.1521647619209459</c:v>
                </c:pt>
                <c:pt idx="4">
                  <c:v>5.157939904429262</c:v>
                </c:pt>
                <c:pt idx="5">
                  <c:v>5.1655554183140211</c:v>
                </c:pt>
                <c:pt idx="6">
                  <c:v>5.175427725657066</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5.4297716251831378</c:v>
                </c:pt>
                <c:pt idx="1">
                  <c:v>5.2356516690452217</c:v>
                </c:pt>
                <c:pt idx="2">
                  <c:v>5.2100548418588506</c:v>
                </c:pt>
                <c:pt idx="3">
                  <c:v>5.1986906893931879</c:v>
                </c:pt>
                <c:pt idx="4">
                  <c:v>5.1942983777133342</c:v>
                </c:pt>
                <c:pt idx="5">
                  <c:v>5.1857887796189761</c:v>
                </c:pt>
                <c:pt idx="6">
                  <c:v>5.175427725657066</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5.175427725657066</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5.175427725657066</c:v>
                </c:pt>
                <c:pt idx="1">
                  <c:v>4.9210838261309968</c:v>
                </c:pt>
                <c:pt idx="2">
                  <c:v>4.8691361611881732</c:v>
                </c:pt>
                <c:pt idx="3">
                  <c:v>4.8378041294672727</c:v>
                </c:pt>
                <c:pt idx="4">
                  <c:v>4.817003524178503</c:v>
                </c:pt>
                <c:pt idx="5">
                  <c:v>4.817003524178503</c:v>
                </c:pt>
                <c:pt idx="6">
                  <c:v>4.817003524178503</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0.25434389952606917</c:v>
                </c:pt>
                <c:pt idx="2">
                  <c:v>5.1947664942823657E-2</c:v>
                </c:pt>
                <c:pt idx="3">
                  <c:v>3.1332031720900488E-2</c:v>
                </c:pt>
                <c:pt idx="4">
                  <c:v>2.0800605288769702E-2</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4.9130378351151762</c:v>
                </c:pt>
                <c:pt idx="1">
                  <c:v>4.9411217211551381</c:v>
                </c:pt>
                <c:pt idx="2">
                  <c:v>4.9692056071951018</c:v>
                </c:pt>
                <c:pt idx="3">
                  <c:v>4.9972894932350638</c:v>
                </c:pt>
                <c:pt idx="4">
                  <c:v>5.0253733792750275</c:v>
                </c:pt>
                <c:pt idx="5">
                  <c:v>5.0534572653149894</c:v>
                </c:pt>
                <c:pt idx="6">
                  <c:v>5.0815411513549531</c:v>
                </c:pt>
                <c:pt idx="7">
                  <c:v>5.109625037394915</c:v>
                </c:pt>
                <c:pt idx="8">
                  <c:v>5.1377089234348787</c:v>
                </c:pt>
                <c:pt idx="9">
                  <c:v>5.1657928094748407</c:v>
                </c:pt>
                <c:pt idx="10">
                  <c:v>5.1938766955148044</c:v>
                </c:pt>
                <c:pt idx="11">
                  <c:v>5.2219605815547663</c:v>
                </c:pt>
                <c:pt idx="12">
                  <c:v>5.25004446759473</c:v>
                </c:pt>
                <c:pt idx="13">
                  <c:v>5.2781283536346919</c:v>
                </c:pt>
                <c:pt idx="14">
                  <c:v>5.3062122396746556</c:v>
                </c:pt>
                <c:pt idx="15">
                  <c:v>5.3342961257146175</c:v>
                </c:pt>
                <c:pt idx="16">
                  <c:v>5.3623800117545812</c:v>
                </c:pt>
                <c:pt idx="17">
                  <c:v>5.3904638977945432</c:v>
                </c:pt>
                <c:pt idx="18">
                  <c:v>5.4185477838345069</c:v>
                </c:pt>
                <c:pt idx="19">
                  <c:v>5.4466321698744693</c:v>
                </c:pt>
              </c:numCache>
            </c:numRef>
          </c:xVal>
          <c:yVal>
            <c:numRef>
              <c:f>'Tornado Charts &amp; Risk Analysis'!$I$202:$I$221</c:f>
              <c:numCache>
                <c:formatCode>General</c:formatCode>
                <c:ptCount val="20"/>
                <c:pt idx="0">
                  <c:v>4.0000000000000001E-3</c:v>
                </c:pt>
                <c:pt idx="1">
                  <c:v>1.4E-2</c:v>
                </c:pt>
                <c:pt idx="2">
                  <c:v>3.6499999999999998E-2</c:v>
                </c:pt>
                <c:pt idx="3">
                  <c:v>7.2999999999999995E-2</c:v>
                </c:pt>
                <c:pt idx="4">
                  <c:v>0.11199999999999999</c:v>
                </c:pt>
                <c:pt idx="5">
                  <c:v>0.17249999999999999</c:v>
                </c:pt>
                <c:pt idx="6">
                  <c:v>0.24099999999999999</c:v>
                </c:pt>
                <c:pt idx="7">
                  <c:v>0.32</c:v>
                </c:pt>
                <c:pt idx="8">
                  <c:v>0.41549999999999998</c:v>
                </c:pt>
                <c:pt idx="9">
                  <c:v>0.51100000000000001</c:v>
                </c:pt>
                <c:pt idx="10">
                  <c:v>0.60199999999999998</c:v>
                </c:pt>
                <c:pt idx="11">
                  <c:v>0.68699999999999994</c:v>
                </c:pt>
                <c:pt idx="12">
                  <c:v>0.7669999999999999</c:v>
                </c:pt>
                <c:pt idx="13">
                  <c:v>0.83199999999999985</c:v>
                </c:pt>
                <c:pt idx="14">
                  <c:v>0.88649999999999984</c:v>
                </c:pt>
                <c:pt idx="15">
                  <c:v>0.94199999999999984</c:v>
                </c:pt>
                <c:pt idx="16">
                  <c:v>0.9664999999999998</c:v>
                </c:pt>
                <c:pt idx="17">
                  <c:v>0.98599999999999977</c:v>
                </c:pt>
                <c:pt idx="18">
                  <c:v>0.99599999999999977</c:v>
                </c:pt>
                <c:pt idx="19">
                  <c:v>0.99999999999999978</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4.9130378351151762</c:v>
                </c:pt>
                <c:pt idx="1">
                  <c:v>4.9411217211551381</c:v>
                </c:pt>
                <c:pt idx="2">
                  <c:v>4.9692056071951018</c:v>
                </c:pt>
                <c:pt idx="3">
                  <c:v>4.9972894932350638</c:v>
                </c:pt>
                <c:pt idx="4">
                  <c:v>5.0253733792750275</c:v>
                </c:pt>
                <c:pt idx="5">
                  <c:v>5.0534572653149894</c:v>
                </c:pt>
                <c:pt idx="6">
                  <c:v>5.0815411513549531</c:v>
                </c:pt>
                <c:pt idx="7">
                  <c:v>5.109625037394915</c:v>
                </c:pt>
                <c:pt idx="8">
                  <c:v>5.1377089234348787</c:v>
                </c:pt>
                <c:pt idx="9">
                  <c:v>5.1657928094748407</c:v>
                </c:pt>
                <c:pt idx="10">
                  <c:v>5.1938766955148044</c:v>
                </c:pt>
                <c:pt idx="11">
                  <c:v>5.2219605815547663</c:v>
                </c:pt>
                <c:pt idx="12">
                  <c:v>5.25004446759473</c:v>
                </c:pt>
                <c:pt idx="13">
                  <c:v>5.2781283536346919</c:v>
                </c:pt>
                <c:pt idx="14">
                  <c:v>5.3062122396746556</c:v>
                </c:pt>
                <c:pt idx="15">
                  <c:v>5.3342961257146175</c:v>
                </c:pt>
                <c:pt idx="16">
                  <c:v>5.3623800117545812</c:v>
                </c:pt>
                <c:pt idx="17">
                  <c:v>5.3904638977945432</c:v>
                </c:pt>
                <c:pt idx="18">
                  <c:v>5.4185477838345069</c:v>
                </c:pt>
                <c:pt idx="19">
                  <c:v>5.4466321698744693</c:v>
                </c:pt>
              </c:numCache>
            </c:numRef>
          </c:xVal>
          <c:yVal>
            <c:numRef>
              <c:f>'Tornado Charts &amp; Risk Analysis'!$H$202:$H$221</c:f>
              <c:numCache>
                <c:formatCode>General</c:formatCode>
                <c:ptCount val="20"/>
                <c:pt idx="0">
                  <c:v>4.0000000000000001E-3</c:v>
                </c:pt>
                <c:pt idx="1">
                  <c:v>0.01</c:v>
                </c:pt>
                <c:pt idx="2">
                  <c:v>2.2499999999999999E-2</c:v>
                </c:pt>
                <c:pt idx="3">
                  <c:v>3.6499999999999998E-2</c:v>
                </c:pt>
                <c:pt idx="4">
                  <c:v>3.9E-2</c:v>
                </c:pt>
                <c:pt idx="5">
                  <c:v>6.0499999999999998E-2</c:v>
                </c:pt>
                <c:pt idx="6">
                  <c:v>6.8500000000000005E-2</c:v>
                </c:pt>
                <c:pt idx="7">
                  <c:v>7.9000000000000001E-2</c:v>
                </c:pt>
                <c:pt idx="8">
                  <c:v>9.5500000000000002E-2</c:v>
                </c:pt>
                <c:pt idx="9">
                  <c:v>9.5500000000000002E-2</c:v>
                </c:pt>
                <c:pt idx="10">
                  <c:v>9.0999999999999998E-2</c:v>
                </c:pt>
                <c:pt idx="11">
                  <c:v>8.5000000000000006E-2</c:v>
                </c:pt>
                <c:pt idx="12">
                  <c:v>0.08</c:v>
                </c:pt>
                <c:pt idx="13">
                  <c:v>6.5000000000000002E-2</c:v>
                </c:pt>
                <c:pt idx="14">
                  <c:v>5.45E-2</c:v>
                </c:pt>
                <c:pt idx="15">
                  <c:v>5.5500000000000001E-2</c:v>
                </c:pt>
                <c:pt idx="16">
                  <c:v>2.4500000000000001E-2</c:v>
                </c:pt>
                <c:pt idx="17">
                  <c:v>1.95E-2</c:v>
                </c:pt>
                <c:pt idx="18">
                  <c:v>0.01</c:v>
                </c:pt>
                <c:pt idx="19">
                  <c:v>4.0000000000000001E-3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image" Target="../media/image33.emf"/><Relationship Id="rId7" Type="http://schemas.openxmlformats.org/officeDocument/2006/relationships/image" Target="../media/image28.emf"/><Relationship Id="rId2" Type="http://schemas.openxmlformats.org/officeDocument/2006/relationships/image" Target="../media/image32.emf"/><Relationship Id="rId1" Type="http://schemas.openxmlformats.org/officeDocument/2006/relationships/image" Target="../media/image31.emf"/><Relationship Id="rId6" Type="http://schemas.openxmlformats.org/officeDocument/2006/relationships/image" Target="../media/image29.emf"/><Relationship Id="rId11" Type="http://schemas.openxmlformats.org/officeDocument/2006/relationships/image" Target="../media/image24.emf"/><Relationship Id="rId5" Type="http://schemas.openxmlformats.org/officeDocument/2006/relationships/image" Target="../media/image30.emf"/><Relationship Id="rId10" Type="http://schemas.openxmlformats.org/officeDocument/2006/relationships/image" Target="../media/image25.emf"/><Relationship Id="rId4" Type="http://schemas.openxmlformats.org/officeDocument/2006/relationships/image" Target="../media/image34.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6301705</xdr:colOff>
      <xdr:row>1</xdr:row>
      <xdr:rowOff>20090</xdr:rowOff>
    </xdr:from>
    <xdr:to>
      <xdr:col>1</xdr:col>
      <xdr:colOff>7520788</xdr:colOff>
      <xdr:row>2</xdr:row>
      <xdr:rowOff>104848</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6906823" y="176972"/>
          <a:ext cx="1219083" cy="37611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99060</xdr:colOff>
      <xdr:row>6</xdr:row>
      <xdr:rowOff>121920</xdr:rowOff>
    </xdr:from>
    <xdr:to>
      <xdr:col>1</xdr:col>
      <xdr:colOff>7497536</xdr:colOff>
      <xdr:row>15</xdr:row>
      <xdr:rowOff>68036</xdr:rowOff>
    </xdr:to>
    <xdr:pic>
      <xdr:nvPicPr>
        <xdr:cNvPr id="4" name="Picture 1">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1381" y="1224099"/>
          <a:ext cx="7398476" cy="2300151"/>
        </a:xfrm>
        <a:prstGeom prst="rect">
          <a:avLst/>
        </a:prstGeom>
        <a:solidFill>
          <a:srgbClr val="FFFFFF"/>
        </a:solidFill>
        <a:ln w="15875">
          <a:solidFill>
            <a:srgbClr val="000000"/>
          </a:solid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221</xdr:row>
      <xdr:rowOff>0</xdr:rowOff>
    </xdr:from>
    <xdr:to>
      <xdr:col>2</xdr:col>
      <xdr:colOff>76200</xdr:colOff>
      <xdr:row>222</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3</xdr:col>
          <xdr:colOff>165100</xdr:colOff>
          <xdr:row>66</xdr:row>
          <xdr:rowOff>12700</xdr:rowOff>
        </xdr:from>
        <xdr:to>
          <xdr:col>3</xdr:col>
          <xdr:colOff>488950</xdr:colOff>
          <xdr:row>66</xdr:row>
          <xdr:rowOff>190500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2495550</xdr:colOff>
          <xdr:row>66</xdr:row>
          <xdr:rowOff>31750</xdr:rowOff>
        </xdr:from>
        <xdr:to>
          <xdr:col>1</xdr:col>
          <xdr:colOff>3714750</xdr:colOff>
          <xdr:row>66</xdr:row>
          <xdr:rowOff>209550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126</xdr:row>
          <xdr:rowOff>247650</xdr:rowOff>
        </xdr:from>
        <xdr:to>
          <xdr:col>3</xdr:col>
          <xdr:colOff>184150</xdr:colOff>
          <xdr:row>127</xdr:row>
          <xdr:rowOff>228600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2222500</xdr:colOff>
          <xdr:row>129</xdr:row>
          <xdr:rowOff>38100</xdr:rowOff>
        </xdr:from>
        <xdr:to>
          <xdr:col>1</xdr:col>
          <xdr:colOff>3613150</xdr:colOff>
          <xdr:row>129</xdr:row>
          <xdr:rowOff>222250</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129</xdr:row>
          <xdr:rowOff>50800</xdr:rowOff>
        </xdr:from>
        <xdr:to>
          <xdr:col>3</xdr:col>
          <xdr:colOff>609600</xdr:colOff>
          <xdr:row>129</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40</xdr:row>
          <xdr:rowOff>184150</xdr:rowOff>
        </xdr:from>
        <xdr:to>
          <xdr:col>3</xdr:col>
          <xdr:colOff>1231900</xdr:colOff>
          <xdr:row>41</xdr:row>
          <xdr:rowOff>184150</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42</xdr:row>
          <xdr:rowOff>12700</xdr:rowOff>
        </xdr:from>
        <xdr:to>
          <xdr:col>3</xdr:col>
          <xdr:colOff>1231900</xdr:colOff>
          <xdr:row>43</xdr:row>
          <xdr:rowOff>12700</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29</xdr:row>
          <xdr:rowOff>12700</xdr:rowOff>
        </xdr:from>
        <xdr:to>
          <xdr:col>3</xdr:col>
          <xdr:colOff>1231900</xdr:colOff>
          <xdr:row>30</xdr:row>
          <xdr:rowOff>31750</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48</xdr:row>
          <xdr:rowOff>12700</xdr:rowOff>
        </xdr:from>
        <xdr:to>
          <xdr:col>3</xdr:col>
          <xdr:colOff>1231900</xdr:colOff>
          <xdr:row>49</xdr:row>
          <xdr:rowOff>12700</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49</xdr:row>
          <xdr:rowOff>12700</xdr:rowOff>
        </xdr:from>
        <xdr:to>
          <xdr:col>3</xdr:col>
          <xdr:colOff>1231900</xdr:colOff>
          <xdr:row>50</xdr:row>
          <xdr:rowOff>12700</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50</xdr:row>
          <xdr:rowOff>12700</xdr:rowOff>
        </xdr:from>
        <xdr:to>
          <xdr:col>3</xdr:col>
          <xdr:colOff>1231900</xdr:colOff>
          <xdr:row>51</xdr:row>
          <xdr:rowOff>12700</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51</xdr:row>
          <xdr:rowOff>12700</xdr:rowOff>
        </xdr:from>
        <xdr:to>
          <xdr:col>3</xdr:col>
          <xdr:colOff>1231900</xdr:colOff>
          <xdr:row>52</xdr:row>
          <xdr:rowOff>12700</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52</xdr:row>
          <xdr:rowOff>12700</xdr:rowOff>
        </xdr:from>
        <xdr:to>
          <xdr:col>3</xdr:col>
          <xdr:colOff>1231900</xdr:colOff>
          <xdr:row>53</xdr:row>
          <xdr:rowOff>12700</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53</xdr:row>
          <xdr:rowOff>12700</xdr:rowOff>
        </xdr:from>
        <xdr:to>
          <xdr:col>3</xdr:col>
          <xdr:colOff>1231900</xdr:colOff>
          <xdr:row>54</xdr:row>
          <xdr:rowOff>12700</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55</xdr:row>
          <xdr:rowOff>12700</xdr:rowOff>
        </xdr:from>
        <xdr:to>
          <xdr:col>3</xdr:col>
          <xdr:colOff>1231900</xdr:colOff>
          <xdr:row>56</xdr:row>
          <xdr:rowOff>12700</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111</xdr:row>
          <xdr:rowOff>12700</xdr:rowOff>
        </xdr:from>
        <xdr:to>
          <xdr:col>3</xdr:col>
          <xdr:colOff>1162050</xdr:colOff>
          <xdr:row>112</xdr:row>
          <xdr:rowOff>31750</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114</xdr:row>
          <xdr:rowOff>38100</xdr:rowOff>
        </xdr:from>
        <xdr:to>
          <xdr:col>3</xdr:col>
          <xdr:colOff>1085850</xdr:colOff>
          <xdr:row>114</xdr:row>
          <xdr:rowOff>247650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150</xdr:row>
          <xdr:rowOff>12700</xdr:rowOff>
        </xdr:from>
        <xdr:to>
          <xdr:col>5</xdr:col>
          <xdr:colOff>1212850</xdr:colOff>
          <xdr:row>151</xdr:row>
          <xdr:rowOff>12700</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151</xdr:row>
          <xdr:rowOff>12700</xdr:rowOff>
        </xdr:from>
        <xdr:to>
          <xdr:col>5</xdr:col>
          <xdr:colOff>1212850</xdr:colOff>
          <xdr:row>152</xdr:row>
          <xdr:rowOff>12700</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152</xdr:row>
          <xdr:rowOff>0</xdr:rowOff>
        </xdr:from>
        <xdr:to>
          <xdr:col>5</xdr:col>
          <xdr:colOff>1212850</xdr:colOff>
          <xdr:row>153</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154</xdr:row>
          <xdr:rowOff>0</xdr:rowOff>
        </xdr:from>
        <xdr:to>
          <xdr:col>5</xdr:col>
          <xdr:colOff>1212850</xdr:colOff>
          <xdr:row>155</xdr:row>
          <xdr:rowOff>0</xdr:rowOff>
        </xdr:to>
        <xdr:sp macro="" textlink="">
          <xdr:nvSpPr>
            <xdr:cNvPr id="1223" name="chk_Proc_CO2_tax" hidden="1">
              <a:extLst>
                <a:ext uri="{63B3BB69-23CF-44E3-9099-C40C66FF867C}">
                  <a14:compatExt spid="_x0000_s1223"/>
                </a:ext>
                <a:ext uri="{FF2B5EF4-FFF2-40B4-BE49-F238E27FC236}">
                  <a16:creationId xmlns:a16="http://schemas.microsoft.com/office/drawing/2014/main" id="{00000000-0008-0000-03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156</xdr:row>
          <xdr:rowOff>0</xdr:rowOff>
        </xdr:from>
        <xdr:to>
          <xdr:col>5</xdr:col>
          <xdr:colOff>1212850</xdr:colOff>
          <xdr:row>157</xdr:row>
          <xdr:rowOff>0</xdr:rowOff>
        </xdr:to>
        <xdr:sp macro="" textlink="">
          <xdr:nvSpPr>
            <xdr:cNvPr id="1224" name="chk_Upstream_CO2_tax" hidden="1">
              <a:extLst>
                <a:ext uri="{63B3BB69-23CF-44E3-9099-C40C66FF867C}">
                  <a14:compatExt spid="_x0000_s1224"/>
                </a:ext>
                <a:ext uri="{FF2B5EF4-FFF2-40B4-BE49-F238E27FC236}">
                  <a16:creationId xmlns:a16="http://schemas.microsoft.com/office/drawing/2014/main" id="{00000000-0008-0000-03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128</xdr:row>
      <xdr:rowOff>289433</xdr:rowOff>
    </xdr:from>
    <xdr:to>
      <xdr:col>5</xdr:col>
      <xdr:colOff>681318</xdr:colOff>
      <xdr:row>130</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131</xdr:row>
      <xdr:rowOff>143435</xdr:rowOff>
    </xdr:from>
    <xdr:to>
      <xdr:col>4</xdr:col>
      <xdr:colOff>645460</xdr:colOff>
      <xdr:row>132</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131</xdr:row>
      <xdr:rowOff>152400</xdr:rowOff>
    </xdr:from>
    <xdr:to>
      <xdr:col>5</xdr:col>
      <xdr:colOff>1156447</xdr:colOff>
      <xdr:row>133</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149</xdr:row>
      <xdr:rowOff>17930</xdr:rowOff>
    </xdr:from>
    <xdr:to>
      <xdr:col>4</xdr:col>
      <xdr:colOff>762001</xdr:colOff>
      <xdr:row>149</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84</xdr:row>
      <xdr:rowOff>205408</xdr:rowOff>
    </xdr:from>
    <xdr:to>
      <xdr:col>3</xdr:col>
      <xdr:colOff>1351721</xdr:colOff>
      <xdr:row>86</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86</xdr:row>
      <xdr:rowOff>20351</xdr:rowOff>
    </xdr:from>
    <xdr:to>
      <xdr:col>3</xdr:col>
      <xdr:colOff>1364974</xdr:colOff>
      <xdr:row>88</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0.19752</cdr:x>
      <cdr:y>0.17079</cdr:y>
    </cdr:to>
    <cdr:sp macro="" textlink="'Tornado Charts &amp; Risk Analysis'!$H$155">
      <cdr:nvSpPr>
        <cdr:cNvPr id="3" name="TextBox 2"/>
        <cdr:cNvSpPr txBox="1"/>
      </cdr:nvSpPr>
      <cdr:spPr>
        <a:xfrm xmlns:a="http://schemas.openxmlformats.org/drawingml/2006/main">
          <a:off x="0" y="512904"/>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0.16896</cdr:x>
      <cdr:y>0.22302</cdr:y>
    </cdr:to>
    <cdr:sp macro="" textlink="'Tornado Charts &amp; Risk Analysis'!$H$156">
      <cdr:nvSpPr>
        <cdr:cNvPr id="4" name="TextBox 1"/>
        <cdr:cNvSpPr txBox="1"/>
      </cdr:nvSpPr>
      <cdr:spPr>
        <a:xfrm xmlns:a="http://schemas.openxmlformats.org/drawingml/2006/main">
          <a:off x="0" y="743089"/>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0.18681</cdr:x>
      <cdr:y>0.27404</cdr:y>
    </cdr:to>
    <cdr:sp macro="" textlink="'Tornado Charts &amp; Risk Analysis'!$H$157">
      <cdr:nvSpPr>
        <cdr:cNvPr id="5" name="TextBox 1"/>
        <cdr:cNvSpPr txBox="1"/>
      </cdr:nvSpPr>
      <cdr:spPr>
        <a:xfrm xmlns:a="http://schemas.openxmlformats.org/drawingml/2006/main">
          <a:off x="0" y="967942"/>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0.17965</cdr:x>
      <cdr:y>0.37808</cdr:y>
    </cdr:to>
    <cdr:sp macro="" textlink="'Tornado Charts &amp; Risk Analysis'!$H$159">
      <cdr:nvSpPr>
        <cdr:cNvPr id="6" name="TextBox 1"/>
        <cdr:cNvSpPr txBox="1"/>
      </cdr:nvSpPr>
      <cdr:spPr>
        <a:xfrm xmlns:a="http://schemas.openxmlformats.org/drawingml/2006/main">
          <a:off x="0" y="1426462"/>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0.23323</cdr:x>
      <cdr:y>0.42925</cdr:y>
    </cdr:to>
    <cdr:sp macro="" textlink="'Tornado Charts &amp; Risk Analysis'!$H$160">
      <cdr:nvSpPr>
        <cdr:cNvPr id="7" name="TextBox 1"/>
        <cdr:cNvSpPr txBox="1"/>
      </cdr:nvSpPr>
      <cdr:spPr>
        <a:xfrm xmlns:a="http://schemas.openxmlformats.org/drawingml/2006/main">
          <a:off x="0" y="1651976"/>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0.33917</cdr:x>
      <cdr:y>0.48121</cdr:y>
    </cdr:to>
    <cdr:sp macro="" textlink="'Tornado Charts &amp; Risk Analysis'!$H$161">
      <cdr:nvSpPr>
        <cdr:cNvPr id="8" name="TextBox 1"/>
        <cdr:cNvSpPr txBox="1"/>
      </cdr:nvSpPr>
      <cdr:spPr>
        <a:xfrm xmlns:a="http://schemas.openxmlformats.org/drawingml/2006/main">
          <a:off x="0" y="1880971"/>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0.15348</cdr:x>
      <cdr:y>0.53284</cdr:y>
    </cdr:to>
    <cdr:sp macro="" textlink="'Tornado Charts &amp; Risk Analysis'!$H$162">
      <cdr:nvSpPr>
        <cdr:cNvPr id="9" name="TextBox 1"/>
        <cdr:cNvSpPr txBox="1"/>
      </cdr:nvSpPr>
      <cdr:spPr>
        <a:xfrm xmlns:a="http://schemas.openxmlformats.org/drawingml/2006/main">
          <a:off x="0" y="2108512"/>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0.2844</cdr:x>
      <cdr:y>0.58463</cdr:y>
    </cdr:to>
    <cdr:sp macro="" textlink="'Tornado Charts &amp; Risk Analysis'!$H$163">
      <cdr:nvSpPr>
        <cdr:cNvPr id="10" name="TextBox 1"/>
        <cdr:cNvSpPr txBox="1"/>
      </cdr:nvSpPr>
      <cdr:spPr>
        <a:xfrm xmlns:a="http://schemas.openxmlformats.org/drawingml/2006/main">
          <a:off x="0" y="2336759"/>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0.08917</cdr:x>
      <cdr:y>0.63687</cdr:y>
    </cdr:to>
    <cdr:sp macro="" textlink="'Tornado Charts &amp; Risk Analysis'!$H$164">
      <cdr:nvSpPr>
        <cdr:cNvPr id="11" name="TextBox 1"/>
        <cdr:cNvSpPr txBox="1"/>
      </cdr:nvSpPr>
      <cdr:spPr>
        <a:xfrm xmlns:a="http://schemas.openxmlformats.org/drawingml/2006/main">
          <a:off x="0" y="2566988"/>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0.35461</cdr:x>
      <cdr:y>0.68772</cdr:y>
    </cdr:to>
    <cdr:sp macro="" textlink="'Tornado Charts &amp; Risk Analysis'!$H$165">
      <cdr:nvSpPr>
        <cdr:cNvPr id="12" name="TextBox 1"/>
        <cdr:cNvSpPr txBox="1"/>
      </cdr:nvSpPr>
      <cdr:spPr>
        <a:xfrm xmlns:a="http://schemas.openxmlformats.org/drawingml/2006/main">
          <a:off x="0" y="2791092"/>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0.32966</cdr:x>
      <cdr:y>0.73996</cdr:y>
    </cdr:to>
    <cdr:sp macro="" textlink="'Tornado Charts &amp; Risk Analysis'!$H$166">
      <cdr:nvSpPr>
        <cdr:cNvPr id="13" name="TextBox 1"/>
        <cdr:cNvSpPr txBox="1"/>
      </cdr:nvSpPr>
      <cdr:spPr>
        <a:xfrm xmlns:a="http://schemas.openxmlformats.org/drawingml/2006/main">
          <a:off x="0" y="3021321"/>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0.20345</cdr:x>
      <cdr:y>0.79159</cdr:y>
    </cdr:to>
    <cdr:sp macro="" textlink="'Tornado Charts &amp; Risk Analysis'!$H$167">
      <cdr:nvSpPr>
        <cdr:cNvPr id="14" name="TextBox 1"/>
        <cdr:cNvSpPr txBox="1"/>
      </cdr:nvSpPr>
      <cdr:spPr>
        <a:xfrm xmlns:a="http://schemas.openxmlformats.org/drawingml/2006/main">
          <a:off x="0" y="3248862"/>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0.26056</cdr:x>
      <cdr:y>0.84327</cdr:y>
    </cdr:to>
    <cdr:sp macro="" textlink="'Tornado Charts &amp; Risk Analysis'!$H$168">
      <cdr:nvSpPr>
        <cdr:cNvPr id="15" name="TextBox 1"/>
        <cdr:cNvSpPr txBox="1"/>
      </cdr:nvSpPr>
      <cdr:spPr>
        <a:xfrm xmlns:a="http://schemas.openxmlformats.org/drawingml/2006/main">
          <a:off x="0" y="3476624"/>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0.38439</cdr:x>
      <cdr:y>0.89501</cdr:y>
    </cdr:to>
    <cdr:sp macro="" textlink="'Tornado Charts &amp; Risk Analysis'!$H$169">
      <cdr:nvSpPr>
        <cdr:cNvPr id="16" name="TextBox 1"/>
        <cdr:cNvSpPr txBox="1"/>
      </cdr:nvSpPr>
      <cdr:spPr>
        <a:xfrm xmlns:a="http://schemas.openxmlformats.org/drawingml/2006/main">
          <a:off x="0" y="370464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0.26533</cdr:x>
      <cdr:y>0.94697</cdr:y>
    </cdr:to>
    <cdr:sp macro="" textlink="'Tornado Charts &amp; Risk Analysis'!$H$170">
      <cdr:nvSpPr>
        <cdr:cNvPr id="17" name="TextBox 1"/>
        <cdr:cNvSpPr txBox="1"/>
      </cdr:nvSpPr>
      <cdr:spPr>
        <a:xfrm xmlns:a="http://schemas.openxmlformats.org/drawingml/2006/main">
          <a:off x="0" y="3933645"/>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28</xdr:row>
          <xdr:rowOff>171450</xdr:rowOff>
        </xdr:from>
        <xdr:to>
          <xdr:col>4</xdr:col>
          <xdr:colOff>38100</xdr:colOff>
          <xdr:row>30</xdr:row>
          <xdr:rowOff>0</xdr:rowOff>
        </xdr:to>
        <xdr:sp macro="" textlink="">
          <xdr:nvSpPr>
            <xdr:cNvPr id="17452" name="chk_CO2_Capture_Efficiency" hidden="1">
              <a:extLst>
                <a:ext uri="{63B3BB69-23CF-44E3-9099-C40C66FF867C}">
                  <a14:compatExt spid="_x0000_s17452"/>
                </a:ext>
                <a:ext uri="{FF2B5EF4-FFF2-40B4-BE49-F238E27FC236}">
                  <a16:creationId xmlns:a16="http://schemas.microsoft.com/office/drawing/2014/main" id="{00000000-0008-0000-0700-00002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43</xdr:row>
          <xdr:rowOff>0</xdr:rowOff>
        </xdr:from>
        <xdr:to>
          <xdr:col>4</xdr:col>
          <xdr:colOff>38100</xdr:colOff>
          <xdr:row>44</xdr:row>
          <xdr:rowOff>19050</xdr:rowOff>
        </xdr:to>
        <xdr:sp macro="" textlink="">
          <xdr:nvSpPr>
            <xdr:cNvPr id="17453" name="chk_CO2_MaintFactor" hidden="1">
              <a:extLst>
                <a:ext uri="{63B3BB69-23CF-44E3-9099-C40C66FF867C}">
                  <a14:compatExt spid="_x0000_s17453"/>
                </a:ext>
                <a:ext uri="{FF2B5EF4-FFF2-40B4-BE49-F238E27FC236}">
                  <a16:creationId xmlns:a16="http://schemas.microsoft.com/office/drawing/2014/main" id="{00000000-0008-0000-0700-00002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30</xdr:row>
          <xdr:rowOff>69850</xdr:rowOff>
        </xdr:from>
        <xdr:to>
          <xdr:col>4</xdr:col>
          <xdr:colOff>38100</xdr:colOff>
          <xdr:row>30</xdr:row>
          <xdr:rowOff>279400</xdr:rowOff>
        </xdr:to>
        <xdr:sp macro="" textlink="">
          <xdr:nvSpPr>
            <xdr:cNvPr id="17497" name="chk_CO2_Pin_psia" hidden="1">
              <a:extLst>
                <a:ext uri="{63B3BB69-23CF-44E3-9099-C40C66FF867C}">
                  <a14:compatExt spid="_x0000_s17497"/>
                </a:ext>
                <a:ext uri="{FF2B5EF4-FFF2-40B4-BE49-F238E27FC236}">
                  <a16:creationId xmlns:a16="http://schemas.microsoft.com/office/drawing/2014/main" id="{00000000-0008-0000-0700-00005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41</xdr:row>
          <xdr:rowOff>171450</xdr:rowOff>
        </xdr:from>
        <xdr:to>
          <xdr:col>4</xdr:col>
          <xdr:colOff>146050</xdr:colOff>
          <xdr:row>43</xdr:row>
          <xdr:rowOff>12700</xdr:rowOff>
        </xdr:to>
        <xdr:sp macro="" textlink="">
          <xdr:nvSpPr>
            <xdr:cNvPr id="17509" name="chk_CO2_credit" hidden="1">
              <a:extLst>
                <a:ext uri="{63B3BB69-23CF-44E3-9099-C40C66FF867C}">
                  <a14:compatExt spid="_x0000_s17509"/>
                </a:ext>
                <a:ext uri="{FF2B5EF4-FFF2-40B4-BE49-F238E27FC236}">
                  <a16:creationId xmlns:a16="http://schemas.microsoft.com/office/drawing/2014/main" id="{00000000-0008-0000-07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241300</xdr:colOff>
          <xdr:row>31</xdr:row>
          <xdr:rowOff>69850</xdr:rowOff>
        </xdr:from>
        <xdr:to>
          <xdr:col>4</xdr:col>
          <xdr:colOff>31750</xdr:colOff>
          <xdr:row>31</xdr:row>
          <xdr:rowOff>279400</xdr:rowOff>
        </xdr:to>
        <xdr:sp macro="" textlink="">
          <xdr:nvSpPr>
            <xdr:cNvPr id="17561" name="chk_n_CO2_pumps" hidden="1">
              <a:extLst>
                <a:ext uri="{63B3BB69-23CF-44E3-9099-C40C66FF867C}">
                  <a14:compatExt spid="_x0000_s17561"/>
                </a:ext>
                <a:ext uri="{FF2B5EF4-FFF2-40B4-BE49-F238E27FC236}">
                  <a16:creationId xmlns:a16="http://schemas.microsoft.com/office/drawing/2014/main" id="{00000000-0008-0000-0700-00009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31</xdr:row>
          <xdr:rowOff>336550</xdr:rowOff>
        </xdr:from>
        <xdr:to>
          <xdr:col>4</xdr:col>
          <xdr:colOff>31750</xdr:colOff>
          <xdr:row>33</xdr:row>
          <xdr:rowOff>12700</xdr:rowOff>
        </xdr:to>
        <xdr:sp macro="" textlink="">
          <xdr:nvSpPr>
            <xdr:cNvPr id="17562" name="chk_CO2_Pump_Eff" hidden="1">
              <a:extLst>
                <a:ext uri="{63B3BB69-23CF-44E3-9099-C40C66FF867C}">
                  <a14:compatExt spid="_x0000_s17562"/>
                </a:ext>
                <a:ext uri="{FF2B5EF4-FFF2-40B4-BE49-F238E27FC236}">
                  <a16:creationId xmlns:a16="http://schemas.microsoft.com/office/drawing/2014/main" id="{00000000-0008-0000-0700-00009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32</xdr:row>
          <xdr:rowOff>165100</xdr:rowOff>
        </xdr:from>
        <xdr:to>
          <xdr:col>4</xdr:col>
          <xdr:colOff>31750</xdr:colOff>
          <xdr:row>34</xdr:row>
          <xdr:rowOff>12700</xdr:rowOff>
        </xdr:to>
        <xdr:sp macro="" textlink="">
          <xdr:nvSpPr>
            <xdr:cNvPr id="17563" name="chk_CO2_ControlSystem" hidden="1">
              <a:extLst>
                <a:ext uri="{63B3BB69-23CF-44E3-9099-C40C66FF867C}">
                  <a14:compatExt spid="_x0000_s17563"/>
                </a:ext>
                <a:ext uri="{FF2B5EF4-FFF2-40B4-BE49-F238E27FC236}">
                  <a16:creationId xmlns:a16="http://schemas.microsoft.com/office/drawing/2014/main" id="{00000000-0008-0000-0700-00009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33</xdr:row>
          <xdr:rowOff>152400</xdr:rowOff>
        </xdr:from>
        <xdr:to>
          <xdr:col>4</xdr:col>
          <xdr:colOff>31750</xdr:colOff>
          <xdr:row>34</xdr:row>
          <xdr:rowOff>184150</xdr:rowOff>
        </xdr:to>
        <xdr:sp macro="" textlink="">
          <xdr:nvSpPr>
            <xdr:cNvPr id="17565" name="chk_CO2_SurgeTank" hidden="1">
              <a:extLst>
                <a:ext uri="{63B3BB69-23CF-44E3-9099-C40C66FF867C}">
                  <a14:compatExt spid="_x0000_s17565"/>
                </a:ext>
                <a:ext uri="{FF2B5EF4-FFF2-40B4-BE49-F238E27FC236}">
                  <a16:creationId xmlns:a16="http://schemas.microsoft.com/office/drawing/2014/main" id="{00000000-0008-0000-0700-00009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34</xdr:row>
          <xdr:rowOff>152400</xdr:rowOff>
        </xdr:from>
        <xdr:to>
          <xdr:col>4</xdr:col>
          <xdr:colOff>31750</xdr:colOff>
          <xdr:row>36</xdr:row>
          <xdr:rowOff>0</xdr:rowOff>
        </xdr:to>
        <xdr:sp macro="" textlink="">
          <xdr:nvSpPr>
            <xdr:cNvPr id="17566" name="chk_CO2_PipeLength" hidden="1">
              <a:extLst>
                <a:ext uri="{63B3BB69-23CF-44E3-9099-C40C66FF867C}">
                  <a14:compatExt spid="_x0000_s17566"/>
                </a:ext>
                <a:ext uri="{FF2B5EF4-FFF2-40B4-BE49-F238E27FC236}">
                  <a16:creationId xmlns:a16="http://schemas.microsoft.com/office/drawing/2014/main" id="{00000000-0008-0000-0700-00009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35</xdr:row>
          <xdr:rowOff>165100</xdr:rowOff>
        </xdr:from>
        <xdr:to>
          <xdr:col>4</xdr:col>
          <xdr:colOff>31750</xdr:colOff>
          <xdr:row>37</xdr:row>
          <xdr:rowOff>19050</xdr:rowOff>
        </xdr:to>
        <xdr:sp macro="" textlink="">
          <xdr:nvSpPr>
            <xdr:cNvPr id="17567" name="chk_CO2_PipeElevation" hidden="1">
              <a:extLst>
                <a:ext uri="{63B3BB69-23CF-44E3-9099-C40C66FF867C}">
                  <a14:compatExt spid="_x0000_s17567"/>
                </a:ext>
                <a:ext uri="{FF2B5EF4-FFF2-40B4-BE49-F238E27FC236}">
                  <a16:creationId xmlns:a16="http://schemas.microsoft.com/office/drawing/2014/main" id="{00000000-0008-0000-0700-00009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38</xdr:row>
          <xdr:rowOff>165100</xdr:rowOff>
        </xdr:from>
        <xdr:to>
          <xdr:col>4</xdr:col>
          <xdr:colOff>38100</xdr:colOff>
          <xdr:row>40</xdr:row>
          <xdr:rowOff>19050</xdr:rowOff>
        </xdr:to>
        <xdr:sp macro="" textlink="">
          <xdr:nvSpPr>
            <xdr:cNvPr id="17568" name="chk_CO2_Pipeline_Temp" hidden="1">
              <a:extLst>
                <a:ext uri="{63B3BB69-23CF-44E3-9099-C40C66FF867C}">
                  <a14:compatExt spid="_x0000_s17568"/>
                </a:ext>
                <a:ext uri="{FF2B5EF4-FFF2-40B4-BE49-F238E27FC236}">
                  <a16:creationId xmlns:a16="http://schemas.microsoft.com/office/drawing/2014/main" id="{00000000-0008-0000-0700-0000A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Debt Interest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Yearly Replacement Costs</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Taxes</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Cash for Working Capital Reserve</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Other Variable Operating Costs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Principal Payment</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Decommissioning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665024</xdr:colOff>
      <xdr:row>15</xdr:row>
      <xdr:rowOff>94009</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 </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79103</xdr:rowOff>
    </xdr:from>
    <xdr:to>
      <xdr:col>4</xdr:col>
      <xdr:colOff>910172</xdr:colOff>
      <xdr:row>35</xdr:row>
      <xdr:rowOff>107</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985670</xdr:colOff>
      <xdr:row>11</xdr:row>
      <xdr:rowOff>65060</xdr:rowOff>
    </xdr:from>
    <xdr:to>
      <xdr:col>13</xdr:col>
      <xdr:colOff>315112</xdr:colOff>
      <xdr:row>39</xdr:row>
      <xdr:rowOff>137332</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(102%, 97%, 92%)</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($157,545K, $165,837K, $174,129K)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($7,777K, $8,186K, $8,595K)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After-tax Real IRR
(8%, 8%, 8%)</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Plant Design Capacity (kg of H2/day)
(52,500, 50,000, 47,500) </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7042150</xdr:colOff>
          <xdr:row>0</xdr:row>
          <xdr:rowOff>95250</xdr:rowOff>
        </xdr:from>
        <xdr:to>
          <xdr:col>2</xdr:col>
          <xdr:colOff>57150</xdr:colOff>
          <xdr:row>2</xdr:row>
          <xdr:rowOff>95250</xdr:rowOff>
        </xdr:to>
        <xdr:sp macro="" textlink="">
          <xdr:nvSpPr>
            <xdr:cNvPr id="30721" name="cmdInputSheet5"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5765800</xdr:colOff>
          <xdr:row>0</xdr:row>
          <xdr:rowOff>95250</xdr:rowOff>
        </xdr:from>
        <xdr:to>
          <xdr:col>1</xdr:col>
          <xdr:colOff>6915150</xdr:colOff>
          <xdr:row>2</xdr:row>
          <xdr:rowOff>95250</xdr:rowOff>
        </xdr:to>
        <xdr:sp macro="" textlink="">
          <xdr:nvSpPr>
            <xdr:cNvPr id="31745" name="cmdInputSheet4"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12700</xdr:rowOff>
        </xdr:from>
        <xdr:to>
          <xdr:col>3</xdr:col>
          <xdr:colOff>1803400</xdr:colOff>
          <xdr:row>1</xdr:row>
          <xdr:rowOff>457200</xdr:rowOff>
        </xdr:to>
        <xdr:sp macro="" textlink="">
          <xdr:nvSpPr>
            <xdr:cNvPr id="32769" name="cmdInputSheet3"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1.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8.emf"/><Relationship Id="rId18" Type="http://schemas.openxmlformats.org/officeDocument/2006/relationships/control" Target="../activeX/activeX3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7.xml"/><Relationship Id="rId17" Type="http://schemas.openxmlformats.org/officeDocument/2006/relationships/image" Target="../media/image30.emf"/><Relationship Id="rId25" Type="http://schemas.openxmlformats.org/officeDocument/2006/relationships/image" Target="../media/image34.emf"/><Relationship Id="rId2" Type="http://schemas.openxmlformats.org/officeDocument/2006/relationships/drawing" Target="../drawings/drawing10.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7.emf"/><Relationship Id="rId24" Type="http://schemas.openxmlformats.org/officeDocument/2006/relationships/control" Target="../activeX/activeX33.xml"/><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10" Type="http://schemas.openxmlformats.org/officeDocument/2006/relationships/control" Target="../activeX/activeX26.xml"/><Relationship Id="rId19" Type="http://schemas.openxmlformats.org/officeDocument/2006/relationships/image" Target="../media/image31.emf"/><Relationship Id="rId4" Type="http://schemas.openxmlformats.org/officeDocument/2006/relationships/control" Target="../activeX/activeX23.xml"/><Relationship Id="rId9" Type="http://schemas.openxmlformats.org/officeDocument/2006/relationships/image" Target="../media/image26.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17.xml"/><Relationship Id="rId4" Type="http://schemas.openxmlformats.org/officeDocument/2006/relationships/image" Target="../media/image35.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9.vml"/><Relationship Id="rId1" Type="http://schemas.openxmlformats.org/officeDocument/2006/relationships/drawing" Target="../drawings/drawing18.xml"/><Relationship Id="rId4" Type="http://schemas.openxmlformats.org/officeDocument/2006/relationships/image" Target="../media/image36.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6.xml"/><Relationship Id="rId2" Type="http://schemas.openxmlformats.org/officeDocument/2006/relationships/vmlDrawing" Target="../drawings/vmlDrawing10.vml"/><Relationship Id="rId1" Type="http://schemas.openxmlformats.org/officeDocument/2006/relationships/drawing" Target="../drawings/drawing19.xml"/><Relationship Id="rId4" Type="http://schemas.openxmlformats.org/officeDocument/2006/relationships/image" Target="../media/image3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4"/>
  <sheetViews>
    <sheetView tabSelected="1" workbookViewId="0">
      <selection activeCell="B2" sqref="B2"/>
    </sheetView>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81" t="s">
        <v>407</v>
      </c>
    </row>
    <row r="4" spans="2:4" ht="13" thickBot="1" x14ac:dyDescent="0.3"/>
    <row r="5" spans="2:4" ht="26" thickTop="1" x14ac:dyDescent="0.3">
      <c r="B5" s="787" t="s">
        <v>211</v>
      </c>
      <c r="C5" s="1259" t="s">
        <v>1435</v>
      </c>
      <c r="D5" s="1262"/>
    </row>
    <row r="6" spans="2:4" ht="13" x14ac:dyDescent="0.3">
      <c r="B6" s="790" t="s">
        <v>212</v>
      </c>
      <c r="C6" s="1260" t="s">
        <v>1350</v>
      </c>
      <c r="D6" s="1262"/>
    </row>
    <row r="7" spans="2:4" ht="13" x14ac:dyDescent="0.3">
      <c r="B7" s="790" t="s">
        <v>213</v>
      </c>
      <c r="C7" s="1260" t="s">
        <v>1427</v>
      </c>
      <c r="D7" s="1262"/>
    </row>
    <row r="8" spans="2:4" ht="13" x14ac:dyDescent="0.3">
      <c r="B8" s="790" t="s">
        <v>214</v>
      </c>
      <c r="C8" s="1260" t="s">
        <v>1428</v>
      </c>
      <c r="D8" s="1262"/>
    </row>
    <row r="9" spans="2:4" ht="13" x14ac:dyDescent="0.3">
      <c r="B9" s="790" t="s">
        <v>215</v>
      </c>
      <c r="C9" s="989" t="s">
        <v>1429</v>
      </c>
      <c r="D9" s="792"/>
    </row>
    <row r="10" spans="2:4" ht="13" x14ac:dyDescent="0.3">
      <c r="B10" s="790" t="s">
        <v>216</v>
      </c>
      <c r="C10" s="1260" t="s">
        <v>830</v>
      </c>
      <c r="D10" s="1262"/>
    </row>
    <row r="11" spans="2:4" ht="13" x14ac:dyDescent="0.3">
      <c r="B11" s="790" t="s">
        <v>217</v>
      </c>
      <c r="C11" s="1261">
        <v>43152</v>
      </c>
      <c r="D11" s="1440"/>
    </row>
    <row r="12" spans="2:4" ht="13.5" thickBot="1" x14ac:dyDescent="0.35">
      <c r="B12" s="795" t="s">
        <v>218</v>
      </c>
      <c r="C12" s="990" t="s">
        <v>1430</v>
      </c>
      <c r="D12" s="1262"/>
    </row>
    <row r="13" spans="2:4" ht="14" thickTop="1" thickBot="1" x14ac:dyDescent="0.35">
      <c r="B13" s="796"/>
      <c r="C13" s="1262"/>
      <c r="D13" s="1441"/>
    </row>
    <row r="14" spans="2:4" ht="13.5" thickTop="1" x14ac:dyDescent="0.3">
      <c r="B14" s="787" t="s">
        <v>219</v>
      </c>
      <c r="C14" s="1442">
        <v>50000</v>
      </c>
      <c r="D14" s="1443"/>
    </row>
    <row r="15" spans="2:4" ht="13" x14ac:dyDescent="0.3">
      <c r="B15" s="790" t="s">
        <v>220</v>
      </c>
      <c r="C15" s="1263">
        <v>2015</v>
      </c>
      <c r="D15" s="801"/>
    </row>
    <row r="16" spans="2:4" ht="13" x14ac:dyDescent="0.3">
      <c r="B16" s="790" t="s">
        <v>221</v>
      </c>
      <c r="C16" s="1202" t="s">
        <v>1046</v>
      </c>
      <c r="D16" s="1443"/>
    </row>
    <row r="17" spans="2:4" ht="13" x14ac:dyDescent="0.3">
      <c r="B17" s="790" t="s">
        <v>222</v>
      </c>
      <c r="C17" s="1202"/>
      <c r="D17" s="1443"/>
    </row>
    <row r="18" spans="2:4" ht="13" x14ac:dyDescent="0.3">
      <c r="B18" s="790" t="s">
        <v>223</v>
      </c>
      <c r="C18" s="1202" t="s">
        <v>1351</v>
      </c>
      <c r="D18" s="802"/>
    </row>
    <row r="19" spans="2:4" ht="13" x14ac:dyDescent="0.3">
      <c r="B19" s="790" t="s">
        <v>224</v>
      </c>
      <c r="C19" s="1202" t="s">
        <v>1352</v>
      </c>
      <c r="D19" s="1443"/>
    </row>
    <row r="20" spans="2:4" ht="13" x14ac:dyDescent="0.3">
      <c r="B20" s="790" t="s">
        <v>225</v>
      </c>
      <c r="C20" s="1202" t="s">
        <v>1353</v>
      </c>
      <c r="D20" s="1443"/>
    </row>
    <row r="21" spans="2:4" ht="13" x14ac:dyDescent="0.3">
      <c r="B21" s="790" t="s">
        <v>226</v>
      </c>
      <c r="C21" s="1202" t="s">
        <v>1353</v>
      </c>
      <c r="D21" s="1443"/>
    </row>
    <row r="22" spans="2:4" ht="26" x14ac:dyDescent="0.3">
      <c r="B22" s="803" t="s">
        <v>227</v>
      </c>
      <c r="C22" s="1263"/>
      <c r="D22" s="1443"/>
    </row>
    <row r="23" spans="2:4" ht="13" x14ac:dyDescent="0.3">
      <c r="B23" s="803" t="s">
        <v>228</v>
      </c>
      <c r="C23" s="1202" t="s">
        <v>1353</v>
      </c>
      <c r="D23" s="1443"/>
    </row>
    <row r="24" spans="2:4" ht="13.5" thickBot="1" x14ac:dyDescent="0.35">
      <c r="B24" s="795" t="s">
        <v>229</v>
      </c>
      <c r="C24" s="1264" t="s">
        <v>1354</v>
      </c>
      <c r="D24" s="1443"/>
    </row>
    <row r="25" spans="2:4" ht="14" thickTop="1" thickBot="1" x14ac:dyDescent="0.35">
      <c r="B25" s="805"/>
      <c r="C25" s="1443"/>
      <c r="D25" s="1443"/>
    </row>
    <row r="26" spans="2:4" ht="13" x14ac:dyDescent="0.3">
      <c r="B26" s="1552" t="s">
        <v>230</v>
      </c>
      <c r="C26" s="1553"/>
      <c r="D26" s="1554"/>
    </row>
    <row r="27" spans="2:4" ht="13" x14ac:dyDescent="0.3">
      <c r="B27" s="1444" t="s">
        <v>231</v>
      </c>
      <c r="C27" s="807" t="s">
        <v>232</v>
      </c>
      <c r="D27" s="1445" t="s">
        <v>1029</v>
      </c>
    </row>
    <row r="28" spans="2:4" ht="13" x14ac:dyDescent="0.3">
      <c r="B28" s="1466" t="s">
        <v>1297</v>
      </c>
      <c r="C28" s="1201"/>
      <c r="D28" s="1461"/>
    </row>
    <row r="29" spans="2:4" x14ac:dyDescent="0.25">
      <c r="B29" s="1462">
        <v>43137</v>
      </c>
      <c r="C29" s="1201" t="s">
        <v>1298</v>
      </c>
      <c r="D29" s="1461" t="s">
        <v>1299</v>
      </c>
    </row>
    <row r="30" spans="2:4" x14ac:dyDescent="0.25">
      <c r="B30" s="1462"/>
      <c r="C30" s="1201"/>
      <c r="D30" s="1461"/>
    </row>
    <row r="31" spans="2:4" x14ac:dyDescent="0.25">
      <c r="B31" s="1469">
        <v>41547</v>
      </c>
      <c r="C31" s="1201" t="s">
        <v>1348</v>
      </c>
      <c r="D31" s="1260" t="s">
        <v>1349</v>
      </c>
    </row>
    <row r="32" spans="2:4" x14ac:dyDescent="0.25">
      <c r="B32" s="1462"/>
      <c r="C32" s="1201"/>
      <c r="D32" s="1461"/>
    </row>
    <row r="33" spans="2:4" x14ac:dyDescent="0.25">
      <c r="B33" s="1462"/>
      <c r="C33" s="1201"/>
      <c r="D33" s="1461"/>
    </row>
    <row r="34" spans="2:4" ht="13" x14ac:dyDescent="0.3">
      <c r="B34" s="1466"/>
      <c r="C34" s="1201"/>
      <c r="D34" s="1461"/>
    </row>
    <row r="35" spans="2:4" x14ac:dyDescent="0.25">
      <c r="B35" s="1462"/>
      <c r="C35" s="1201"/>
      <c r="D35" s="1461"/>
    </row>
    <row r="36" spans="2:4" x14ac:dyDescent="0.25">
      <c r="B36" s="1462"/>
      <c r="C36" s="1201"/>
      <c r="D36" s="1461"/>
    </row>
    <row r="37" spans="2:4" x14ac:dyDescent="0.25">
      <c r="B37" s="1462"/>
      <c r="C37" s="1201"/>
      <c r="D37" s="1461"/>
    </row>
    <row r="38" spans="2:4" ht="13" x14ac:dyDescent="0.3">
      <c r="B38" s="1466"/>
      <c r="C38" s="1201"/>
      <c r="D38" s="1461"/>
    </row>
    <row r="39" spans="2:4" x14ac:dyDescent="0.25">
      <c r="B39" s="1462"/>
      <c r="C39" s="1201"/>
      <c r="D39" s="1461"/>
    </row>
    <row r="40" spans="2:4" x14ac:dyDescent="0.25">
      <c r="B40" s="1462"/>
      <c r="C40" s="1201"/>
      <c r="D40" s="1461"/>
    </row>
    <row r="41" spans="2:4" x14ac:dyDescent="0.25">
      <c r="B41" s="1462"/>
      <c r="C41" s="1201"/>
      <c r="D41" s="1461"/>
    </row>
    <row r="42" spans="2:4" x14ac:dyDescent="0.25">
      <c r="B42" s="1462"/>
      <c r="C42" s="1201"/>
      <c r="D42" s="1461"/>
    </row>
    <row r="43" spans="2:4" x14ac:dyDescent="0.25">
      <c r="B43" s="1462"/>
      <c r="C43" s="1201"/>
      <c r="D43" s="1461"/>
    </row>
    <row r="44" spans="2:4" ht="13" thickBot="1" x14ac:dyDescent="0.3">
      <c r="B44" s="1463"/>
      <c r="C44" s="1460"/>
      <c r="D44" s="1464"/>
    </row>
  </sheetData>
  <mergeCells count="1">
    <mergeCell ref="B26:D26"/>
  </mergeCells>
  <phoneticPr fontId="0" type="noConversion"/>
  <hyperlinks>
    <hyperlink ref="C9" r:id="rId1" xr:uid="{453F907C-7C6C-43A9-BC2C-EBDE6989AC34}"/>
    <hyperlink ref="C12" r:id="rId2" xr:uid="{03F14B14-981C-4ACA-B2AD-FEC923D817F6}"/>
  </hyperlinks>
  <pageMargins left="0.75" right="0.75" top="1" bottom="1" header="0.5" footer="0.5"/>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D86"/>
  <sheetViews>
    <sheetView workbookViewId="0">
      <selection activeCell="D18" sqref="D18"/>
    </sheetView>
  </sheetViews>
  <sheetFormatPr defaultRowHeight="12.5" x14ac:dyDescent="0.25"/>
  <cols>
    <col min="2" max="2" width="122" customWidth="1"/>
    <col min="3" max="3" width="12" customWidth="1"/>
    <col min="4" max="4" width="47.453125" customWidth="1"/>
    <col min="5" max="5" width="17.26953125" customWidth="1"/>
  </cols>
  <sheetData>
    <row r="2" spans="2:4" ht="22" x14ac:dyDescent="0.65">
      <c r="B2" s="781" t="s">
        <v>408</v>
      </c>
    </row>
    <row r="6" spans="2:4" ht="13" x14ac:dyDescent="0.3">
      <c r="B6" s="782" t="s">
        <v>206</v>
      </c>
    </row>
    <row r="7" spans="2:4" ht="25" x14ac:dyDescent="0.25">
      <c r="B7" s="1265" t="s">
        <v>1355</v>
      </c>
    </row>
    <row r="8" spans="2:4" x14ac:dyDescent="0.25">
      <c r="B8" s="783"/>
    </row>
    <row r="9" spans="2:4" x14ac:dyDescent="0.25">
      <c r="B9" s="783"/>
    </row>
    <row r="10" spans="2:4" ht="13" x14ac:dyDescent="0.3">
      <c r="B10" s="784" t="s">
        <v>207</v>
      </c>
    </row>
    <row r="11" spans="2:4" ht="37.5" x14ac:dyDescent="0.25">
      <c r="B11" s="1265" t="s">
        <v>1356</v>
      </c>
    </row>
    <row r="12" spans="2:4" x14ac:dyDescent="0.25">
      <c r="B12" s="209"/>
      <c r="D12" t="s">
        <v>1347</v>
      </c>
    </row>
    <row r="13" spans="2:4" x14ac:dyDescent="0.25">
      <c r="B13" s="783"/>
    </row>
    <row r="14" spans="2:4" ht="13" x14ac:dyDescent="0.3">
      <c r="B14" s="784" t="s">
        <v>208</v>
      </c>
    </row>
    <row r="15" spans="2:4" ht="25" x14ac:dyDescent="0.25">
      <c r="B15" s="1265" t="s">
        <v>1357</v>
      </c>
    </row>
    <row r="16" spans="2:4" x14ac:dyDescent="0.25">
      <c r="B16" s="783"/>
    </row>
    <row r="17" spans="2:2" x14ac:dyDescent="0.25">
      <c r="B17" s="783"/>
    </row>
    <row r="18" spans="2:2" ht="13" x14ac:dyDescent="0.3">
      <c r="B18" s="784" t="s">
        <v>209</v>
      </c>
    </row>
    <row r="19" spans="2:2" x14ac:dyDescent="0.25">
      <c r="B19" s="1265" t="s">
        <v>1358</v>
      </c>
    </row>
    <row r="20" spans="2:2" x14ac:dyDescent="0.25">
      <c r="B20" s="783"/>
    </row>
    <row r="21" spans="2:2" ht="13" x14ac:dyDescent="0.25">
      <c r="B21" s="785" t="s">
        <v>210</v>
      </c>
    </row>
    <row r="22" spans="2:2" x14ac:dyDescent="0.25">
      <c r="B22" s="1470" t="s">
        <v>1359</v>
      </c>
    </row>
    <row r="23" spans="2:2" x14ac:dyDescent="0.25">
      <c r="B23" s="1470" t="s">
        <v>1360</v>
      </c>
    </row>
    <row r="24" spans="2:2" x14ac:dyDescent="0.25">
      <c r="B24" s="1470" t="s">
        <v>1361</v>
      </c>
    </row>
    <row r="25" spans="2:2" ht="25" x14ac:dyDescent="0.25">
      <c r="B25" s="1470" t="s">
        <v>1362</v>
      </c>
    </row>
    <row r="26" spans="2:2" x14ac:dyDescent="0.25">
      <c r="B26" s="1470" t="s">
        <v>1360</v>
      </c>
    </row>
    <row r="27" spans="2:2" x14ac:dyDescent="0.25">
      <c r="B27" s="1470" t="s">
        <v>1363</v>
      </c>
    </row>
    <row r="28" spans="2:2" x14ac:dyDescent="0.25">
      <c r="B28" s="991"/>
    </row>
    <row r="76" ht="81" customHeight="1" x14ac:dyDescent="0.25"/>
    <row r="78" ht="97.5" customHeight="1" x14ac:dyDescent="0.25"/>
    <row r="80" ht="68.25" customHeight="1" x14ac:dyDescent="0.25"/>
    <row r="82" ht="63" customHeight="1" x14ac:dyDescent="0.25"/>
    <row r="84" ht="63.75" customHeight="1" x14ac:dyDescent="0.25"/>
    <row r="86" ht="37.5" customHeight="1" x14ac:dyDescent="0.25"/>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H55"/>
  <sheetViews>
    <sheetView topLeftCell="B1" zoomScaleNormal="100" workbookViewId="0">
      <selection activeCell="B26" sqref="B26"/>
    </sheetView>
  </sheetViews>
  <sheetFormatPr defaultRowHeight="12.5" x14ac:dyDescent="0.25"/>
  <cols>
    <col min="2" max="2" width="114" customWidth="1"/>
    <col min="3" max="3" width="18.54296875" customWidth="1"/>
    <col min="4" max="4" width="27.453125" customWidth="1"/>
    <col min="5" max="5" width="38" customWidth="1"/>
    <col min="6" max="7" width="18.54296875" customWidth="1"/>
    <col min="8" max="8" width="78" customWidth="1"/>
    <col min="9" max="11" width="25" customWidth="1"/>
    <col min="13" max="13" width="38.81640625" customWidth="1"/>
    <col min="14" max="15" width="22.54296875" customWidth="1"/>
    <col min="16" max="16" width="44.453125" customWidth="1"/>
    <col min="254" max="254" width="10.1796875" customWidth="1"/>
    <col min="255" max="255" width="12" customWidth="1"/>
    <col min="256" max="256" width="17.81640625" customWidth="1"/>
    <col min="257" max="257" width="17.26953125" customWidth="1"/>
    <col min="258" max="259" width="31" customWidth="1"/>
    <col min="260" max="263" width="25.1796875" customWidth="1"/>
    <col min="510" max="510" width="10.1796875" customWidth="1"/>
    <col min="511" max="511" width="12" customWidth="1"/>
    <col min="512" max="512" width="17.81640625" customWidth="1"/>
    <col min="513" max="513" width="17.26953125" customWidth="1"/>
    <col min="514" max="515" width="31" customWidth="1"/>
    <col min="516" max="519" width="25.1796875" customWidth="1"/>
    <col min="766" max="766" width="10.1796875" customWidth="1"/>
    <col min="767" max="767" width="12" customWidth="1"/>
    <col min="768" max="768" width="17.81640625" customWidth="1"/>
    <col min="769" max="769" width="17.26953125" customWidth="1"/>
    <col min="770" max="771" width="31" customWidth="1"/>
    <col min="772" max="775" width="25.1796875" customWidth="1"/>
    <col min="1022" max="1022" width="10.1796875" customWidth="1"/>
    <col min="1023" max="1023" width="12" customWidth="1"/>
    <col min="1024" max="1024" width="17.81640625" customWidth="1"/>
    <col min="1025" max="1025" width="17.26953125" customWidth="1"/>
    <col min="1026" max="1027" width="31" customWidth="1"/>
    <col min="1028" max="1031" width="25.1796875" customWidth="1"/>
    <col min="1278" max="1278" width="10.1796875" customWidth="1"/>
    <col min="1279" max="1279" width="12" customWidth="1"/>
    <col min="1280" max="1280" width="17.81640625" customWidth="1"/>
    <col min="1281" max="1281" width="17.26953125" customWidth="1"/>
    <col min="1282" max="1283" width="31" customWidth="1"/>
    <col min="1284" max="1287" width="25.1796875" customWidth="1"/>
    <col min="1534" max="1534" width="10.1796875" customWidth="1"/>
    <col min="1535" max="1535" width="12" customWidth="1"/>
    <col min="1536" max="1536" width="17.81640625" customWidth="1"/>
    <col min="1537" max="1537" width="17.26953125" customWidth="1"/>
    <col min="1538" max="1539" width="31" customWidth="1"/>
    <col min="1540" max="1543" width="25.1796875" customWidth="1"/>
    <col min="1790" max="1790" width="10.1796875" customWidth="1"/>
    <col min="1791" max="1791" width="12" customWidth="1"/>
    <col min="1792" max="1792" width="17.81640625" customWidth="1"/>
    <col min="1793" max="1793" width="17.26953125" customWidth="1"/>
    <col min="1794" max="1795" width="31" customWidth="1"/>
    <col min="1796" max="1799" width="25.1796875" customWidth="1"/>
    <col min="2046" max="2046" width="10.1796875" customWidth="1"/>
    <col min="2047" max="2047" width="12" customWidth="1"/>
    <col min="2048" max="2048" width="17.81640625" customWidth="1"/>
    <col min="2049" max="2049" width="17.26953125" customWidth="1"/>
    <col min="2050" max="2051" width="31" customWidth="1"/>
    <col min="2052" max="2055" width="25.1796875" customWidth="1"/>
    <col min="2302" max="2302" width="10.1796875" customWidth="1"/>
    <col min="2303" max="2303" width="12" customWidth="1"/>
    <col min="2304" max="2304" width="17.81640625" customWidth="1"/>
    <col min="2305" max="2305" width="17.26953125" customWidth="1"/>
    <col min="2306" max="2307" width="31" customWidth="1"/>
    <col min="2308" max="2311" width="25.1796875" customWidth="1"/>
    <col min="2558" max="2558" width="10.1796875" customWidth="1"/>
    <col min="2559" max="2559" width="12" customWidth="1"/>
    <col min="2560" max="2560" width="17.81640625" customWidth="1"/>
    <col min="2561" max="2561" width="17.26953125" customWidth="1"/>
    <col min="2562" max="2563" width="31" customWidth="1"/>
    <col min="2564" max="2567" width="25.1796875" customWidth="1"/>
    <col min="2814" max="2814" width="10.1796875" customWidth="1"/>
    <col min="2815" max="2815" width="12" customWidth="1"/>
    <col min="2816" max="2816" width="17.81640625" customWidth="1"/>
    <col min="2817" max="2817" width="17.26953125" customWidth="1"/>
    <col min="2818" max="2819" width="31" customWidth="1"/>
    <col min="2820" max="2823" width="25.1796875" customWidth="1"/>
    <col min="3070" max="3070" width="10.1796875" customWidth="1"/>
    <col min="3071" max="3071" width="12" customWidth="1"/>
    <col min="3072" max="3072" width="17.81640625" customWidth="1"/>
    <col min="3073" max="3073" width="17.26953125" customWidth="1"/>
    <col min="3074" max="3075" width="31" customWidth="1"/>
    <col min="3076" max="3079" width="25.1796875" customWidth="1"/>
    <col min="3326" max="3326" width="10.1796875" customWidth="1"/>
    <col min="3327" max="3327" width="12" customWidth="1"/>
    <col min="3328" max="3328" width="17.81640625" customWidth="1"/>
    <col min="3329" max="3329" width="17.26953125" customWidth="1"/>
    <col min="3330" max="3331" width="31" customWidth="1"/>
    <col min="3332" max="3335" width="25.1796875" customWidth="1"/>
    <col min="3582" max="3582" width="10.1796875" customWidth="1"/>
    <col min="3583" max="3583" width="12" customWidth="1"/>
    <col min="3584" max="3584" width="17.81640625" customWidth="1"/>
    <col min="3585" max="3585" width="17.26953125" customWidth="1"/>
    <col min="3586" max="3587" width="31" customWidth="1"/>
    <col min="3588" max="3591" width="25.1796875" customWidth="1"/>
    <col min="3838" max="3838" width="10.1796875" customWidth="1"/>
    <col min="3839" max="3839" width="12" customWidth="1"/>
    <col min="3840" max="3840" width="17.81640625" customWidth="1"/>
    <col min="3841" max="3841" width="17.26953125" customWidth="1"/>
    <col min="3842" max="3843" width="31" customWidth="1"/>
    <col min="3844" max="3847" width="25.1796875" customWidth="1"/>
    <col min="4094" max="4094" width="10.1796875" customWidth="1"/>
    <col min="4095" max="4095" width="12" customWidth="1"/>
    <col min="4096" max="4096" width="17.81640625" customWidth="1"/>
    <col min="4097" max="4097" width="17.26953125" customWidth="1"/>
    <col min="4098" max="4099" width="31" customWidth="1"/>
    <col min="4100" max="4103" width="25.1796875" customWidth="1"/>
    <col min="4350" max="4350" width="10.1796875" customWidth="1"/>
    <col min="4351" max="4351" width="12" customWidth="1"/>
    <col min="4352" max="4352" width="17.81640625" customWidth="1"/>
    <col min="4353" max="4353" width="17.26953125" customWidth="1"/>
    <col min="4354" max="4355" width="31" customWidth="1"/>
    <col min="4356" max="4359" width="25.1796875" customWidth="1"/>
    <col min="4606" max="4606" width="10.1796875" customWidth="1"/>
    <col min="4607" max="4607" width="12" customWidth="1"/>
    <col min="4608" max="4608" width="17.81640625" customWidth="1"/>
    <col min="4609" max="4609" width="17.26953125" customWidth="1"/>
    <col min="4610" max="4611" width="31" customWidth="1"/>
    <col min="4612" max="4615" width="25.1796875" customWidth="1"/>
    <col min="4862" max="4862" width="10.1796875" customWidth="1"/>
    <col min="4863" max="4863" width="12" customWidth="1"/>
    <col min="4864" max="4864" width="17.81640625" customWidth="1"/>
    <col min="4865" max="4865" width="17.26953125" customWidth="1"/>
    <col min="4866" max="4867" width="31" customWidth="1"/>
    <col min="4868" max="4871" width="25.1796875" customWidth="1"/>
    <col min="5118" max="5118" width="10.1796875" customWidth="1"/>
    <col min="5119" max="5119" width="12" customWidth="1"/>
    <col min="5120" max="5120" width="17.81640625" customWidth="1"/>
    <col min="5121" max="5121" width="17.26953125" customWidth="1"/>
    <col min="5122" max="5123" width="31" customWidth="1"/>
    <col min="5124" max="5127" width="25.1796875" customWidth="1"/>
    <col min="5374" max="5374" width="10.1796875" customWidth="1"/>
    <col min="5375" max="5375" width="12" customWidth="1"/>
    <col min="5376" max="5376" width="17.81640625" customWidth="1"/>
    <col min="5377" max="5377" width="17.26953125" customWidth="1"/>
    <col min="5378" max="5379" width="31" customWidth="1"/>
    <col min="5380" max="5383" width="25.1796875" customWidth="1"/>
    <col min="5630" max="5630" width="10.1796875" customWidth="1"/>
    <col min="5631" max="5631" width="12" customWidth="1"/>
    <col min="5632" max="5632" width="17.81640625" customWidth="1"/>
    <col min="5633" max="5633" width="17.26953125" customWidth="1"/>
    <col min="5634" max="5635" width="31" customWidth="1"/>
    <col min="5636" max="5639" width="25.1796875" customWidth="1"/>
    <col min="5886" max="5886" width="10.1796875" customWidth="1"/>
    <col min="5887" max="5887" width="12" customWidth="1"/>
    <col min="5888" max="5888" width="17.81640625" customWidth="1"/>
    <col min="5889" max="5889" width="17.26953125" customWidth="1"/>
    <col min="5890" max="5891" width="31" customWidth="1"/>
    <col min="5892" max="5895" width="25.1796875" customWidth="1"/>
    <col min="6142" max="6142" width="10.1796875" customWidth="1"/>
    <col min="6143" max="6143" width="12" customWidth="1"/>
    <col min="6144" max="6144" width="17.81640625" customWidth="1"/>
    <col min="6145" max="6145" width="17.26953125" customWidth="1"/>
    <col min="6146" max="6147" width="31" customWidth="1"/>
    <col min="6148" max="6151" width="25.1796875" customWidth="1"/>
    <col min="6398" max="6398" width="10.1796875" customWidth="1"/>
    <col min="6399" max="6399" width="12" customWidth="1"/>
    <col min="6400" max="6400" width="17.81640625" customWidth="1"/>
    <col min="6401" max="6401" width="17.26953125" customWidth="1"/>
    <col min="6402" max="6403" width="31" customWidth="1"/>
    <col min="6404" max="6407" width="25.1796875" customWidth="1"/>
    <col min="6654" max="6654" width="10.1796875" customWidth="1"/>
    <col min="6655" max="6655" width="12" customWidth="1"/>
    <col min="6656" max="6656" width="17.81640625" customWidth="1"/>
    <col min="6657" max="6657" width="17.26953125" customWidth="1"/>
    <col min="6658" max="6659" width="31" customWidth="1"/>
    <col min="6660" max="6663" width="25.1796875" customWidth="1"/>
    <col min="6910" max="6910" width="10.1796875" customWidth="1"/>
    <col min="6911" max="6911" width="12" customWidth="1"/>
    <col min="6912" max="6912" width="17.81640625" customWidth="1"/>
    <col min="6913" max="6913" width="17.26953125" customWidth="1"/>
    <col min="6914" max="6915" width="31" customWidth="1"/>
    <col min="6916" max="6919" width="25.1796875" customWidth="1"/>
    <col min="7166" max="7166" width="10.1796875" customWidth="1"/>
    <col min="7167" max="7167" width="12" customWidth="1"/>
    <col min="7168" max="7168" width="17.81640625" customWidth="1"/>
    <col min="7169" max="7169" width="17.26953125" customWidth="1"/>
    <col min="7170" max="7171" width="31" customWidth="1"/>
    <col min="7172" max="7175" width="25.1796875" customWidth="1"/>
    <col min="7422" max="7422" width="10.1796875" customWidth="1"/>
    <col min="7423" max="7423" width="12" customWidth="1"/>
    <col min="7424" max="7424" width="17.81640625" customWidth="1"/>
    <col min="7425" max="7425" width="17.26953125" customWidth="1"/>
    <col min="7426" max="7427" width="31" customWidth="1"/>
    <col min="7428" max="7431" width="25.1796875" customWidth="1"/>
    <col min="7678" max="7678" width="10.1796875" customWidth="1"/>
    <col min="7679" max="7679" width="12" customWidth="1"/>
    <col min="7680" max="7680" width="17.81640625" customWidth="1"/>
    <col min="7681" max="7681" width="17.26953125" customWidth="1"/>
    <col min="7682" max="7683" width="31" customWidth="1"/>
    <col min="7684" max="7687" width="25.1796875" customWidth="1"/>
    <col min="7934" max="7934" width="10.1796875" customWidth="1"/>
    <col min="7935" max="7935" width="12" customWidth="1"/>
    <col min="7936" max="7936" width="17.81640625" customWidth="1"/>
    <col min="7937" max="7937" width="17.26953125" customWidth="1"/>
    <col min="7938" max="7939" width="31" customWidth="1"/>
    <col min="7940" max="7943" width="25.1796875" customWidth="1"/>
    <col min="8190" max="8190" width="10.1796875" customWidth="1"/>
    <col min="8191" max="8191" width="12" customWidth="1"/>
    <col min="8192" max="8192" width="17.81640625" customWidth="1"/>
    <col min="8193" max="8193" width="17.26953125" customWidth="1"/>
    <col min="8194" max="8195" width="31" customWidth="1"/>
    <col min="8196" max="8199" width="25.1796875" customWidth="1"/>
    <col min="8446" max="8446" width="10.1796875" customWidth="1"/>
    <col min="8447" max="8447" width="12" customWidth="1"/>
    <col min="8448" max="8448" width="17.81640625" customWidth="1"/>
    <col min="8449" max="8449" width="17.26953125" customWidth="1"/>
    <col min="8450" max="8451" width="31" customWidth="1"/>
    <col min="8452" max="8455" width="25.1796875" customWidth="1"/>
    <col min="8702" max="8702" width="10.1796875" customWidth="1"/>
    <col min="8703" max="8703" width="12" customWidth="1"/>
    <col min="8704" max="8704" width="17.81640625" customWidth="1"/>
    <col min="8705" max="8705" width="17.26953125" customWidth="1"/>
    <col min="8706" max="8707" width="31" customWidth="1"/>
    <col min="8708" max="8711" width="25.1796875" customWidth="1"/>
    <col min="8958" max="8958" width="10.1796875" customWidth="1"/>
    <col min="8959" max="8959" width="12" customWidth="1"/>
    <col min="8960" max="8960" width="17.81640625" customWidth="1"/>
    <col min="8961" max="8961" width="17.26953125" customWidth="1"/>
    <col min="8962" max="8963" width="31" customWidth="1"/>
    <col min="8964" max="8967" width="25.1796875" customWidth="1"/>
    <col min="9214" max="9214" width="10.1796875" customWidth="1"/>
    <col min="9215" max="9215" width="12" customWidth="1"/>
    <col min="9216" max="9216" width="17.81640625" customWidth="1"/>
    <col min="9217" max="9217" width="17.26953125" customWidth="1"/>
    <col min="9218" max="9219" width="31" customWidth="1"/>
    <col min="9220" max="9223" width="25.1796875" customWidth="1"/>
    <col min="9470" max="9470" width="10.1796875" customWidth="1"/>
    <col min="9471" max="9471" width="12" customWidth="1"/>
    <col min="9472" max="9472" width="17.81640625" customWidth="1"/>
    <col min="9473" max="9473" width="17.26953125" customWidth="1"/>
    <col min="9474" max="9475" width="31" customWidth="1"/>
    <col min="9476" max="9479" width="25.1796875" customWidth="1"/>
    <col min="9726" max="9726" width="10.1796875" customWidth="1"/>
    <col min="9727" max="9727" width="12" customWidth="1"/>
    <col min="9728" max="9728" width="17.81640625" customWidth="1"/>
    <col min="9729" max="9729" width="17.26953125" customWidth="1"/>
    <col min="9730" max="9731" width="31" customWidth="1"/>
    <col min="9732" max="9735" width="25.1796875" customWidth="1"/>
    <col min="9982" max="9982" width="10.1796875" customWidth="1"/>
    <col min="9983" max="9983" width="12" customWidth="1"/>
    <col min="9984" max="9984" width="17.81640625" customWidth="1"/>
    <col min="9985" max="9985" width="17.26953125" customWidth="1"/>
    <col min="9986" max="9987" width="31" customWidth="1"/>
    <col min="9988" max="9991" width="25.1796875" customWidth="1"/>
    <col min="10238" max="10238" width="10.1796875" customWidth="1"/>
    <col min="10239" max="10239" width="12" customWidth="1"/>
    <col min="10240" max="10240" width="17.81640625" customWidth="1"/>
    <col min="10241" max="10241" width="17.26953125" customWidth="1"/>
    <col min="10242" max="10243" width="31" customWidth="1"/>
    <col min="10244" max="10247" width="25.1796875" customWidth="1"/>
    <col min="10494" max="10494" width="10.1796875" customWidth="1"/>
    <col min="10495" max="10495" width="12" customWidth="1"/>
    <col min="10496" max="10496" width="17.81640625" customWidth="1"/>
    <col min="10497" max="10497" width="17.26953125" customWidth="1"/>
    <col min="10498" max="10499" width="31" customWidth="1"/>
    <col min="10500" max="10503" width="25.1796875" customWidth="1"/>
    <col min="10750" max="10750" width="10.1796875" customWidth="1"/>
    <col min="10751" max="10751" width="12" customWidth="1"/>
    <col min="10752" max="10752" width="17.81640625" customWidth="1"/>
    <col min="10753" max="10753" width="17.26953125" customWidth="1"/>
    <col min="10754" max="10755" width="31" customWidth="1"/>
    <col min="10756" max="10759" width="25.1796875" customWidth="1"/>
    <col min="11006" max="11006" width="10.1796875" customWidth="1"/>
    <col min="11007" max="11007" width="12" customWidth="1"/>
    <col min="11008" max="11008" width="17.81640625" customWidth="1"/>
    <col min="11009" max="11009" width="17.26953125" customWidth="1"/>
    <col min="11010" max="11011" width="31" customWidth="1"/>
    <col min="11012" max="11015" width="25.1796875" customWidth="1"/>
    <col min="11262" max="11262" width="10.1796875" customWidth="1"/>
    <col min="11263" max="11263" width="12" customWidth="1"/>
    <col min="11264" max="11264" width="17.81640625" customWidth="1"/>
    <col min="11265" max="11265" width="17.26953125" customWidth="1"/>
    <col min="11266" max="11267" width="31" customWidth="1"/>
    <col min="11268" max="11271" width="25.1796875" customWidth="1"/>
    <col min="11518" max="11518" width="10.1796875" customWidth="1"/>
    <col min="11519" max="11519" width="12" customWidth="1"/>
    <col min="11520" max="11520" width="17.81640625" customWidth="1"/>
    <col min="11521" max="11521" width="17.26953125" customWidth="1"/>
    <col min="11522" max="11523" width="31" customWidth="1"/>
    <col min="11524" max="11527" width="25.1796875" customWidth="1"/>
    <col min="11774" max="11774" width="10.1796875" customWidth="1"/>
    <col min="11775" max="11775" width="12" customWidth="1"/>
    <col min="11776" max="11776" width="17.81640625" customWidth="1"/>
    <col min="11777" max="11777" width="17.26953125" customWidth="1"/>
    <col min="11778" max="11779" width="31" customWidth="1"/>
    <col min="11780" max="11783" width="25.1796875" customWidth="1"/>
    <col min="12030" max="12030" width="10.1796875" customWidth="1"/>
    <col min="12031" max="12031" width="12" customWidth="1"/>
    <col min="12032" max="12032" width="17.81640625" customWidth="1"/>
    <col min="12033" max="12033" width="17.26953125" customWidth="1"/>
    <col min="12034" max="12035" width="31" customWidth="1"/>
    <col min="12036" max="12039" width="25.1796875" customWidth="1"/>
    <col min="12286" max="12286" width="10.1796875" customWidth="1"/>
    <col min="12287" max="12287" width="12" customWidth="1"/>
    <col min="12288" max="12288" width="17.81640625" customWidth="1"/>
    <col min="12289" max="12289" width="17.26953125" customWidth="1"/>
    <col min="12290" max="12291" width="31" customWidth="1"/>
    <col min="12292" max="12295" width="25.1796875" customWidth="1"/>
    <col min="12542" max="12542" width="10.1796875" customWidth="1"/>
    <col min="12543" max="12543" width="12" customWidth="1"/>
    <col min="12544" max="12544" width="17.81640625" customWidth="1"/>
    <col min="12545" max="12545" width="17.26953125" customWidth="1"/>
    <col min="12546" max="12547" width="31" customWidth="1"/>
    <col min="12548" max="12551" width="25.1796875" customWidth="1"/>
    <col min="12798" max="12798" width="10.1796875" customWidth="1"/>
    <col min="12799" max="12799" width="12" customWidth="1"/>
    <col min="12800" max="12800" width="17.81640625" customWidth="1"/>
    <col min="12801" max="12801" width="17.26953125" customWidth="1"/>
    <col min="12802" max="12803" width="31" customWidth="1"/>
    <col min="12804" max="12807" width="25.1796875" customWidth="1"/>
    <col min="13054" max="13054" width="10.1796875" customWidth="1"/>
    <col min="13055" max="13055" width="12" customWidth="1"/>
    <col min="13056" max="13056" width="17.81640625" customWidth="1"/>
    <col min="13057" max="13057" width="17.26953125" customWidth="1"/>
    <col min="13058" max="13059" width="31" customWidth="1"/>
    <col min="13060" max="13063" width="25.1796875" customWidth="1"/>
    <col min="13310" max="13310" width="10.1796875" customWidth="1"/>
    <col min="13311" max="13311" width="12" customWidth="1"/>
    <col min="13312" max="13312" width="17.81640625" customWidth="1"/>
    <col min="13313" max="13313" width="17.26953125" customWidth="1"/>
    <col min="13314" max="13315" width="31" customWidth="1"/>
    <col min="13316" max="13319" width="25.1796875" customWidth="1"/>
    <col min="13566" max="13566" width="10.1796875" customWidth="1"/>
    <col min="13567" max="13567" width="12" customWidth="1"/>
    <col min="13568" max="13568" width="17.81640625" customWidth="1"/>
    <col min="13569" max="13569" width="17.26953125" customWidth="1"/>
    <col min="13570" max="13571" width="31" customWidth="1"/>
    <col min="13572" max="13575" width="25.1796875" customWidth="1"/>
    <col min="13822" max="13822" width="10.1796875" customWidth="1"/>
    <col min="13823" max="13823" width="12" customWidth="1"/>
    <col min="13824" max="13824" width="17.81640625" customWidth="1"/>
    <col min="13825" max="13825" width="17.26953125" customWidth="1"/>
    <col min="13826" max="13827" width="31" customWidth="1"/>
    <col min="13828" max="13831" width="25.1796875" customWidth="1"/>
    <col min="14078" max="14078" width="10.1796875" customWidth="1"/>
    <col min="14079" max="14079" width="12" customWidth="1"/>
    <col min="14080" max="14080" width="17.81640625" customWidth="1"/>
    <col min="14081" max="14081" width="17.26953125" customWidth="1"/>
    <col min="14082" max="14083" width="31" customWidth="1"/>
    <col min="14084" max="14087" width="25.1796875" customWidth="1"/>
    <col min="14334" max="14334" width="10.1796875" customWidth="1"/>
    <col min="14335" max="14335" width="12" customWidth="1"/>
    <col min="14336" max="14336" width="17.81640625" customWidth="1"/>
    <col min="14337" max="14337" width="17.26953125" customWidth="1"/>
    <col min="14338" max="14339" width="31" customWidth="1"/>
    <col min="14340" max="14343" width="25.1796875" customWidth="1"/>
    <col min="14590" max="14590" width="10.1796875" customWidth="1"/>
    <col min="14591" max="14591" width="12" customWidth="1"/>
    <col min="14592" max="14592" width="17.81640625" customWidth="1"/>
    <col min="14593" max="14593" width="17.26953125" customWidth="1"/>
    <col min="14594" max="14595" width="31" customWidth="1"/>
    <col min="14596" max="14599" width="25.1796875" customWidth="1"/>
    <col min="14846" max="14846" width="10.1796875" customWidth="1"/>
    <col min="14847" max="14847" width="12" customWidth="1"/>
    <col min="14848" max="14848" width="17.81640625" customWidth="1"/>
    <col min="14849" max="14849" width="17.26953125" customWidth="1"/>
    <col min="14850" max="14851" width="31" customWidth="1"/>
    <col min="14852" max="14855" width="25.1796875" customWidth="1"/>
    <col min="15102" max="15102" width="10.1796875" customWidth="1"/>
    <col min="15103" max="15103" width="12" customWidth="1"/>
    <col min="15104" max="15104" width="17.81640625" customWidth="1"/>
    <col min="15105" max="15105" width="17.26953125" customWidth="1"/>
    <col min="15106" max="15107" width="31" customWidth="1"/>
    <col min="15108" max="15111" width="25.1796875" customWidth="1"/>
    <col min="15358" max="15358" width="10.1796875" customWidth="1"/>
    <col min="15359" max="15359" width="12" customWidth="1"/>
    <col min="15360" max="15360" width="17.81640625" customWidth="1"/>
    <col min="15361" max="15361" width="17.26953125" customWidth="1"/>
    <col min="15362" max="15363" width="31" customWidth="1"/>
    <col min="15364" max="15367" width="25.1796875" customWidth="1"/>
    <col min="15614" max="15614" width="10.1796875" customWidth="1"/>
    <col min="15615" max="15615" width="12" customWidth="1"/>
    <col min="15616" max="15616" width="17.81640625" customWidth="1"/>
    <col min="15617" max="15617" width="17.26953125" customWidth="1"/>
    <col min="15618" max="15619" width="31" customWidth="1"/>
    <col min="15620" max="15623" width="25.1796875" customWidth="1"/>
    <col min="15870" max="15870" width="10.1796875" customWidth="1"/>
    <col min="15871" max="15871" width="12" customWidth="1"/>
    <col min="15872" max="15872" width="17.81640625" customWidth="1"/>
    <col min="15873" max="15873" width="17.26953125" customWidth="1"/>
    <col min="15874" max="15875" width="31" customWidth="1"/>
    <col min="15876" max="15879" width="25.1796875" customWidth="1"/>
    <col min="16126" max="16126" width="10.1796875" customWidth="1"/>
    <col min="16127" max="16127" width="12" customWidth="1"/>
    <col min="16128" max="16128" width="17.81640625" customWidth="1"/>
    <col min="16129" max="16129" width="17.26953125" customWidth="1"/>
    <col min="16130" max="16131" width="31" customWidth="1"/>
    <col min="16132" max="16135" width="25.1796875" customWidth="1"/>
  </cols>
  <sheetData>
    <row r="2" spans="2:8" ht="22" x14ac:dyDescent="0.65">
      <c r="B2" s="781" t="s">
        <v>409</v>
      </c>
    </row>
    <row r="6" spans="2:8" ht="13" x14ac:dyDescent="0.3">
      <c r="B6" s="782" t="s">
        <v>204</v>
      </c>
    </row>
    <row r="7" spans="2:8" ht="21" x14ac:dyDescent="0.3">
      <c r="B7" s="1471"/>
      <c r="D7" s="1555" t="s">
        <v>1364</v>
      </c>
      <c r="E7" s="1555"/>
      <c r="F7" s="1472"/>
      <c r="G7" s="1473" t="s">
        <v>1365</v>
      </c>
      <c r="H7" s="1474" t="s">
        <v>1366</v>
      </c>
    </row>
    <row r="8" spans="2:8" ht="14.5" x14ac:dyDescent="0.3">
      <c r="B8" s="1475"/>
      <c r="D8" s="1472"/>
      <c r="E8" s="1476"/>
      <c r="F8" s="1472"/>
      <c r="G8" s="1477" t="s">
        <v>1367</v>
      </c>
      <c r="H8" s="1474"/>
    </row>
    <row r="9" spans="2:8" ht="16.5" x14ac:dyDescent="0.45">
      <c r="B9" s="1475"/>
      <c r="D9" s="1478"/>
      <c r="E9" s="1479" t="s">
        <v>1368</v>
      </c>
      <c r="F9" s="1480" t="s">
        <v>415</v>
      </c>
      <c r="G9" s="1480">
        <v>450</v>
      </c>
      <c r="H9" s="1481" t="s">
        <v>1369</v>
      </c>
    </row>
    <row r="10" spans="2:8" ht="14.5" x14ac:dyDescent="0.35">
      <c r="B10" s="1475"/>
      <c r="D10" s="1482" t="s">
        <v>1370</v>
      </c>
      <c r="E10" s="1483"/>
      <c r="F10" s="1484"/>
      <c r="G10" s="1485"/>
      <c r="H10" s="1486"/>
    </row>
    <row r="11" spans="2:8" ht="16.5" x14ac:dyDescent="0.35">
      <c r="B11" s="1475"/>
      <c r="D11" s="1487"/>
      <c r="E11" s="1488" t="s">
        <v>1371</v>
      </c>
      <c r="F11" s="1480" t="s">
        <v>1372</v>
      </c>
      <c r="G11" s="1480">
        <v>1.75</v>
      </c>
      <c r="H11" s="1489" t="s">
        <v>1373</v>
      </c>
    </row>
    <row r="12" spans="2:8" ht="14.5" x14ac:dyDescent="0.35">
      <c r="B12" s="1475"/>
      <c r="D12" s="1490"/>
      <c r="E12" s="1491" t="s">
        <v>1374</v>
      </c>
      <c r="F12" s="1492" t="s">
        <v>1375</v>
      </c>
      <c r="G12" s="1493">
        <f>1.23/G11</f>
        <v>0.70285714285714285</v>
      </c>
      <c r="H12" s="1494" t="s">
        <v>1376</v>
      </c>
    </row>
    <row r="13" spans="2:8" ht="16.5" x14ac:dyDescent="0.35">
      <c r="B13" s="1475"/>
      <c r="D13" s="1487"/>
      <c r="E13" s="1488" t="s">
        <v>1377</v>
      </c>
      <c r="F13" s="1480" t="s">
        <v>1378</v>
      </c>
      <c r="G13" s="1495">
        <v>0.03</v>
      </c>
      <c r="H13" s="1489" t="s">
        <v>1379</v>
      </c>
    </row>
    <row r="14" spans="2:8" ht="31" x14ac:dyDescent="0.35">
      <c r="B14" s="1475"/>
      <c r="D14" s="1490"/>
      <c r="E14" s="1491" t="s">
        <v>1380</v>
      </c>
      <c r="F14" s="1492" t="s">
        <v>1378</v>
      </c>
      <c r="G14" s="1496">
        <v>7.0000000000000001E-3</v>
      </c>
      <c r="H14" s="1494" t="s">
        <v>1381</v>
      </c>
    </row>
    <row r="15" spans="2:8" ht="16.5" x14ac:dyDescent="0.25">
      <c r="B15" s="1475"/>
      <c r="D15" s="1487"/>
      <c r="E15" s="1488" t="s">
        <v>1382</v>
      </c>
      <c r="F15" s="1498" t="s">
        <v>1383</v>
      </c>
      <c r="G15" s="1499">
        <f>1/(1-G13)/(1-G14)/G12*33.33</f>
        <v>49.231976108343019</v>
      </c>
      <c r="H15" s="1500" t="s">
        <v>1384</v>
      </c>
    </row>
    <row r="16" spans="2:8" ht="14.5" x14ac:dyDescent="0.35">
      <c r="B16" s="1475"/>
      <c r="D16" s="1501" t="s">
        <v>1385</v>
      </c>
      <c r="E16" s="1501"/>
      <c r="F16" s="1484"/>
      <c r="G16" s="1485"/>
      <c r="H16" s="1502"/>
    </row>
    <row r="17" spans="2:8" ht="14.5" x14ac:dyDescent="0.25">
      <c r="B17" s="1475"/>
      <c r="D17" s="1490"/>
      <c r="E17" s="1491" t="s">
        <v>1386</v>
      </c>
      <c r="F17" s="1492" t="s">
        <v>1387</v>
      </c>
      <c r="G17" s="1503">
        <v>0.95</v>
      </c>
      <c r="H17" s="1504" t="s">
        <v>1388</v>
      </c>
    </row>
    <row r="18" spans="2:8" ht="16.5" x14ac:dyDescent="0.25">
      <c r="B18" s="1475"/>
      <c r="D18" s="1487"/>
      <c r="E18" s="1488" t="s">
        <v>1389</v>
      </c>
      <c r="F18" s="1480" t="s">
        <v>1390</v>
      </c>
      <c r="G18" s="1505">
        <f>G15/G17-G15</f>
        <v>2.591156637281216</v>
      </c>
      <c r="H18" s="1506"/>
    </row>
    <row r="19" spans="2:8" ht="16.5" x14ac:dyDescent="0.25">
      <c r="B19" s="1497"/>
      <c r="D19" s="1490"/>
      <c r="E19" s="1491" t="s">
        <v>1391</v>
      </c>
      <c r="F19" s="1492" t="s">
        <v>1392</v>
      </c>
      <c r="G19" s="1507">
        <f>21.3/(1500/24)</f>
        <v>0.34079999999999999</v>
      </c>
      <c r="H19" s="1504" t="s">
        <v>1393</v>
      </c>
    </row>
    <row r="20" spans="2:8" ht="16.5" x14ac:dyDescent="0.25">
      <c r="B20" s="783"/>
      <c r="D20" s="1487"/>
      <c r="E20" s="1488" t="s">
        <v>1394</v>
      </c>
      <c r="F20" s="1480" t="s">
        <v>1395</v>
      </c>
      <c r="G20" s="1505">
        <v>3.67</v>
      </c>
      <c r="H20" s="1508" t="s">
        <v>1396</v>
      </c>
    </row>
    <row r="21" spans="2:8" ht="16.5" x14ac:dyDescent="0.25">
      <c r="B21" s="783"/>
      <c r="D21" s="1490"/>
      <c r="E21" s="1491" t="s">
        <v>1397</v>
      </c>
      <c r="F21" s="1492" t="s">
        <v>1390</v>
      </c>
      <c r="G21" s="1507">
        <f>G19*G20</f>
        <v>1.2507359999999998</v>
      </c>
      <c r="H21" s="1509"/>
    </row>
    <row r="22" spans="2:8" ht="16.5" x14ac:dyDescent="0.25">
      <c r="B22" s="783"/>
      <c r="D22" s="1487"/>
      <c r="E22" s="1488" t="s">
        <v>1398</v>
      </c>
      <c r="F22" s="1480" t="s">
        <v>1390</v>
      </c>
      <c r="G22" s="1480">
        <v>1.2</v>
      </c>
      <c r="H22" s="1508" t="s">
        <v>1399</v>
      </c>
    </row>
    <row r="23" spans="2:8" ht="16.5" x14ac:dyDescent="0.3">
      <c r="B23" s="783"/>
      <c r="D23" s="1490"/>
      <c r="E23" s="1491" t="s">
        <v>1400</v>
      </c>
      <c r="F23" s="1510" t="s">
        <v>1401</v>
      </c>
      <c r="G23" s="1511">
        <f>G18+G21+G22</f>
        <v>5.0418926372812161</v>
      </c>
      <c r="H23" s="1512"/>
    </row>
    <row r="24" spans="2:8" ht="14.5" x14ac:dyDescent="0.35">
      <c r="B24" s="783"/>
      <c r="D24" s="1501" t="s">
        <v>1402</v>
      </c>
      <c r="E24" s="1501"/>
      <c r="F24" s="1484"/>
      <c r="G24" s="1485"/>
      <c r="H24" s="1502"/>
    </row>
    <row r="25" spans="2:8" ht="16.5" x14ac:dyDescent="0.25">
      <c r="B25" s="783"/>
      <c r="D25" s="1487"/>
      <c r="E25" s="1488" t="s">
        <v>1370</v>
      </c>
      <c r="F25" s="1498" t="s">
        <v>1403</v>
      </c>
      <c r="G25" s="1499">
        <f>G15</f>
        <v>49.231976108343019</v>
      </c>
      <c r="H25" s="1508"/>
    </row>
    <row r="26" spans="2:8" ht="16.5" x14ac:dyDescent="0.3">
      <c r="B26" s="783"/>
      <c r="D26" s="1490"/>
      <c r="E26" s="1491" t="s">
        <v>1404</v>
      </c>
      <c r="F26" s="1510" t="s">
        <v>1405</v>
      </c>
      <c r="G26" s="1511">
        <f>G23</f>
        <v>5.0418926372812161</v>
      </c>
      <c r="H26" s="1512"/>
    </row>
    <row r="27" spans="2:8" ht="16.5" x14ac:dyDescent="0.45">
      <c r="B27" s="783"/>
      <c r="D27" s="1482" t="s">
        <v>1406</v>
      </c>
      <c r="E27" s="1513"/>
      <c r="F27" s="1514" t="s">
        <v>1407</v>
      </c>
      <c r="G27" s="1515">
        <f>G15+G23</f>
        <v>54.273868745624235</v>
      </c>
      <c r="H27" s="1486"/>
    </row>
    <row r="28" spans="2:8" x14ac:dyDescent="0.25">
      <c r="B28" s="783"/>
    </row>
    <row r="29" spans="2:8" x14ac:dyDescent="0.25">
      <c r="B29" s="783"/>
    </row>
    <row r="30" spans="2:8" ht="13" x14ac:dyDescent="0.3">
      <c r="B30" s="784" t="s">
        <v>205</v>
      </c>
    </row>
    <row r="31" spans="2:8" x14ac:dyDescent="0.25">
      <c r="B31" s="1265"/>
    </row>
    <row r="32" spans="2:8" x14ac:dyDescent="0.25">
      <c r="B32" s="209"/>
    </row>
    <row r="33" spans="2:8" x14ac:dyDescent="0.25">
      <c r="B33" s="783"/>
    </row>
    <row r="41" spans="2:8" x14ac:dyDescent="0.25">
      <c r="C41" s="548"/>
      <c r="D41" s="548"/>
      <c r="E41" s="548"/>
      <c r="F41" s="548"/>
      <c r="G41" s="548"/>
      <c r="H41" s="548"/>
    </row>
    <row r="42" spans="2:8" x14ac:dyDescent="0.25">
      <c r="C42" s="548"/>
      <c r="D42" s="548"/>
      <c r="E42" s="548"/>
      <c r="F42" s="548"/>
      <c r="G42" s="548"/>
      <c r="H42" s="548"/>
    </row>
    <row r="43" spans="2:8" x14ac:dyDescent="0.25">
      <c r="C43" s="548"/>
      <c r="D43" s="548"/>
      <c r="E43" s="548"/>
      <c r="F43" s="548"/>
      <c r="G43" s="548"/>
      <c r="H43" s="548"/>
    </row>
    <row r="44" spans="2:8" x14ac:dyDescent="0.25">
      <c r="C44" s="548"/>
      <c r="D44" s="548"/>
      <c r="E44" s="548"/>
      <c r="F44" s="548"/>
      <c r="G44" s="548"/>
      <c r="H44" s="548"/>
    </row>
    <row r="45" spans="2:8" x14ac:dyDescent="0.25">
      <c r="C45" s="548"/>
      <c r="D45" s="548"/>
      <c r="E45" s="548"/>
      <c r="F45" s="548"/>
      <c r="G45" s="548"/>
      <c r="H45" s="548"/>
    </row>
    <row r="46" spans="2:8" x14ac:dyDescent="0.25">
      <c r="C46" s="548"/>
      <c r="D46" s="548"/>
      <c r="E46" s="548"/>
      <c r="F46" s="548"/>
      <c r="G46" s="548"/>
      <c r="H46" s="548"/>
    </row>
    <row r="47" spans="2:8" x14ac:dyDescent="0.25">
      <c r="C47" s="548"/>
      <c r="D47" s="548"/>
      <c r="E47" s="548"/>
      <c r="F47" s="548"/>
      <c r="G47" s="548"/>
      <c r="H47" s="548"/>
    </row>
    <row r="48" spans="2:8" x14ac:dyDescent="0.25">
      <c r="C48" s="548"/>
      <c r="D48" s="548"/>
      <c r="E48" s="548"/>
      <c r="F48" s="548"/>
      <c r="G48" s="548"/>
      <c r="H48" s="548"/>
    </row>
    <row r="49" spans="3:8" x14ac:dyDescent="0.25">
      <c r="C49" s="548"/>
      <c r="D49" s="548"/>
      <c r="E49" s="548"/>
      <c r="F49" s="548"/>
      <c r="G49" s="548"/>
      <c r="H49" s="548"/>
    </row>
    <row r="50" spans="3:8" x14ac:dyDescent="0.25">
      <c r="C50" s="548"/>
      <c r="D50" s="548"/>
      <c r="E50" s="548"/>
      <c r="F50" s="548"/>
      <c r="G50" s="548"/>
      <c r="H50" s="548"/>
    </row>
    <row r="51" spans="3:8" x14ac:dyDescent="0.25">
      <c r="C51" s="548"/>
      <c r="D51" s="548"/>
      <c r="E51" s="548"/>
      <c r="F51" s="548"/>
      <c r="G51" s="548"/>
      <c r="H51" s="548"/>
    </row>
    <row r="52" spans="3:8" x14ac:dyDescent="0.25">
      <c r="C52" s="550"/>
      <c r="D52" s="550"/>
      <c r="E52" s="550"/>
      <c r="F52" s="550"/>
      <c r="G52" s="550"/>
      <c r="H52" s="550"/>
    </row>
    <row r="53" spans="3:8" x14ac:dyDescent="0.25">
      <c r="C53" s="548"/>
      <c r="D53" s="548"/>
      <c r="E53" s="548"/>
      <c r="F53" s="548"/>
      <c r="G53" s="548"/>
      <c r="H53" s="548"/>
    </row>
    <row r="54" spans="3:8" x14ac:dyDescent="0.25">
      <c r="C54" s="548"/>
      <c r="D54" s="548"/>
      <c r="E54" s="548"/>
      <c r="F54" s="548"/>
      <c r="G54" s="548"/>
      <c r="H54" s="548"/>
    </row>
    <row r="55" spans="3:8" x14ac:dyDescent="0.25">
      <c r="C55" s="548"/>
      <c r="D55" s="548"/>
      <c r="E55" s="548"/>
      <c r="F55" s="548"/>
      <c r="G55" s="548"/>
      <c r="H55" s="548"/>
    </row>
  </sheetData>
  <mergeCells count="1">
    <mergeCell ref="D7:E7"/>
  </mergeCells>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K221"/>
  <sheetViews>
    <sheetView zoomScaleNormal="100" workbookViewId="0">
      <pane ySplit="7" topLeftCell="A23" activePane="bottomLeft" state="frozen"/>
      <selection pane="bottomLeft" activeCell="C32" sqref="C32"/>
    </sheetView>
  </sheetViews>
  <sheetFormatPr defaultColWidth="9.1796875" defaultRowHeight="12.5" x14ac:dyDescent="0.25"/>
  <cols>
    <col min="1" max="1" width="4.453125" style="463" customWidth="1"/>
    <col min="2" max="2" width="62.81640625" style="29" customWidth="1"/>
    <col min="3" max="3" width="21.1796875" style="29" customWidth="1"/>
    <col min="4" max="4" width="20.1796875" style="29" customWidth="1"/>
    <col min="5" max="5" width="24.26953125" style="29" customWidth="1"/>
    <col min="6" max="6" width="21.81640625" style="29" customWidth="1"/>
    <col min="7" max="7" width="16.26953125" style="29" customWidth="1"/>
    <col min="8" max="8" width="33.7265625" style="29" bestFit="1" customWidth="1"/>
    <col min="9" max="9" width="38" style="29" bestFit="1" customWidth="1"/>
    <col min="10" max="10" width="47.26953125" style="29" customWidth="1"/>
    <col min="11" max="11" width="18.453125" style="29" customWidth="1"/>
    <col min="12" max="16384" width="9.1796875" style="29"/>
  </cols>
  <sheetData>
    <row r="1" spans="1:8" ht="8.5" customHeight="1" thickBot="1" x14ac:dyDescent="0.3">
      <c r="A1" s="982" t="s">
        <v>1287</v>
      </c>
    </row>
    <row r="2" spans="1:8" ht="27" customHeight="1" thickBot="1" x14ac:dyDescent="0.3">
      <c r="A2" s="464"/>
      <c r="B2" s="1572" t="s">
        <v>1434</v>
      </c>
      <c r="C2" s="1573"/>
      <c r="D2" s="1573"/>
      <c r="E2" s="1574"/>
      <c r="F2" s="1574"/>
      <c r="G2" s="1575"/>
    </row>
    <row r="3" spans="1:8" ht="19.899999999999999" customHeight="1" thickBot="1" x14ac:dyDescent="0.3">
      <c r="A3" s="464" t="s">
        <v>1041</v>
      </c>
      <c r="B3" s="1576" t="s">
        <v>1426</v>
      </c>
      <c r="C3" s="1577"/>
      <c r="D3" s="1578"/>
      <c r="E3" s="318"/>
      <c r="F3" s="319"/>
      <c r="G3" s="320"/>
    </row>
    <row r="4" spans="1:8" ht="6.65" customHeight="1" thickBot="1" x14ac:dyDescent="0.3">
      <c r="A4" s="464"/>
      <c r="B4" s="503"/>
      <c r="C4" s="504"/>
      <c r="D4" s="1579"/>
      <c r="E4" s="1579"/>
      <c r="F4" s="495"/>
      <c r="G4" s="496"/>
    </row>
    <row r="5" spans="1:8" ht="22.5" thickTop="1" x14ac:dyDescent="0.25">
      <c r="A5" s="464"/>
      <c r="B5" s="775" t="s">
        <v>1066</v>
      </c>
      <c r="C5" s="776"/>
      <c r="D5" s="777"/>
      <c r="E5" s="777"/>
      <c r="F5" s="498"/>
      <c r="G5" s="500"/>
    </row>
    <row r="6" spans="1:8" ht="21" customHeight="1" x14ac:dyDescent="0.25">
      <c r="A6" s="464"/>
      <c r="B6" s="1241" t="s">
        <v>203</v>
      </c>
      <c r="C6" s="504"/>
      <c r="D6" s="1197"/>
      <c r="E6" s="1197"/>
      <c r="F6" s="495"/>
      <c r="G6" s="496"/>
    </row>
    <row r="7" spans="1:8" ht="20" x14ac:dyDescent="0.25">
      <c r="A7" s="464"/>
      <c r="B7" s="1242"/>
      <c r="C7" s="504"/>
      <c r="D7" s="771"/>
      <c r="E7" s="771"/>
      <c r="F7" s="495"/>
      <c r="G7" s="496"/>
    </row>
    <row r="8" spans="1:8" ht="29.25" customHeight="1" x14ac:dyDescent="0.25">
      <c r="A8" s="464"/>
      <c r="B8" s="1241" t="s">
        <v>198</v>
      </c>
      <c r="C8" s="504"/>
      <c r="D8" s="1124"/>
      <c r="E8" s="1124"/>
      <c r="F8" s="495"/>
      <c r="G8" s="496"/>
    </row>
    <row r="9" spans="1:8" ht="20" x14ac:dyDescent="0.25">
      <c r="A9" s="464"/>
      <c r="B9" s="1242"/>
      <c r="C9" s="504"/>
      <c r="D9" s="504"/>
      <c r="E9" s="504"/>
      <c r="F9" s="495"/>
      <c r="G9" s="496"/>
    </row>
    <row r="10" spans="1:8" ht="20" x14ac:dyDescent="0.25">
      <c r="A10" s="464"/>
      <c r="B10" s="1241" t="s">
        <v>197</v>
      </c>
      <c r="C10" s="504"/>
      <c r="D10" s="504"/>
      <c r="E10" s="504"/>
      <c r="F10" s="495"/>
      <c r="G10" s="496"/>
    </row>
    <row r="11" spans="1:8" ht="20" x14ac:dyDescent="0.25">
      <c r="A11" s="464"/>
      <c r="B11" s="503"/>
      <c r="C11" s="504"/>
      <c r="D11" s="504"/>
      <c r="E11" s="504"/>
      <c r="F11" s="495"/>
      <c r="G11" s="496"/>
    </row>
    <row r="12" spans="1:8" ht="20" x14ac:dyDescent="0.25">
      <c r="A12" s="464"/>
      <c r="B12" s="503"/>
      <c r="C12" s="504"/>
      <c r="D12" s="504"/>
      <c r="E12" s="504"/>
      <c r="F12" s="495"/>
      <c r="G12" s="496"/>
    </row>
    <row r="13" spans="1:8" ht="20" x14ac:dyDescent="0.25">
      <c r="A13" s="464"/>
      <c r="B13" s="503"/>
      <c r="C13" s="504"/>
      <c r="D13" s="504"/>
      <c r="E13" s="504"/>
      <c r="F13" s="495"/>
      <c r="G13" s="496"/>
    </row>
    <row r="14" spans="1:8" ht="20" x14ac:dyDescent="0.25">
      <c r="A14" s="464"/>
      <c r="B14" s="830" t="s">
        <v>322</v>
      </c>
      <c r="C14" s="504"/>
      <c r="D14" s="504"/>
      <c r="E14" s="504"/>
      <c r="F14" s="504"/>
      <c r="G14" s="496"/>
    </row>
    <row r="15" spans="1:8" ht="20" x14ac:dyDescent="0.25">
      <c r="A15" s="464"/>
      <c r="B15" s="830" t="s">
        <v>372</v>
      </c>
      <c r="C15" s="504"/>
      <c r="D15" s="504"/>
      <c r="E15" s="504"/>
      <c r="F15" s="504"/>
      <c r="G15" s="496"/>
    </row>
    <row r="16" spans="1:8" ht="20" x14ac:dyDescent="0.25">
      <c r="A16" s="464"/>
      <c r="B16" s="830" t="s">
        <v>143</v>
      </c>
      <c r="C16" s="504"/>
      <c r="D16" s="504"/>
      <c r="E16" s="504"/>
      <c r="F16" s="504"/>
      <c r="G16" s="496"/>
      <c r="H16" s="1193" t="s">
        <v>1177</v>
      </c>
    </row>
    <row r="17" spans="1:8" ht="20" x14ac:dyDescent="0.25">
      <c r="A17" s="464"/>
      <c r="B17" s="830" t="s">
        <v>950</v>
      </c>
      <c r="C17" s="504"/>
      <c r="D17" s="504"/>
      <c r="E17" s="504"/>
      <c r="F17" s="504"/>
      <c r="G17" s="496"/>
      <c r="H17" s="1194">
        <f ca="1">+NPV</f>
        <v>6.9541155607373743E-7</v>
      </c>
    </row>
    <row r="18" spans="1:8" ht="20" x14ac:dyDescent="0.25">
      <c r="A18" s="464"/>
      <c r="B18" s="830" t="s">
        <v>354</v>
      </c>
      <c r="C18" s="504"/>
      <c r="D18" s="504"/>
      <c r="E18" s="504"/>
      <c r="F18" s="504"/>
      <c r="G18" s="496"/>
    </row>
    <row r="19" spans="1:8" ht="20" x14ac:dyDescent="0.25">
      <c r="A19" s="464"/>
      <c r="B19" s="830" t="s">
        <v>951</v>
      </c>
      <c r="C19" s="504"/>
      <c r="D19" s="504"/>
      <c r="E19" s="504"/>
      <c r="F19" s="504"/>
      <c r="G19" s="496"/>
    </row>
    <row r="20" spans="1:8" ht="20" x14ac:dyDescent="0.25">
      <c r="A20" s="464"/>
      <c r="B20" s="830" t="s">
        <v>952</v>
      </c>
      <c r="C20" s="504"/>
      <c r="D20" s="504"/>
      <c r="E20" s="504"/>
      <c r="F20" s="504"/>
      <c r="G20" s="496"/>
    </row>
    <row r="21" spans="1:8" ht="5.5" customHeight="1" x14ac:dyDescent="0.25">
      <c r="A21" s="464"/>
      <c r="B21" s="828"/>
      <c r="C21" s="504"/>
      <c r="D21" s="771"/>
      <c r="E21" s="771"/>
      <c r="F21" s="495"/>
      <c r="G21" s="496"/>
    </row>
    <row r="22" spans="1:8" ht="5.5" customHeight="1" x14ac:dyDescent="0.25">
      <c r="A22" s="464"/>
      <c r="E22" s="771"/>
      <c r="F22" s="495"/>
      <c r="G22" s="496"/>
    </row>
    <row r="23" spans="1:8" ht="5.5" customHeight="1" thickBot="1" x14ac:dyDescent="0.3">
      <c r="A23" s="464"/>
      <c r="B23" s="503"/>
      <c r="C23" s="504"/>
      <c r="D23" s="771"/>
      <c r="E23" s="771"/>
      <c r="F23" s="495"/>
      <c r="G23" s="496"/>
    </row>
    <row r="24" spans="1:8" ht="31.5" customHeight="1" thickTop="1" thickBot="1" x14ac:dyDescent="0.3">
      <c r="A24" s="464"/>
      <c r="B24" s="497" t="s">
        <v>322</v>
      </c>
      <c r="C24" s="499"/>
      <c r="D24" s="499"/>
      <c r="E24" s="1558" t="s">
        <v>441</v>
      </c>
      <c r="F24" s="1558"/>
      <c r="G24" s="1559"/>
    </row>
    <row r="25" spans="1:8" ht="17.149999999999999" customHeight="1" thickBot="1" x14ac:dyDescent="0.3">
      <c r="A25" s="464" t="s">
        <v>8</v>
      </c>
      <c r="B25" s="321" t="s">
        <v>334</v>
      </c>
      <c r="C25" s="855">
        <f ca="1">0.97*sensitivity_01</f>
        <v>0.97</v>
      </c>
      <c r="D25" s="470"/>
      <c r="E25" s="1565"/>
      <c r="F25" s="1565"/>
      <c r="G25" s="1566"/>
    </row>
    <row r="26" spans="1:8" ht="17.149999999999999" customHeight="1" thickBot="1" x14ac:dyDescent="0.3">
      <c r="A26" s="464" t="s">
        <v>26</v>
      </c>
      <c r="B26" s="321" t="s">
        <v>335</v>
      </c>
      <c r="C26" s="555">
        <f ca="1">50000*sensitivity_02</f>
        <v>50000</v>
      </c>
      <c r="D26" s="470"/>
      <c r="E26" s="1565"/>
      <c r="F26" s="1565"/>
      <c r="G26" s="1566"/>
    </row>
    <row r="27" spans="1:8" ht="17.149999999999999" customHeight="1" thickBot="1" x14ac:dyDescent="0.3">
      <c r="A27" s="464"/>
      <c r="B27" s="321" t="s">
        <v>430</v>
      </c>
      <c r="C27" s="856">
        <f ca="1">design_cap*cap_factor</f>
        <v>48500</v>
      </c>
      <c r="D27" s="470"/>
      <c r="E27" s="242"/>
      <c r="F27" s="242"/>
      <c r="G27" s="552"/>
    </row>
    <row r="28" spans="1:8" ht="17.149999999999999" customHeight="1" thickBot="1" x14ac:dyDescent="0.3">
      <c r="A28" s="464" t="s">
        <v>1008</v>
      </c>
      <c r="B28" s="321" t="s">
        <v>20</v>
      </c>
      <c r="C28" s="501">
        <f ca="1">output_kgpday*365</f>
        <v>17702500</v>
      </c>
      <c r="D28" s="470"/>
      <c r="E28" s="1569"/>
      <c r="F28" s="1565"/>
      <c r="G28" s="1566"/>
    </row>
    <row r="29" spans="1:8" ht="20.149999999999999" customHeight="1" thickTop="1" thickBot="1" x14ac:dyDescent="0.3">
      <c r="A29" s="464"/>
      <c r="B29" s="497" t="s">
        <v>372</v>
      </c>
      <c r="C29" s="499"/>
      <c r="D29" s="502"/>
      <c r="E29" s="1558" t="s">
        <v>1098</v>
      </c>
      <c r="F29" s="1558"/>
      <c r="G29" s="1559"/>
    </row>
    <row r="30" spans="1:8" ht="17.149999999999999" customHeight="1" thickBot="1" x14ac:dyDescent="0.3">
      <c r="A30" s="464" t="s">
        <v>1024</v>
      </c>
      <c r="B30" s="322" t="s">
        <v>1025</v>
      </c>
      <c r="C30" s="1266">
        <v>2016</v>
      </c>
      <c r="D30" s="470"/>
      <c r="E30" s="1556"/>
      <c r="F30" s="1556"/>
      <c r="G30" s="1557"/>
    </row>
    <row r="31" spans="1:8" ht="17.149999999999999" customHeight="1" thickBot="1" x14ac:dyDescent="0.3">
      <c r="A31" s="464" t="s">
        <v>182</v>
      </c>
      <c r="B31" s="321" t="s">
        <v>373</v>
      </c>
      <c r="C31" s="1266">
        <v>2015</v>
      </c>
      <c r="D31" s="470"/>
      <c r="E31" s="1556"/>
      <c r="F31" s="1556"/>
      <c r="G31" s="1557"/>
    </row>
    <row r="32" spans="1:8" ht="17.149999999999999" customHeight="1" thickBot="1" x14ac:dyDescent="0.3">
      <c r="A32" s="464"/>
      <c r="B32" s="321" t="s">
        <v>840</v>
      </c>
      <c r="C32" s="857">
        <v>2012</v>
      </c>
      <c r="D32" s="1580" t="s">
        <v>1097</v>
      </c>
      <c r="E32" s="1000"/>
      <c r="F32" s="1000"/>
      <c r="G32" s="1001"/>
    </row>
    <row r="33" spans="1:7" ht="17.149999999999999" customHeight="1" thickBot="1" x14ac:dyDescent="0.3">
      <c r="A33" s="464" t="s">
        <v>10</v>
      </c>
      <c r="B33" s="321" t="s">
        <v>374</v>
      </c>
      <c r="C33" s="857">
        <v>1</v>
      </c>
      <c r="D33" s="1580"/>
      <c r="E33" s="1570"/>
      <c r="F33" s="1570"/>
      <c r="G33" s="1571"/>
    </row>
    <row r="34" spans="1:7" ht="17.149999999999999" customHeight="1" thickBot="1" x14ac:dyDescent="0.3">
      <c r="A34" s="464" t="s">
        <v>161</v>
      </c>
      <c r="B34" s="321" t="s">
        <v>944</v>
      </c>
      <c r="C34" s="858">
        <v>1</v>
      </c>
      <c r="D34" s="984"/>
      <c r="E34" s="1556"/>
      <c r="F34" s="1556"/>
      <c r="G34" s="1557"/>
    </row>
    <row r="35" spans="1:7" ht="17.149999999999999" customHeight="1" thickBot="1" x14ac:dyDescent="0.3">
      <c r="A35" s="464" t="s">
        <v>162</v>
      </c>
      <c r="B35" s="321" t="s">
        <v>375</v>
      </c>
      <c r="C35" s="858">
        <v>0</v>
      </c>
      <c r="D35" s="984"/>
      <c r="E35" s="1556"/>
      <c r="F35" s="1556"/>
      <c r="G35" s="1557"/>
    </row>
    <row r="36" spans="1:7" ht="17.149999999999999" customHeight="1" thickBot="1" x14ac:dyDescent="0.3">
      <c r="A36" s="464" t="s">
        <v>163</v>
      </c>
      <c r="B36" s="323" t="s">
        <v>376</v>
      </c>
      <c r="C36" s="858">
        <v>0</v>
      </c>
      <c r="D36" s="984"/>
      <c r="E36" s="1556"/>
      <c r="F36" s="1556"/>
      <c r="G36" s="1557"/>
    </row>
    <row r="37" spans="1:7" ht="17.149999999999999" customHeight="1" thickBot="1" x14ac:dyDescent="0.3">
      <c r="A37" s="464" t="s">
        <v>164</v>
      </c>
      <c r="B37" s="323" t="s">
        <v>323</v>
      </c>
      <c r="C37" s="858"/>
      <c r="D37" s="470"/>
      <c r="E37" s="1556"/>
      <c r="F37" s="1556"/>
      <c r="G37" s="1557"/>
    </row>
    <row r="38" spans="1:7" ht="17.149999999999999" customHeight="1" thickBot="1" x14ac:dyDescent="0.3">
      <c r="A38" s="464" t="s">
        <v>181</v>
      </c>
      <c r="B38" s="321" t="s">
        <v>378</v>
      </c>
      <c r="C38" s="857">
        <v>0</v>
      </c>
      <c r="D38" s="470"/>
      <c r="E38" s="1556"/>
      <c r="F38" s="1556"/>
      <c r="G38" s="1557"/>
    </row>
    <row r="39" spans="1:7" ht="17.149999999999999" customHeight="1" thickBot="1" x14ac:dyDescent="0.3">
      <c r="A39" s="464" t="s">
        <v>170</v>
      </c>
      <c r="B39" s="321" t="s">
        <v>379</v>
      </c>
      <c r="C39" s="857">
        <v>40</v>
      </c>
      <c r="D39" s="470"/>
      <c r="E39" s="1556"/>
      <c r="F39" s="1556"/>
      <c r="G39" s="1557"/>
    </row>
    <row r="40" spans="1:7" ht="17.149999999999999" customHeight="1" thickBot="1" x14ac:dyDescent="0.3">
      <c r="A40" s="464" t="s">
        <v>7</v>
      </c>
      <c r="B40" s="321" t="s">
        <v>380</v>
      </c>
      <c r="C40" s="857">
        <v>40</v>
      </c>
      <c r="D40" s="470"/>
      <c r="E40" s="1556"/>
      <c r="F40" s="1556"/>
      <c r="G40" s="1557"/>
    </row>
    <row r="41" spans="1:7" ht="17.149999999999999" customHeight="1" thickBot="1" x14ac:dyDescent="0.3">
      <c r="A41" s="464" t="s">
        <v>24</v>
      </c>
      <c r="B41" s="321" t="s">
        <v>381</v>
      </c>
      <c r="C41" s="857">
        <v>20</v>
      </c>
      <c r="D41" s="470"/>
      <c r="E41" s="1556"/>
      <c r="F41" s="1556"/>
      <c r="G41" s="1557"/>
    </row>
    <row r="42" spans="1:7" ht="17.149999999999999" customHeight="1" thickBot="1" x14ac:dyDescent="0.3">
      <c r="A42" s="464" t="s">
        <v>25</v>
      </c>
      <c r="B42" s="321" t="s">
        <v>389</v>
      </c>
      <c r="C42" s="857" t="s">
        <v>438</v>
      </c>
      <c r="D42" s="470"/>
      <c r="E42" s="1556"/>
      <c r="F42" s="1556"/>
      <c r="G42" s="1557"/>
    </row>
    <row r="43" spans="1:7" ht="17.149999999999999" customHeight="1" thickBot="1" x14ac:dyDescent="0.3">
      <c r="A43" s="464" t="s">
        <v>247</v>
      </c>
      <c r="B43" s="321" t="s">
        <v>19</v>
      </c>
      <c r="C43" s="859">
        <v>0.4</v>
      </c>
      <c r="D43" s="470"/>
      <c r="E43" s="1556"/>
      <c r="F43" s="1556"/>
      <c r="G43" s="1557"/>
    </row>
    <row r="44" spans="1:7" ht="17.149999999999999" customHeight="1" thickBot="1" x14ac:dyDescent="0.3">
      <c r="A44" s="464" t="s">
        <v>13</v>
      </c>
      <c r="B44" s="321" t="s">
        <v>388</v>
      </c>
      <c r="C44" s="1439">
        <v>3.6999999999999998E-2</v>
      </c>
      <c r="D44" s="470"/>
      <c r="E44" s="1563"/>
      <c r="F44" s="1556"/>
      <c r="G44" s="1557"/>
    </row>
    <row r="45" spans="1:7" ht="17.149999999999999" customHeight="1" thickBot="1" x14ac:dyDescent="0.3">
      <c r="A45" s="464" t="s">
        <v>14</v>
      </c>
      <c r="B45" s="321" t="s">
        <v>382</v>
      </c>
      <c r="C45" s="1551">
        <v>0</v>
      </c>
      <c r="D45" s="470"/>
      <c r="E45" s="1563" t="s">
        <v>1433</v>
      </c>
      <c r="F45" s="1563"/>
      <c r="G45" s="1581"/>
    </row>
    <row r="46" spans="1:7" ht="17.149999999999999" customHeight="1" thickBot="1" x14ac:dyDescent="0.3">
      <c r="A46" s="464" t="s">
        <v>165</v>
      </c>
      <c r="B46" s="321" t="s">
        <v>383</v>
      </c>
      <c r="C46" s="858">
        <v>1</v>
      </c>
      <c r="D46" s="470"/>
      <c r="E46" s="1556"/>
      <c r="F46" s="1556"/>
      <c r="G46" s="1557"/>
    </row>
    <row r="47" spans="1:7" ht="17.149999999999999" customHeight="1" thickBot="1" x14ac:dyDescent="0.3">
      <c r="A47" s="464" t="s">
        <v>167</v>
      </c>
      <c r="B47" s="321" t="s">
        <v>384</v>
      </c>
      <c r="C47" s="858">
        <v>0.5</v>
      </c>
      <c r="D47" s="470"/>
      <c r="E47" s="1556"/>
      <c r="F47" s="1556"/>
      <c r="G47" s="1557"/>
    </row>
    <row r="48" spans="1:7" ht="17.149999999999999" customHeight="1" thickBot="1" x14ac:dyDescent="0.3">
      <c r="A48" s="464" t="s">
        <v>168</v>
      </c>
      <c r="B48" s="321" t="s">
        <v>385</v>
      </c>
      <c r="C48" s="858">
        <v>0.75</v>
      </c>
      <c r="D48" s="470"/>
      <c r="E48" s="1556"/>
      <c r="F48" s="1556"/>
      <c r="G48" s="1557"/>
    </row>
    <row r="49" spans="1:7" ht="17.149999999999999" customHeight="1" thickBot="1" x14ac:dyDescent="0.3">
      <c r="A49" s="464" t="s">
        <v>18</v>
      </c>
      <c r="B49" s="321" t="s">
        <v>386</v>
      </c>
      <c r="C49" s="858">
        <v>0.1</v>
      </c>
      <c r="D49" s="470"/>
      <c r="E49" s="1556"/>
      <c r="F49" s="1556"/>
      <c r="G49" s="1557"/>
    </row>
    <row r="50" spans="1:7" ht="17.149999999999999" customHeight="1" thickBot="1" x14ac:dyDescent="0.3">
      <c r="A50" s="464" t="s">
        <v>178</v>
      </c>
      <c r="B50" s="321" t="s">
        <v>387</v>
      </c>
      <c r="C50" s="858">
        <v>0.1</v>
      </c>
      <c r="D50" s="470"/>
      <c r="E50" s="1556"/>
      <c r="F50" s="1556"/>
      <c r="G50" s="1557"/>
    </row>
    <row r="51" spans="1:7" ht="17.149999999999999" customHeight="1" thickBot="1" x14ac:dyDescent="0.3">
      <c r="A51" s="464" t="s">
        <v>30</v>
      </c>
      <c r="B51" s="321" t="s">
        <v>977</v>
      </c>
      <c r="C51" s="855">
        <v>1.9E-2</v>
      </c>
      <c r="D51" s="470"/>
      <c r="E51" s="1556"/>
      <c r="F51" s="1556"/>
      <c r="G51" s="1557"/>
    </row>
    <row r="52" spans="1:7" ht="17.149999999999999" customHeight="1" thickBot="1" x14ac:dyDescent="0.3">
      <c r="A52" s="464" t="s">
        <v>174</v>
      </c>
      <c r="B52" s="321" t="s">
        <v>1019</v>
      </c>
      <c r="C52" s="855">
        <f ca="1">0.08*sensitivity_03</f>
        <v>0.08</v>
      </c>
      <c r="D52" s="470"/>
      <c r="E52" s="1563"/>
      <c r="F52" s="1556"/>
      <c r="G52" s="1557"/>
    </row>
    <row r="53" spans="1:7" ht="17.149999999999999" customHeight="1" thickBot="1" x14ac:dyDescent="0.3">
      <c r="A53" s="464" t="s">
        <v>184</v>
      </c>
      <c r="B53" s="321" t="s">
        <v>1020</v>
      </c>
      <c r="C53" s="855">
        <v>0.06</v>
      </c>
      <c r="D53" s="470"/>
      <c r="E53" s="1556"/>
      <c r="F53" s="1556"/>
      <c r="G53" s="1557"/>
    </row>
    <row r="54" spans="1:7" ht="17.149999999999999" customHeight="1" thickBot="1" x14ac:dyDescent="0.3">
      <c r="A54" s="464" t="s">
        <v>28</v>
      </c>
      <c r="B54" s="321" t="s">
        <v>976</v>
      </c>
      <c r="C54" s="469">
        <v>0.21</v>
      </c>
      <c r="D54" s="470"/>
      <c r="E54" s="1556"/>
      <c r="F54" s="1556"/>
      <c r="G54" s="1557"/>
    </row>
    <row r="55" spans="1:7" ht="17.149999999999999" customHeight="1" thickBot="1" x14ac:dyDescent="0.3">
      <c r="A55" s="464" t="s">
        <v>1016</v>
      </c>
      <c r="B55" s="321" t="s">
        <v>21</v>
      </c>
      <c r="C55" s="860">
        <f>fed_tax_rate+state_tax_rate*(1-fed_tax_rate)</f>
        <v>0.25739999999999996</v>
      </c>
      <c r="D55" s="471"/>
      <c r="E55" s="1564"/>
      <c r="F55" s="1556"/>
      <c r="G55" s="1557"/>
    </row>
    <row r="56" spans="1:7" ht="17.149999999999999" customHeight="1" thickBot="1" x14ac:dyDescent="0.3">
      <c r="A56" s="464" t="s">
        <v>189</v>
      </c>
      <c r="B56" s="321" t="s">
        <v>371</v>
      </c>
      <c r="C56" s="472">
        <v>0.05</v>
      </c>
      <c r="D56" s="470"/>
      <c r="E56" s="1556"/>
      <c r="F56" s="1556"/>
      <c r="G56" s="1557"/>
    </row>
    <row r="57" spans="1:7" ht="18.75" customHeight="1" thickTop="1" x14ac:dyDescent="0.3">
      <c r="A57" s="464"/>
      <c r="B57" s="505" t="s">
        <v>1042</v>
      </c>
      <c r="C57" s="832"/>
      <c r="D57" s="826"/>
      <c r="E57" s="826"/>
      <c r="F57" s="826"/>
      <c r="G57" s="827"/>
    </row>
    <row r="58" spans="1:7" ht="21" customHeight="1" thickBot="1" x14ac:dyDescent="0.3">
      <c r="A58" s="464"/>
      <c r="B58" s="431" t="s">
        <v>275</v>
      </c>
      <c r="C58" s="489"/>
      <c r="D58" s="433"/>
      <c r="E58" s="432"/>
      <c r="F58" s="432"/>
      <c r="G58" s="434"/>
    </row>
    <row r="59" spans="1:7" ht="23.25" customHeight="1" thickBot="1" x14ac:dyDescent="0.3">
      <c r="A59" s="464"/>
      <c r="B59" s="475" t="s">
        <v>1289</v>
      </c>
      <c r="C59" s="489"/>
      <c r="D59" s="433"/>
      <c r="E59" s="432"/>
      <c r="F59" s="1560" t="s">
        <v>714</v>
      </c>
      <c r="G59" s="434"/>
    </row>
    <row r="60" spans="1:7" ht="18.75" customHeight="1" thickBot="1" x14ac:dyDescent="0.3">
      <c r="A60" s="464"/>
      <c r="B60" s="431" t="s">
        <v>696</v>
      </c>
      <c r="C60" s="432"/>
      <c r="D60" s="433"/>
      <c r="E60" s="432"/>
      <c r="F60" s="1560"/>
      <c r="G60" s="434"/>
    </row>
    <row r="61" spans="1:7" ht="17.149999999999999" customHeight="1" thickBot="1" x14ac:dyDescent="0.3">
      <c r="A61" s="464"/>
      <c r="B61" s="475" t="s">
        <v>832</v>
      </c>
      <c r="C61" s="435" t="str">
        <f>IF(OR(TMP_FeedType="Feedstock",TMP_FeedType = "Utility")," Enter usage in","Enter production in")</f>
        <v xml:space="preserve"> Enter usage in</v>
      </c>
      <c r="D61" s="435" t="str">
        <f ca="1">VLOOKUP(TMP_FeedName,INDIRECT(TMP_PriceTable),4,FALSE)</f>
        <v>kWh</v>
      </c>
      <c r="E61" s="432"/>
      <c r="F61" s="1560"/>
      <c r="G61" s="434"/>
    </row>
    <row r="62" spans="1:7" ht="17.149999999999999" customHeight="1" thickBot="1" x14ac:dyDescent="0.3">
      <c r="A62" s="464"/>
      <c r="B62" s="431" t="s">
        <v>697</v>
      </c>
      <c r="C62" s="435"/>
      <c r="D62" s="435"/>
      <c r="E62" s="432"/>
      <c r="F62" s="1560"/>
      <c r="G62" s="434"/>
    </row>
    <row r="63" spans="1:7" ht="17.149999999999999" customHeight="1" thickBot="1" x14ac:dyDescent="0.3">
      <c r="A63" s="464"/>
      <c r="B63" s="1195" t="s">
        <v>698</v>
      </c>
      <c r="C63" s="433"/>
      <c r="D63" s="433"/>
      <c r="E63" s="432"/>
      <c r="F63" s="1560"/>
      <c r="G63" s="434"/>
    </row>
    <row r="64" spans="1:7" ht="17.149999999999999" customHeight="1" thickBot="1" x14ac:dyDescent="0.3">
      <c r="A64" s="464"/>
      <c r="B64" s="891"/>
      <c r="C64" s="433"/>
      <c r="D64" s="433"/>
      <c r="E64" s="432"/>
      <c r="F64" s="1560"/>
      <c r="G64" s="434"/>
    </row>
    <row r="65" spans="1:11" ht="37.5" customHeight="1" thickBot="1" x14ac:dyDescent="0.3">
      <c r="A65" s="464"/>
      <c r="B65" s="444" t="str">
        <f>SELECTED_FEED</f>
        <v>feedstock</v>
      </c>
      <c r="C65" s="546" t="str">
        <f>TMP_FeedName</f>
        <v>Industrial Electricity</v>
      </c>
      <c r="D65" s="547"/>
      <c r="E65" s="437"/>
      <c r="F65" s="1560"/>
      <c r="G65" s="434"/>
    </row>
    <row r="66" spans="1:11" ht="19" customHeight="1" thickBot="1" x14ac:dyDescent="0.3">
      <c r="A66" s="464"/>
      <c r="B66" s="445" t="str">
        <f ca="1">"Price Conversion Factor (GJ/"&amp;TMP_Units&amp;")"</f>
        <v>Price Conversion Factor (GJ/kWh)</v>
      </c>
      <c r="C66" s="456">
        <f ca="1">VLOOKUP(TMP_FeedName,MASTER_PROPERTY_TABLE,9,FALSE)</f>
        <v>3.5999999999999995E-3</v>
      </c>
      <c r="D66" s="438"/>
      <c r="E66" s="437"/>
      <c r="F66" s="1560"/>
      <c r="G66" s="434"/>
    </row>
    <row r="67" spans="1:11" ht="19" customHeight="1" thickBot="1" x14ac:dyDescent="0.3">
      <c r="A67" s="464"/>
      <c r="B67" s="836" t="str">
        <f ca="1">"Price in Startup Year ($" &amp; ref_year &amp; ")/" &amp; TMP_Units</f>
        <v>Price in Startup Year ($2016)/kWh</v>
      </c>
      <c r="C67" s="1267">
        <f ca="1">HLOOKUP(startup_year,INDIRECT(TMP_PriceTable),MATCH(TMP_FeedName,INDIRECT(Energy_Feed_List),0),FALSE)*TMP_Conversion</f>
        <v>6.9980611257164108E-2</v>
      </c>
      <c r="D67" s="439"/>
      <c r="E67" s="440"/>
      <c r="F67" s="1560"/>
      <c r="G67" s="434"/>
    </row>
    <row r="68" spans="1:11" ht="19" customHeight="1" thickBot="1" x14ac:dyDescent="0.35">
      <c r="A68" s="464"/>
      <c r="B68" s="445" t="str">
        <f ca="1">IF(OR(TMP_FeedType="Feedstock",TMP_FeedType = "Utility"),"Usage ("&amp;TMP_Units&amp;"/kg H2)","Production ("&amp;TMP_Units&amp;"/kg H2)")</f>
        <v>Usage (kWh/kg H2)</v>
      </c>
      <c r="C68" s="909">
        <v>54.3</v>
      </c>
      <c r="D68" s="440"/>
      <c r="E68" s="437"/>
      <c r="F68" s="1560"/>
      <c r="G68" s="434"/>
    </row>
    <row r="69" spans="1:11" ht="19" customHeight="1" thickBot="1" x14ac:dyDescent="0.3">
      <c r="A69" s="464"/>
      <c r="B69" s="446" t="str">
        <f>IF(OR(TMP_FeedType = "Feedstock",TMP_FeedType = "Utility"), "Cost in Startup Year","Income in Startup Year")</f>
        <v>Cost in Startup Year</v>
      </c>
      <c r="C69" s="461">
        <f ca="1">design_cap*365*cap_factor*TMP_Usage*TMP_StartPrice</f>
        <v>67268565.153351158</v>
      </c>
      <c r="D69" s="438"/>
      <c r="E69" s="437"/>
      <c r="F69" s="432"/>
      <c r="G69" s="434"/>
    </row>
    <row r="70" spans="1:11" ht="19" customHeight="1" thickBot="1" x14ac:dyDescent="0.3">
      <c r="A70" s="464"/>
      <c r="B70" s="445" t="s">
        <v>262</v>
      </c>
      <c r="C70" s="455" t="s">
        <v>711</v>
      </c>
      <c r="D70" s="438"/>
      <c r="E70" s="437"/>
      <c r="F70" s="432"/>
      <c r="G70" s="434"/>
    </row>
    <row r="71" spans="1:11" s="433" customFormat="1" ht="19" customHeight="1" x14ac:dyDescent="0.25">
      <c r="A71" s="904"/>
      <c r="B71" s="905"/>
      <c r="C71" s="906"/>
      <c r="D71" s="438"/>
      <c r="E71" s="437"/>
      <c r="F71" s="432"/>
      <c r="G71" s="434"/>
      <c r="H71" s="29"/>
      <c r="I71" s="29"/>
      <c r="J71" s="29"/>
      <c r="K71" s="29"/>
    </row>
    <row r="72" spans="1:11" ht="27" customHeight="1" thickBot="1" x14ac:dyDescent="0.35">
      <c r="A72" s="465"/>
      <c r="B72" s="907" t="s">
        <v>715</v>
      </c>
      <c r="C72" s="442"/>
      <c r="D72" s="442"/>
      <c r="E72" s="442"/>
      <c r="F72" s="442"/>
      <c r="G72" s="443"/>
    </row>
    <row r="73" spans="1:11" ht="28" customHeight="1" x14ac:dyDescent="0.25">
      <c r="A73" s="465" t="s">
        <v>15</v>
      </c>
      <c r="B73" s="457"/>
      <c r="C73" s="458"/>
      <c r="D73" s="458"/>
      <c r="E73" s="458"/>
      <c r="F73" s="459"/>
      <c r="G73" s="460"/>
    </row>
    <row r="74" spans="1:11" ht="28" customHeight="1" x14ac:dyDescent="0.25">
      <c r="A74" s="465"/>
      <c r="B74" s="457" t="s">
        <v>832</v>
      </c>
      <c r="C74" s="458" t="s">
        <v>1344</v>
      </c>
      <c r="D74" s="458" t="s">
        <v>1345</v>
      </c>
      <c r="E74" s="458" t="s">
        <v>1346</v>
      </c>
      <c r="F74" s="459" t="s">
        <v>833</v>
      </c>
      <c r="G74" s="460" t="s">
        <v>262</v>
      </c>
    </row>
    <row r="75" spans="1:11" ht="28" customHeight="1" x14ac:dyDescent="0.25">
      <c r="A75" s="465"/>
      <c r="B75" s="457" t="s">
        <v>698</v>
      </c>
      <c r="C75" s="458">
        <v>3.5999999999999995E-3</v>
      </c>
      <c r="D75" s="458">
        <v>6.9980611257164108E-2</v>
      </c>
      <c r="E75" s="458">
        <v>54.3</v>
      </c>
      <c r="F75" s="459">
        <f ca="1">feedstockIndustrial_Electricity_Price*feedstockIndustrial_Electricity_Usage*output_kgyear*IF(start_time,percnt_var,1)*'Cash Flow Analysis'!E68/'Cash Flow Analysis'!E69</f>
        <v>66014293.575418219</v>
      </c>
      <c r="G75" s="460" t="s">
        <v>711</v>
      </c>
    </row>
    <row r="76" spans="1:11" ht="28" customHeight="1" x14ac:dyDescent="0.25">
      <c r="A76" s="465" t="s">
        <v>15</v>
      </c>
      <c r="B76" s="457"/>
      <c r="C76" s="458"/>
      <c r="D76" s="458"/>
      <c r="E76" s="458"/>
      <c r="F76" s="459"/>
      <c r="G76" s="460"/>
    </row>
    <row r="77" spans="1:11" ht="28" customHeight="1" x14ac:dyDescent="0.25">
      <c r="A77" s="464" t="s">
        <v>273</v>
      </c>
      <c r="B77" s="457"/>
      <c r="C77" s="458"/>
      <c r="D77" s="458"/>
      <c r="E77" s="458"/>
      <c r="F77" s="459"/>
      <c r="G77" s="460"/>
    </row>
    <row r="78" spans="1:11" ht="28" customHeight="1" x14ac:dyDescent="0.25">
      <c r="A78" s="466" t="s">
        <v>274</v>
      </c>
      <c r="B78" s="458"/>
      <c r="C78" s="458"/>
      <c r="D78" s="458"/>
      <c r="E78" s="458"/>
      <c r="F78" s="459"/>
      <c r="G78" s="460"/>
    </row>
    <row r="79" spans="1:11" ht="17.149999999999999" customHeight="1" thickBot="1" x14ac:dyDescent="0.3">
      <c r="A79" s="466"/>
      <c r="B79" s="326"/>
      <c r="C79" s="326"/>
      <c r="D79" s="332"/>
      <c r="E79" s="332"/>
      <c r="F79" s="329" t="s">
        <v>58</v>
      </c>
      <c r="G79" s="331"/>
    </row>
    <row r="80" spans="1:11" ht="17.149999999999999" customHeight="1" thickBot="1" x14ac:dyDescent="0.3">
      <c r="A80" s="464" t="s">
        <v>251</v>
      </c>
      <c r="B80" s="333" t="s">
        <v>277</v>
      </c>
      <c r="C80" s="329"/>
      <c r="D80" s="332"/>
      <c r="E80" s="332"/>
      <c r="F80" s="245">
        <f ca="1">SUM(Dynamic_Feed_Total)</f>
        <v>66014293.575418219</v>
      </c>
      <c r="G80" s="331"/>
    </row>
    <row r="81" spans="1:8" ht="17.149999999999999" customHeight="1" thickBot="1" x14ac:dyDescent="0.3">
      <c r="A81" s="464" t="s">
        <v>252</v>
      </c>
      <c r="B81" s="333" t="s">
        <v>278</v>
      </c>
      <c r="C81" s="329"/>
      <c r="D81" s="332"/>
      <c r="E81" s="332"/>
      <c r="F81" s="245">
        <f>SUM(Dynamic_Utilities_Total)</f>
        <v>0</v>
      </c>
      <c r="G81" s="331"/>
    </row>
    <row r="82" spans="1:8" ht="17.149999999999999" customHeight="1" thickBot="1" x14ac:dyDescent="0.3">
      <c r="A82" s="464" t="s">
        <v>256</v>
      </c>
      <c r="B82" s="324" t="s">
        <v>276</v>
      </c>
      <c r="C82" s="329"/>
      <c r="D82" s="332"/>
      <c r="E82" s="332"/>
      <c r="F82" s="245">
        <f>SUM(Dynamic_Byproduct_Total)</f>
        <v>0</v>
      </c>
      <c r="G82" s="331"/>
    </row>
    <row r="83" spans="1:8" ht="38.25" customHeight="1" x14ac:dyDescent="0.25">
      <c r="A83" s="464"/>
      <c r="B83" s="324"/>
      <c r="C83" s="319"/>
      <c r="D83" s="833" t="s">
        <v>317</v>
      </c>
      <c r="E83" s="1565"/>
      <c r="F83" s="1565"/>
      <c r="G83" s="1566"/>
    </row>
    <row r="84" spans="1:8" ht="28.5" customHeight="1" thickBot="1" x14ac:dyDescent="0.3">
      <c r="A84" s="464"/>
      <c r="B84" s="324"/>
      <c r="C84" s="319"/>
      <c r="D84" s="433"/>
      <c r="E84" s="1567"/>
      <c r="F84" s="1567"/>
      <c r="G84" s="1568"/>
    </row>
    <row r="85" spans="1:8" ht="17.149999999999999" customHeight="1" thickTop="1" thickBot="1" x14ac:dyDescent="0.3">
      <c r="A85" s="464"/>
      <c r="B85" s="497" t="s">
        <v>83</v>
      </c>
      <c r="C85" s="498"/>
      <c r="D85" s="498"/>
      <c r="E85" s="1558" t="s">
        <v>441</v>
      </c>
      <c r="F85" s="1558"/>
      <c r="G85" s="1559"/>
    </row>
    <row r="86" spans="1:8" ht="20.149999999999999" customHeight="1" thickBot="1" x14ac:dyDescent="0.3">
      <c r="A86" s="464" t="s">
        <v>246</v>
      </c>
      <c r="B86" s="327" t="s">
        <v>336</v>
      </c>
      <c r="C86" s="243">
        <f ca="1">Det_scaled_cap</f>
        <v>118258605.73921095</v>
      </c>
      <c r="D86" s="470"/>
      <c r="E86" s="1561" t="s">
        <v>531</v>
      </c>
      <c r="F86" s="1561"/>
      <c r="G86" s="1562"/>
    </row>
    <row r="87" spans="1:8" ht="28.9" customHeight="1" thickBot="1" x14ac:dyDescent="0.3">
      <c r="A87" s="464"/>
      <c r="B87" s="327" t="s">
        <v>1002</v>
      </c>
      <c r="C87" s="1273">
        <f>Det_CO2_seq</f>
        <v>0</v>
      </c>
      <c r="D87" s="470"/>
      <c r="E87" s="1561" t="s">
        <v>842</v>
      </c>
      <c r="F87" s="1561"/>
      <c r="G87" s="1562"/>
    </row>
    <row r="88" spans="1:8" ht="21.75" customHeight="1" x14ac:dyDescent="0.25">
      <c r="A88" s="464"/>
      <c r="B88" s="327"/>
      <c r="C88"/>
      <c r="D88"/>
      <c r="E88"/>
      <c r="F88"/>
      <c r="G88" s="448"/>
    </row>
    <row r="89" spans="1:8" ht="45.75" customHeight="1" thickBot="1" x14ac:dyDescent="0.35">
      <c r="A89" s="464"/>
      <c r="B89" s="327" t="s">
        <v>337</v>
      </c>
      <c r="C89" s="985" t="str">
        <f>"Enter values in basis year (" &amp; BasisYear &amp; ") dollars"</f>
        <v>Enter values in basis year (2012) dollars</v>
      </c>
      <c r="D89" s="985" t="s">
        <v>843</v>
      </c>
      <c r="E89" s="985" t="str">
        <f xml:space="preserve"> "Reference Year ("&amp; ref_year &amp; ") Dollars"</f>
        <v>Reference Year (2016) Dollars</v>
      </c>
      <c r="F89"/>
      <c r="G89" s="448"/>
      <c r="H89" s="35"/>
    </row>
    <row r="90" spans="1:8" ht="17.149999999999999" customHeight="1" x14ac:dyDescent="0.25">
      <c r="A90" s="464" t="s">
        <v>179</v>
      </c>
      <c r="B90" s="322" t="s">
        <v>712</v>
      </c>
      <c r="C90" s="1011">
        <f ca="1">0.02*(direct_cap+CO2_seq)/(CEPCIinflator*CPIinflator)</f>
        <v>2280600.0000000005</v>
      </c>
      <c r="D90" s="1033">
        <f t="shared" ref="D90:D96" si="0">CEPCIinflator*CPIinflator</f>
        <v>1.0370832740437685</v>
      </c>
      <c r="E90" s="1013">
        <f ca="1">C90*D90</f>
        <v>2365172.1147842188</v>
      </c>
      <c r="F90" s="999"/>
      <c r="G90" s="1002"/>
    </row>
    <row r="91" spans="1:8" ht="29.25" customHeight="1" x14ac:dyDescent="0.25">
      <c r="A91" s="464" t="s">
        <v>27</v>
      </c>
      <c r="B91" s="321" t="s">
        <v>338</v>
      </c>
      <c r="C91" s="1014">
        <f ca="1">0.08*(direct_cap+CO2_seq)/(CEPCIinflator*CPIinflator)</f>
        <v>9122400.0000000019</v>
      </c>
      <c r="D91" s="1034">
        <f t="shared" si="0"/>
        <v>1.0370832740437685</v>
      </c>
      <c r="E91" s="1016">
        <f t="shared" ref="E91:E96" ca="1" si="1">C91*D91</f>
        <v>9460688.4591368753</v>
      </c>
      <c r="F91" s="999"/>
      <c r="G91" s="1002"/>
      <c r="H91" s="34"/>
    </row>
    <row r="92" spans="1:8" ht="17.149999999999999" customHeight="1" x14ac:dyDescent="0.25">
      <c r="A92" s="464" t="s">
        <v>171</v>
      </c>
      <c r="B92" s="321" t="s">
        <v>347</v>
      </c>
      <c r="C92" s="1014"/>
      <c r="D92" s="1034">
        <f t="shared" si="0"/>
        <v>1.0370832740437685</v>
      </c>
      <c r="E92" s="1016">
        <f t="shared" si="1"/>
        <v>0</v>
      </c>
      <c r="F92" s="999"/>
      <c r="G92" s="1002"/>
      <c r="H92" s="903"/>
    </row>
    <row r="93" spans="1:8" ht="17.149999999999999" customHeight="1" x14ac:dyDescent="0.25">
      <c r="A93" s="464" t="s">
        <v>173</v>
      </c>
      <c r="B93" s="321" t="s">
        <v>348</v>
      </c>
      <c r="C93" s="1014">
        <f ca="1">0.15*(direct_cap+CO2_seq)/(CEPCIinflator*CPIinflator)</f>
        <v>17104500.000000004</v>
      </c>
      <c r="D93" s="1034">
        <f t="shared" si="0"/>
        <v>1.0370832740437685</v>
      </c>
      <c r="E93" s="1016">
        <f t="shared" ca="1" si="1"/>
        <v>17738790.860881642</v>
      </c>
      <c r="F93" s="999"/>
      <c r="G93" s="1002"/>
      <c r="H93" s="903"/>
    </row>
    <row r="94" spans="1:8" ht="31.5" customHeight="1" x14ac:dyDescent="0.25">
      <c r="A94" s="464" t="s">
        <v>159</v>
      </c>
      <c r="B94" s="321" t="s">
        <v>350</v>
      </c>
      <c r="C94" s="1014"/>
      <c r="D94" s="1034">
        <f t="shared" si="0"/>
        <v>1.0370832740437685</v>
      </c>
      <c r="E94" s="1016">
        <f t="shared" si="1"/>
        <v>0</v>
      </c>
      <c r="F94" s="999"/>
      <c r="G94" s="1002"/>
      <c r="H94" s="34"/>
    </row>
    <row r="95" spans="1:8" ht="17.149999999999999" customHeight="1" x14ac:dyDescent="0.25">
      <c r="A95" s="464" t="s">
        <v>29</v>
      </c>
      <c r="B95" s="321" t="s">
        <v>349</v>
      </c>
      <c r="C95" s="1014"/>
      <c r="D95" s="1034">
        <f t="shared" si="0"/>
        <v>1.0370832740437685</v>
      </c>
      <c r="E95" s="1016">
        <f t="shared" si="1"/>
        <v>0</v>
      </c>
      <c r="F95" s="999"/>
      <c r="G95" s="1002"/>
    </row>
    <row r="96" spans="1:8" ht="21.75" customHeight="1" thickBot="1" x14ac:dyDescent="0.3">
      <c r="A96" s="464" t="s">
        <v>169</v>
      </c>
      <c r="B96" s="322" t="s">
        <v>713</v>
      </c>
      <c r="C96" s="1017">
        <f ca="1">0.15*(direct_cap+CO2_seq)/(CEPCIinflator*CPIinflator)</f>
        <v>17104500.000000004</v>
      </c>
      <c r="D96" s="1035">
        <f t="shared" si="0"/>
        <v>1.0370832740437685</v>
      </c>
      <c r="E96" s="1018">
        <f t="shared" ca="1" si="1"/>
        <v>17738790.860881642</v>
      </c>
      <c r="F96" s="999"/>
      <c r="G96" s="1002"/>
    </row>
    <row r="97" spans="1:7" ht="20.149999999999999" customHeight="1" thickBot="1" x14ac:dyDescent="0.3">
      <c r="A97" s="464" t="s">
        <v>1009</v>
      </c>
      <c r="B97" s="327" t="s">
        <v>978</v>
      </c>
      <c r="C97"/>
      <c r="E97" s="861">
        <f ca="1">direct_cap+CO2_seq+SUM($E$90:$E$96)</f>
        <v>165562048.03489533</v>
      </c>
      <c r="F97" s="1003"/>
      <c r="G97" s="1004"/>
    </row>
    <row r="98" spans="1:7" x14ac:dyDescent="0.25">
      <c r="A98" s="464"/>
      <c r="B98" s="321"/>
      <c r="C98" s="319"/>
      <c r="D98" s="1587" t="s">
        <v>843</v>
      </c>
      <c r="E98"/>
      <c r="F98" s="474"/>
      <c r="G98" s="473"/>
    </row>
    <row r="99" spans="1:7" ht="30.75" customHeight="1" thickBot="1" x14ac:dyDescent="0.35">
      <c r="A99" s="464"/>
      <c r="B99" s="327" t="s">
        <v>351</v>
      </c>
      <c r="C99" s="985" t="str">
        <f>"Enter values in basis year (" &amp; BasisYear &amp; ") dollars"</f>
        <v>Enter values in basis year (2012) dollars</v>
      </c>
      <c r="D99" s="1588"/>
      <c r="E99" s="985" t="str">
        <f xml:space="preserve"> "Reference Year ("&amp; ref_year &amp; ") Dollars"</f>
        <v>Reference Year (2016) Dollars</v>
      </c>
      <c r="F99" s="474"/>
      <c r="G99" s="473"/>
    </row>
    <row r="100" spans="1:7" ht="27.75" customHeight="1" thickBot="1" x14ac:dyDescent="0.3">
      <c r="A100" s="464" t="s">
        <v>1092</v>
      </c>
      <c r="B100" s="321" t="s">
        <v>352</v>
      </c>
      <c r="C100" s="1011">
        <v>50000</v>
      </c>
      <c r="D100" s="1033">
        <f>CPIinflator</f>
        <v>1.100724186648488</v>
      </c>
      <c r="E100" s="996">
        <f>C100*D100</f>
        <v>55036.209332424405</v>
      </c>
      <c r="F100" s="474"/>
      <c r="G100" s="473"/>
    </row>
    <row r="101" spans="1:7" ht="25.5" customHeight="1" thickBot="1" x14ac:dyDescent="0.3">
      <c r="A101" s="464" t="s">
        <v>1093</v>
      </c>
      <c r="B101" s="321" t="s">
        <v>353</v>
      </c>
      <c r="C101" s="1020">
        <v>5</v>
      </c>
      <c r="D101" s="1015">
        <f ca="1">Scale_Factor *1</f>
        <v>1</v>
      </c>
      <c r="E101" s="993">
        <f ca="1">C101*D101</f>
        <v>5</v>
      </c>
      <c r="F101" s="474"/>
      <c r="G101" s="473"/>
    </row>
    <row r="102" spans="1:7" ht="27" customHeight="1" thickBot="1" x14ac:dyDescent="0.3">
      <c r="A102" s="464" t="s">
        <v>1010</v>
      </c>
      <c r="B102" s="321" t="s">
        <v>979</v>
      </c>
      <c r="C102" s="1021"/>
      <c r="D102" s="1021"/>
      <c r="E102" s="861">
        <f ca="1">acre_cost*acres</f>
        <v>275181.04666212201</v>
      </c>
      <c r="F102" s="474"/>
      <c r="G102" s="473"/>
    </row>
    <row r="103" spans="1:7" ht="17.149999999999999" customHeight="1" thickBot="1" x14ac:dyDescent="0.3">
      <c r="A103" s="464"/>
      <c r="B103" s="321" t="s">
        <v>1011</v>
      </c>
      <c r="C103" s="1011"/>
      <c r="D103" s="1033">
        <f>CPIinflator</f>
        <v>1.100724186648488</v>
      </c>
      <c r="E103" s="861">
        <f>C103*D103</f>
        <v>0</v>
      </c>
      <c r="F103" s="1003"/>
      <c r="G103" s="1004"/>
    </row>
    <row r="104" spans="1:7" ht="20.149999999999999" customHeight="1" thickBot="1" x14ac:dyDescent="0.3">
      <c r="A104" s="464" t="s">
        <v>1017</v>
      </c>
      <c r="B104" s="327" t="s">
        <v>980</v>
      </c>
      <c r="C104" s="1021"/>
      <c r="D104" s="1021"/>
      <c r="E104" s="244">
        <f ca="1">land_cost+$E$103</f>
        <v>275181.04666212201</v>
      </c>
      <c r="F104" s="474"/>
      <c r="G104" s="473"/>
    </row>
    <row r="105" spans="1:7" ht="13" thickBot="1" x14ac:dyDescent="0.3">
      <c r="A105" s="464"/>
      <c r="B105" s="321"/>
      <c r="C105" s="319"/>
      <c r="D105" s="1021"/>
      <c r="E105" s="474"/>
      <c r="F105" s="474"/>
      <c r="G105" s="473"/>
    </row>
    <row r="106" spans="1:7" ht="20.149999999999999" customHeight="1" thickBot="1" x14ac:dyDescent="0.3">
      <c r="A106" s="464" t="s">
        <v>1018</v>
      </c>
      <c r="B106" s="327" t="s">
        <v>994</v>
      </c>
      <c r="C106" s="243">
        <f ca="1">(depr_cap+non_dep_cap)*sensitivity_06</f>
        <v>165837229.08155745</v>
      </c>
      <c r="D106" s="1021"/>
      <c r="E106" s="1019"/>
      <c r="F106" s="474"/>
      <c r="G106" s="473"/>
    </row>
    <row r="107" spans="1:7" ht="13" thickBot="1" x14ac:dyDescent="0.3">
      <c r="A107" s="464"/>
      <c r="B107" s="321"/>
      <c r="C107" s="319"/>
      <c r="D107" s="1021"/>
      <c r="E107" s="474"/>
      <c r="F107" s="474"/>
      <c r="G107" s="473"/>
    </row>
    <row r="108" spans="1:7" ht="44.25" customHeight="1" thickTop="1" thickBot="1" x14ac:dyDescent="0.35">
      <c r="A108" s="464"/>
      <c r="B108" s="497" t="s">
        <v>354</v>
      </c>
      <c r="C108" s="1028" t="str">
        <f>"Enter values in basis year (" &amp; BasisYear &amp; ") dollars"</f>
        <v>Enter values in basis year (2012) dollars</v>
      </c>
      <c r="D108" s="1028" t="s">
        <v>843</v>
      </c>
      <c r="E108" s="1028" t="str">
        <f xml:space="preserve"> "Reference Year ("&amp; ref_year &amp; ") Dollars"</f>
        <v>Reference Year (2016) Dollars</v>
      </c>
      <c r="F108" s="498"/>
      <c r="G108" s="500"/>
    </row>
    <row r="109" spans="1:7" s="35" customFormat="1" ht="29.25" customHeight="1" thickBot="1" x14ac:dyDescent="0.3">
      <c r="A109" s="464" t="s">
        <v>1021</v>
      </c>
      <c r="B109" s="322" t="s">
        <v>355</v>
      </c>
      <c r="C109" s="1025">
        <v>10</v>
      </c>
      <c r="D109" s="1012">
        <f ca="1">Scale_Ratio^0.25</f>
        <v>1</v>
      </c>
      <c r="E109" s="1026">
        <f ca="1">C109*D109</f>
        <v>10</v>
      </c>
      <c r="F109" s="1005"/>
      <c r="G109" s="1023"/>
    </row>
    <row r="110" spans="1:7" s="35" customFormat="1" ht="17.25" customHeight="1" thickBot="1" x14ac:dyDescent="0.3">
      <c r="A110" s="464" t="s">
        <v>1022</v>
      </c>
      <c r="B110" s="322" t="s">
        <v>356</v>
      </c>
      <c r="C110" s="1011">
        <v>50</v>
      </c>
      <c r="D110" s="1033">
        <f>VLOOKUP(ref_year,Tbl_labor_indexes,2,FALSE)/VLOOKUP(BasisYear,Tbl_labor_indexes,2,FALSE)</f>
        <v>1.0589743589743588</v>
      </c>
      <c r="E110" s="998">
        <f>C110*D110</f>
        <v>52.948717948717942</v>
      </c>
      <c r="F110" s="1005"/>
      <c r="G110" s="1023"/>
    </row>
    <row r="111" spans="1:7" s="35" customFormat="1" ht="17.149999999999999" customHeight="1" thickBot="1" x14ac:dyDescent="0.3">
      <c r="A111" s="464" t="s">
        <v>1012</v>
      </c>
      <c r="B111" s="322" t="s">
        <v>995</v>
      </c>
      <c r="C111" s="1021"/>
      <c r="D111" s="1021"/>
      <c r="E111" s="862">
        <f ca="1">FTEs*2080*FTE_cost</f>
        <v>1101333.3333333333</v>
      </c>
      <c r="F111" s="1005"/>
      <c r="G111" s="1023"/>
    </row>
    <row r="112" spans="1:7" s="35" customFormat="1" ht="17.149999999999999" customHeight="1" thickBot="1" x14ac:dyDescent="0.3">
      <c r="A112" s="464" t="s">
        <v>160</v>
      </c>
      <c r="B112" s="322" t="s">
        <v>357</v>
      </c>
      <c r="C112" s="476">
        <v>0.2</v>
      </c>
      <c r="D112" s="1021"/>
      <c r="F112" s="1005"/>
      <c r="G112" s="1023"/>
    </row>
    <row r="113" spans="1:8" s="35" customFormat="1" ht="17.149999999999999" customHeight="1" thickBot="1" x14ac:dyDescent="0.3">
      <c r="A113" s="464" t="s">
        <v>1015</v>
      </c>
      <c r="B113" s="322" t="s">
        <v>988</v>
      </c>
      <c r="C113" s="1021"/>
      <c r="D113" s="1021"/>
      <c r="E113" s="987">
        <f ca="1">labor_cost*overhead_rate</f>
        <v>220266.66666666666</v>
      </c>
      <c r="F113" s="1005"/>
      <c r="G113" s="1023"/>
    </row>
    <row r="114" spans="1:8" s="35" customFormat="1" ht="17.149999999999999" customHeight="1" thickBot="1" x14ac:dyDescent="0.3">
      <c r="A114" s="464" t="s">
        <v>31</v>
      </c>
      <c r="B114" s="322" t="s">
        <v>358</v>
      </c>
      <c r="C114" s="1011">
        <v>0</v>
      </c>
      <c r="D114" s="1033">
        <f ca="1">Scale_Factor *CEPCIinflator*CPIinflator</f>
        <v>1.0370832740437685</v>
      </c>
      <c r="E114" s="994">
        <f ca="1">C114*D114</f>
        <v>0</v>
      </c>
      <c r="F114" s="1005"/>
      <c r="G114" s="1023"/>
    </row>
    <row r="115" spans="1:8" s="35" customFormat="1" ht="26.25" customHeight="1" thickBot="1" x14ac:dyDescent="0.3">
      <c r="A115" s="464" t="s">
        <v>186</v>
      </c>
      <c r="B115" s="322" t="s">
        <v>1096</v>
      </c>
      <c r="C115" s="995">
        <v>0.02</v>
      </c>
      <c r="D115" s="1036"/>
      <c r="F115" s="1005"/>
      <c r="G115" s="1023"/>
    </row>
    <row r="116" spans="1:8" s="35" customFormat="1" ht="17.149999999999999" customHeight="1" thickBot="1" x14ac:dyDescent="0.3">
      <c r="A116" s="464" t="s">
        <v>1013</v>
      </c>
      <c r="B116" s="321" t="s">
        <v>993</v>
      </c>
      <c r="C116" s="1021"/>
      <c r="D116" s="1036"/>
      <c r="E116" s="899">
        <f ca="1">tax_ins_rate*total_cap</f>
        <v>3316744.5816311492</v>
      </c>
      <c r="F116" s="1005"/>
      <c r="G116" s="1023"/>
    </row>
    <row r="117" spans="1:8" s="35" customFormat="1" ht="17.149999999999999" customHeight="1" thickBot="1" x14ac:dyDescent="0.3">
      <c r="A117" s="464" t="s">
        <v>175</v>
      </c>
      <c r="B117" s="321" t="s">
        <v>359</v>
      </c>
      <c r="C117" s="1011"/>
      <c r="D117" s="1033">
        <f ca="1">Scale_Factor *CPIinflator</f>
        <v>1.100724186648488</v>
      </c>
      <c r="E117" s="996">
        <f ca="1">C117*D117</f>
        <v>0</v>
      </c>
      <c r="F117" s="1005"/>
      <c r="G117" s="1023"/>
    </row>
    <row r="118" spans="1:8" s="35" customFormat="1" ht="27" customHeight="1" thickBot="1" x14ac:dyDescent="0.3">
      <c r="A118" s="464" t="s">
        <v>1023</v>
      </c>
      <c r="B118" s="322" t="s">
        <v>360</v>
      </c>
      <c r="C118" s="1011"/>
      <c r="D118" s="1033">
        <f ca="1">Scale_Factor *CEPCIinflator*CPIinflator</f>
        <v>1.0370832740437685</v>
      </c>
      <c r="E118" s="997">
        <f ca="1">C118*D118</f>
        <v>0</v>
      </c>
      <c r="F118" s="1005"/>
      <c r="G118" s="1023"/>
      <c r="H118" s="834"/>
    </row>
    <row r="119" spans="1:8" s="35" customFormat="1" ht="17.149999999999999" customHeight="1" thickBot="1" x14ac:dyDescent="0.3">
      <c r="A119" s="464" t="s">
        <v>172</v>
      </c>
      <c r="B119" s="322" t="s">
        <v>361</v>
      </c>
      <c r="C119" s="1011">
        <f ca="1">0.03*direct_cap/(CEPCIinflator*CPIinflator)</f>
        <v>3420900.0000000005</v>
      </c>
      <c r="D119" s="1033">
        <f ca="1">Scale_Factor *CEPCIinflator*CPIinflator</f>
        <v>1.0370832740437685</v>
      </c>
      <c r="E119" s="988">
        <f ca="1">C119*D119</f>
        <v>3547758.1721763285</v>
      </c>
      <c r="F119" s="1005"/>
      <c r="G119" s="1023"/>
    </row>
    <row r="120" spans="1:8" s="35" customFormat="1" ht="17.149999999999999" customHeight="1" thickBot="1" x14ac:dyDescent="0.3">
      <c r="A120" s="464" t="s">
        <v>157</v>
      </c>
      <c r="B120" s="321" t="s">
        <v>362</v>
      </c>
      <c r="C120" s="1011">
        <v>0</v>
      </c>
      <c r="D120" s="1033">
        <f ca="1">Scale_Ratio * CEPCIinflator*CPIinflator</f>
        <v>1.0370832740437685</v>
      </c>
      <c r="E120" s="508">
        <f ca="1">C120*D120</f>
        <v>0</v>
      </c>
      <c r="F120" s="1005"/>
      <c r="G120" s="1023"/>
    </row>
    <row r="121" spans="1:8" s="35" customFormat="1" ht="17.149999999999999" customHeight="1" thickBot="1" x14ac:dyDescent="0.3">
      <c r="A121" s="464" t="s">
        <v>158</v>
      </c>
      <c r="B121" s="321" t="s">
        <v>363</v>
      </c>
      <c r="C121" s="1011">
        <v>0</v>
      </c>
      <c r="D121" s="1033">
        <f ca="1">Scale_Factor *CEPCIinflator*CPIinflator</f>
        <v>1.0370832740437685</v>
      </c>
      <c r="E121" s="244">
        <f ca="1">C121*D121</f>
        <v>0</v>
      </c>
      <c r="F121" s="1005"/>
      <c r="G121" s="1023"/>
    </row>
    <row r="122" spans="1:8" s="35" customFormat="1" ht="24" customHeight="1" thickBot="1" x14ac:dyDescent="0.3">
      <c r="A122" s="464" t="s">
        <v>1014</v>
      </c>
      <c r="B122" s="327" t="s">
        <v>996</v>
      </c>
      <c r="C122" s="1021"/>
      <c r="D122" s="1021"/>
      <c r="E122" s="861">
        <f ca="1">(labor_cost+overhead_GA+tax_insurance+licensing+SUM(E117:E121))*sensitivity_07</f>
        <v>8186102.7538074777</v>
      </c>
      <c r="F122" s="1022"/>
      <c r="G122" s="1024"/>
    </row>
    <row r="123" spans="1:8" s="35" customFormat="1" ht="13" thickBot="1" x14ac:dyDescent="0.3">
      <c r="A123" s="464"/>
      <c r="B123" s="322"/>
      <c r="C123" s="325"/>
      <c r="D123" s="511"/>
      <c r="E123" s="319"/>
      <c r="F123" s="319"/>
      <c r="G123" s="320"/>
    </row>
    <row r="124" spans="1:8" s="35" customFormat="1" ht="26.25" customHeight="1" thickTop="1" thickBot="1" x14ac:dyDescent="0.3">
      <c r="A124" s="464"/>
      <c r="B124" s="490" t="s">
        <v>947</v>
      </c>
      <c r="C124" s="491"/>
      <c r="D124" s="492"/>
      <c r="E124" s="493"/>
      <c r="F124" s="492"/>
      <c r="G124" s="494"/>
    </row>
    <row r="125" spans="1:8" customFormat="1" ht="15" customHeight="1" thickTop="1" x14ac:dyDescent="0.3">
      <c r="A125" s="464"/>
      <c r="B125" s="505" t="s">
        <v>1043</v>
      </c>
      <c r="C125" s="506"/>
      <c r="D125" s="506"/>
      <c r="E125" s="506"/>
      <c r="F125" s="506"/>
      <c r="G125" s="507"/>
    </row>
    <row r="126" spans="1:8" customFormat="1" ht="15" customHeight="1" x14ac:dyDescent="0.25">
      <c r="A126" s="464"/>
      <c r="B126" s="449"/>
      <c r="C126" s="447"/>
      <c r="D126" s="447"/>
      <c r="E126" s="447"/>
      <c r="F126" s="447"/>
      <c r="G126" s="448"/>
    </row>
    <row r="127" spans="1:8" customFormat="1" ht="24" customHeight="1" thickBot="1" x14ac:dyDescent="0.3">
      <c r="A127" s="464"/>
      <c r="B127" s="431" t="s">
        <v>1050</v>
      </c>
      <c r="C127" s="447"/>
      <c r="D127" s="447"/>
      <c r="E127" s="447"/>
      <c r="F127" s="447"/>
      <c r="G127" s="448"/>
    </row>
    <row r="128" spans="1:8" customFormat="1" ht="24" customHeight="1" thickBot="1" x14ac:dyDescent="0.3">
      <c r="A128" s="464"/>
      <c r="B128" s="475" t="s">
        <v>1046</v>
      </c>
      <c r="C128" s="447"/>
      <c r="D128" s="447"/>
      <c r="E128" s="447"/>
      <c r="F128" s="447"/>
      <c r="G128" s="448"/>
    </row>
    <row r="129" spans="1:7" customFormat="1" ht="24" customHeight="1" thickBot="1" x14ac:dyDescent="0.3">
      <c r="A129" s="464"/>
      <c r="B129" s="453" t="s">
        <v>1071</v>
      </c>
      <c r="C129" s="1583" t="str">
        <f>B128</f>
        <v>Process Water</v>
      </c>
      <c r="D129" s="1584"/>
      <c r="E129" s="447"/>
      <c r="F129" s="447"/>
      <c r="G129" s="448"/>
    </row>
    <row r="130" spans="1:7" customFormat="1" ht="18.75" customHeight="1" thickBot="1" x14ac:dyDescent="0.3">
      <c r="A130" s="464"/>
      <c r="B130" s="436" t="str">
        <f ca="1">"$(" &amp; ref_year &amp; ")/ " &amp; VLOOKUP(TMP_NonE_Feed,Tbl_Other_Inputs_and_Byproducts,2,FALSE)</f>
        <v>$(2016)/ gal</v>
      </c>
      <c r="C130" s="480">
        <f ca="1">HLOOKUP(startup_year,Tbl_Other_Inputs_and_Byproducts,MATCH(TMP_NonE_Feed,Other_Inputs_List,0),FALSE)</f>
        <v>2.374951094500801E-3</v>
      </c>
      <c r="D130" s="447"/>
      <c r="E130" s="447"/>
      <c r="F130" s="447"/>
      <c r="G130" s="448"/>
    </row>
    <row r="131" spans="1:7" customFormat="1" ht="18" customHeight="1" thickBot="1" x14ac:dyDescent="0.3">
      <c r="A131" s="464"/>
      <c r="B131" s="441" t="str">
        <f>IF(TMP_NonE_Type="Feed or utility","Usage per kg H2","Production per kg H2")</f>
        <v>Usage per kg H2</v>
      </c>
      <c r="C131" s="477"/>
      <c r="D131" s="447"/>
      <c r="E131" s="447"/>
      <c r="F131" s="447"/>
      <c r="G131" s="448"/>
    </row>
    <row r="132" spans="1:7" customFormat="1" ht="19.5" customHeight="1" thickBot="1" x14ac:dyDescent="0.3">
      <c r="A132" s="464"/>
      <c r="B132" s="441" t="str">
        <f>IF(TMP_NonE_Type = "Feed or utility", "Cost in Startup Year","Income in Startup Year")</f>
        <v>Cost in Startup Year</v>
      </c>
      <c r="C132" s="452">
        <f ca="1">design_cap*365*cap_factor*TMP_NonE_Usage*TMP_NonE_StartPrice</f>
        <v>0</v>
      </c>
      <c r="D132" s="447"/>
      <c r="E132" s="447"/>
      <c r="F132" s="447"/>
      <c r="G132" s="448"/>
    </row>
    <row r="133" spans="1:7" customFormat="1" ht="24" customHeight="1" thickBot="1" x14ac:dyDescent="0.3">
      <c r="A133" s="464"/>
      <c r="B133" s="450" t="s">
        <v>262</v>
      </c>
      <c r="C133" s="454" t="s">
        <v>23</v>
      </c>
      <c r="D133" s="451"/>
      <c r="E133" s="451"/>
      <c r="F133" s="451"/>
      <c r="G133" s="443"/>
    </row>
    <row r="134" spans="1:7" customFormat="1" ht="24" customHeight="1" x14ac:dyDescent="0.25">
      <c r="A134" s="467" t="s">
        <v>1052</v>
      </c>
      <c r="B134" s="328"/>
      <c r="C134" s="329"/>
      <c r="D134" s="329"/>
      <c r="E134" s="330"/>
      <c r="F134" s="329"/>
      <c r="G134" s="331"/>
    </row>
    <row r="135" spans="1:7" customFormat="1" ht="24" customHeight="1" x14ac:dyDescent="0.25">
      <c r="A135" s="467"/>
      <c r="B135" s="328" t="s">
        <v>1071</v>
      </c>
      <c r="C135" s="329" t="s">
        <v>1300</v>
      </c>
      <c r="D135" s="329" t="s">
        <v>836</v>
      </c>
      <c r="E135" s="330" t="s">
        <v>833</v>
      </c>
      <c r="F135" s="329" t="s">
        <v>262</v>
      </c>
      <c r="G135" s="331"/>
    </row>
    <row r="136" spans="1:7" customFormat="1" ht="24" customHeight="1" x14ac:dyDescent="0.25">
      <c r="A136" s="467"/>
      <c r="B136" s="328" t="s">
        <v>1046</v>
      </c>
      <c r="C136" s="329">
        <v>2.374951094500801E-3</v>
      </c>
      <c r="D136" s="329">
        <v>4.76</v>
      </c>
      <c r="E136" s="330">
        <v>200122.64153190603</v>
      </c>
      <c r="F136" s="329" t="s">
        <v>23</v>
      </c>
      <c r="G136" s="331"/>
    </row>
    <row r="137" spans="1:7" customFormat="1" ht="16" customHeight="1" x14ac:dyDescent="0.25">
      <c r="A137" s="464" t="s">
        <v>1053</v>
      </c>
      <c r="B137" s="328"/>
      <c r="C137" s="334"/>
      <c r="D137" s="334"/>
      <c r="E137" s="335"/>
      <c r="F137" s="334"/>
      <c r="G137" s="331"/>
    </row>
    <row r="138" spans="1:7" customFormat="1" ht="16" customHeight="1" thickBot="1" x14ac:dyDescent="0.3">
      <c r="A138" s="464" t="s">
        <v>1054</v>
      </c>
      <c r="B138" s="328"/>
      <c r="C138" s="329"/>
      <c r="D138" s="329"/>
      <c r="E138" s="335"/>
      <c r="F138" s="329"/>
      <c r="G138" s="331"/>
    </row>
    <row r="139" spans="1:7" customFormat="1" ht="17.149999999999999" customHeight="1" thickBot="1" x14ac:dyDescent="0.3">
      <c r="A139" s="464"/>
      <c r="B139" s="333" t="s">
        <v>861</v>
      </c>
      <c r="C139" s="245">
        <f>SUM(Dynamic_NonE_Feed_Total)</f>
        <v>200122.64153190603</v>
      </c>
      <c r="D139" s="471"/>
      <c r="E139" s="1589"/>
      <c r="F139" s="1589"/>
      <c r="G139" s="1581"/>
    </row>
    <row r="140" spans="1:7" customFormat="1" ht="17.149999999999999" customHeight="1" thickBot="1" x14ac:dyDescent="0.3">
      <c r="A140" s="464" t="s">
        <v>257</v>
      </c>
      <c r="B140" s="333" t="s">
        <v>279</v>
      </c>
      <c r="C140" s="245">
        <f>SUM(Dynamic_NonE_Byprod_Total)</f>
        <v>0</v>
      </c>
      <c r="D140" s="471"/>
      <c r="E140" s="1589"/>
      <c r="F140" s="1589"/>
      <c r="G140" s="1581"/>
    </row>
    <row r="141" spans="1:7" customFormat="1" ht="26.5" customHeight="1" thickBot="1" x14ac:dyDescent="0.3">
      <c r="A141" s="464"/>
      <c r="B141" s="333"/>
      <c r="C141" s="329"/>
      <c r="D141" s="478"/>
      <c r="E141" s="1589"/>
      <c r="F141" s="1589"/>
      <c r="G141" s="1581"/>
    </row>
    <row r="142" spans="1:7" customFormat="1" ht="17.149999999999999" customHeight="1" thickBot="1" x14ac:dyDescent="0.3">
      <c r="A142" s="464" t="s">
        <v>250</v>
      </c>
      <c r="B142" s="327" t="s">
        <v>253</v>
      </c>
      <c r="C142" s="243">
        <f ca="1">Total_Energy_Feed_Cost</f>
        <v>66014293.575418219</v>
      </c>
      <c r="D142" s="471"/>
      <c r="E142" s="1585"/>
      <c r="F142" s="1585"/>
      <c r="G142" s="1586"/>
    </row>
    <row r="143" spans="1:7" customFormat="1" ht="17.149999999999999" customHeight="1" thickBot="1" x14ac:dyDescent="0.3">
      <c r="A143" s="464" t="s">
        <v>664</v>
      </c>
      <c r="B143" s="327" t="s">
        <v>254</v>
      </c>
      <c r="C143" s="243">
        <f>Total_Energy_Utilities_Cost+Total_Non_Energy_Feed_Cost</f>
        <v>200122.64153190603</v>
      </c>
      <c r="D143" s="471"/>
      <c r="E143" s="1585"/>
      <c r="F143" s="1585"/>
      <c r="G143" s="1586"/>
    </row>
    <row r="144" spans="1:7" customFormat="1" ht="31.5" customHeight="1" thickBot="1" x14ac:dyDescent="0.3">
      <c r="A144" s="464" t="s">
        <v>665</v>
      </c>
      <c r="B144" s="327" t="s">
        <v>255</v>
      </c>
      <c r="C144" s="508">
        <f>Total_Energy_Byproduct_Credit+total_non_energy_byproduct_credit</f>
        <v>0</v>
      </c>
      <c r="D144" s="471"/>
      <c r="E144" s="1593"/>
      <c r="F144" s="1593"/>
      <c r="G144" s="1594"/>
    </row>
    <row r="145" spans="1:7" customFormat="1" ht="45.75" customHeight="1" thickTop="1" thickBot="1" x14ac:dyDescent="0.35">
      <c r="A145" s="464"/>
      <c r="B145" s="505" t="s">
        <v>816</v>
      </c>
      <c r="C145" s="1028" t="str">
        <f>"Enter values in basis year (" &amp; BasisYear &amp; ") dollars"</f>
        <v>Enter values in basis year (2012) dollars</v>
      </c>
      <c r="D145" s="1028" t="s">
        <v>843</v>
      </c>
      <c r="E145" s="1028" t="str">
        <f xml:space="preserve"> "Reference Year ("&amp; ref_year &amp; ") Dollars"</f>
        <v>Reference Year (2016) Dollars</v>
      </c>
      <c r="F145" s="509"/>
      <c r="G145" s="510"/>
    </row>
    <row r="146" spans="1:7" s="35" customFormat="1" ht="39" customHeight="1" thickBot="1" x14ac:dyDescent="0.3">
      <c r="A146" s="464" t="s">
        <v>187</v>
      </c>
      <c r="B146" s="321" t="s">
        <v>364</v>
      </c>
      <c r="C146" s="1011"/>
      <c r="D146" s="1033">
        <f ca="1">Scale_Ratio * VLOOKUP(ref_year,Chemical_price_indexes,2,FALSE)/VLOOKUP(BasisYear,Chemical_price_indexes,2,FALSE)</f>
        <v>1.0261237034191317</v>
      </c>
      <c r="E146" s="508">
        <f ca="1">C146*D146</f>
        <v>0</v>
      </c>
      <c r="F146" s="1592"/>
      <c r="G146" s="1557"/>
    </row>
    <row r="147" spans="1:7" s="35" customFormat="1" ht="38.25" customHeight="1" thickBot="1" x14ac:dyDescent="0.3">
      <c r="A147" s="464" t="s">
        <v>280</v>
      </c>
      <c r="B147" s="611" t="s">
        <v>928</v>
      </c>
      <c r="C147" s="1011">
        <v>0</v>
      </c>
      <c r="D147" s="1033">
        <f ca="1">Scale_Ratio * VLOOKUP(ref_year,Chemical_price_indexes,2,FALSE)/VLOOKUP(BasisYear,Chemical_price_indexes,2,FALSE)</f>
        <v>1.0261237034191317</v>
      </c>
      <c r="E147" s="508">
        <f ca="1">C147*D147</f>
        <v>0</v>
      </c>
      <c r="F147" s="1005"/>
      <c r="G147" s="1023"/>
    </row>
    <row r="148" spans="1:7" s="35" customFormat="1" ht="17.149999999999999" customHeight="1" thickBot="1" x14ac:dyDescent="0.3">
      <c r="A148" s="464" t="s">
        <v>188</v>
      </c>
      <c r="B148" s="322" t="s">
        <v>365</v>
      </c>
      <c r="C148" s="1011">
        <v>0</v>
      </c>
      <c r="D148" s="1033">
        <f ca="1">Scale_Ratio * VLOOKUP(ref_year,Chemical_price_indexes,2,FALSE)/VLOOKUP(BasisYear,Chemical_price_indexes,2,FALSE)</f>
        <v>1.0261237034191317</v>
      </c>
      <c r="E148" s="508">
        <f ca="1">C148*D148</f>
        <v>0</v>
      </c>
      <c r="F148" s="1005"/>
      <c r="G148" s="1023"/>
    </row>
    <row r="149" spans="1:7" s="35" customFormat="1" ht="17.149999999999999" customHeight="1" thickBot="1" x14ac:dyDescent="0.3">
      <c r="A149" s="464" t="s">
        <v>180</v>
      </c>
      <c r="B149" s="322" t="s">
        <v>366</v>
      </c>
      <c r="C149" s="1011">
        <v>0</v>
      </c>
      <c r="D149" s="1033">
        <f ca="1">Scale_Ratio * VLOOKUP(ref_year,Chemical_price_indexes,2,FALSE)/VLOOKUP(BasisYear,Chemical_price_indexes,2,FALSE)</f>
        <v>1.0261237034191317</v>
      </c>
      <c r="E149" s="508">
        <f ca="1">C149*D149</f>
        <v>0</v>
      </c>
      <c r="F149" s="1005"/>
      <c r="G149" s="1023"/>
    </row>
    <row r="150" spans="1:7" s="35" customFormat="1" ht="28.5" customHeight="1" thickBot="1" x14ac:dyDescent="0.3">
      <c r="A150" s="464" t="s">
        <v>176</v>
      </c>
      <c r="B150" s="322" t="s">
        <v>367</v>
      </c>
      <c r="C150" s="1268">
        <v>5.0000000000000001E-3</v>
      </c>
      <c r="D150"/>
      <c r="E150" s="1590" t="s">
        <v>1204</v>
      </c>
      <c r="F150" s="1590"/>
      <c r="G150" s="1591"/>
    </row>
    <row r="151" spans="1:7" s="35" customFormat="1" ht="17.149999999999999" customHeight="1" thickBot="1" x14ac:dyDescent="0.3">
      <c r="A151" s="464" t="s">
        <v>177</v>
      </c>
      <c r="B151" s="322" t="s">
        <v>368</v>
      </c>
      <c r="C151" s="1011">
        <v>0</v>
      </c>
      <c r="D151" s="1033">
        <f ca="1">Scale_Ratio * CPIinflator</f>
        <v>1.100724186648488</v>
      </c>
      <c r="E151" s="997">
        <v>0</v>
      </c>
      <c r="F151" s="1005"/>
      <c r="G151" s="1023"/>
    </row>
    <row r="152" spans="1:7" s="35" customFormat="1" ht="17.149999999999999" customHeight="1" thickBot="1" x14ac:dyDescent="0.3">
      <c r="A152" s="464" t="s">
        <v>156</v>
      </c>
      <c r="B152" s="322" t="s">
        <v>369</v>
      </c>
      <c r="C152" s="1011">
        <v>0</v>
      </c>
      <c r="D152" s="1033">
        <f ca="1">Scale_Ratio * CPIinflator</f>
        <v>1.100724186648488</v>
      </c>
      <c r="E152" s="997">
        <v>0</v>
      </c>
      <c r="F152" s="1005"/>
      <c r="G152" s="1023"/>
    </row>
    <row r="153" spans="1:7" s="35" customFormat="1" ht="17.149999999999999" customHeight="1" thickBot="1" x14ac:dyDescent="0.3">
      <c r="A153" s="464" t="s">
        <v>185</v>
      </c>
      <c r="B153" s="322" t="s">
        <v>370</v>
      </c>
      <c r="C153" s="1011">
        <v>0</v>
      </c>
      <c r="D153" s="1033">
        <f ca="1">Scale_Ratio * CPIinflator</f>
        <v>1.100724186648488</v>
      </c>
      <c r="E153" s="997">
        <v>0</v>
      </c>
      <c r="F153" s="1009"/>
      <c r="G153" s="1010"/>
    </row>
    <row r="154" spans="1:7" s="35" customFormat="1" ht="17.149999999999999" customHeight="1" thickBot="1" x14ac:dyDescent="0.3">
      <c r="A154" s="464" t="s">
        <v>9</v>
      </c>
      <c r="B154" s="322" t="s">
        <v>959</v>
      </c>
      <c r="C154"/>
      <c r="D154" s="1037"/>
      <c r="E154" s="997">
        <f>Det_CO2_OandMcost</f>
        <v>0</v>
      </c>
      <c r="F154" s="1009"/>
      <c r="G154" s="1581"/>
    </row>
    <row r="155" spans="1:7" s="35" customFormat="1" ht="17.149999999999999" customHeight="1" thickBot="1" x14ac:dyDescent="0.3">
      <c r="A155" s="464"/>
      <c r="B155" s="322" t="s">
        <v>956</v>
      </c>
      <c r="C155" s="1011">
        <v>0</v>
      </c>
      <c r="D155" s="1033">
        <f>CPIinflator</f>
        <v>1.100724186648488</v>
      </c>
      <c r="E155" s="997">
        <v>0</v>
      </c>
      <c r="F155" s="1009"/>
      <c r="G155" s="1581"/>
    </row>
    <row r="156" spans="1:7" s="35" customFormat="1" ht="17.149999999999999" customHeight="1" thickBot="1" x14ac:dyDescent="0.3">
      <c r="A156" s="464"/>
      <c r="B156" s="322" t="s">
        <v>955</v>
      </c>
      <c r="C156"/>
      <c r="D156" s="1037"/>
      <c r="E156" s="829">
        <f ca="1">ROUND(Proc_CO2_tax*12/44*Proc_CO2_MTpY,-2)</f>
        <v>0</v>
      </c>
      <c r="F156" s="1009"/>
      <c r="G156" s="1581"/>
    </row>
    <row r="157" spans="1:7" s="35" customFormat="1" ht="17.149999999999999" customHeight="1" thickBot="1" x14ac:dyDescent="0.3">
      <c r="A157" s="464"/>
      <c r="B157" s="322" t="s">
        <v>957</v>
      </c>
      <c r="C157" s="1011">
        <v>0</v>
      </c>
      <c r="D157" s="1033">
        <f>CPIinflator</f>
        <v>1.100724186648488</v>
      </c>
      <c r="E157" s="829">
        <v>0</v>
      </c>
      <c r="F157" s="1009"/>
      <c r="G157" s="1581"/>
    </row>
    <row r="158" spans="1:7" s="35" customFormat="1" ht="17.149999999999999" customHeight="1" thickBot="1" x14ac:dyDescent="0.3">
      <c r="A158" s="464"/>
      <c r="B158" s="322" t="s">
        <v>958</v>
      </c>
      <c r="C158" s="1031"/>
      <c r="D158" s="1032"/>
      <c r="E158" s="829">
        <f ca="1">ROUND(Upstream_CO2_tax/1000*Upstream_GHG_total*output_kgyear,2)</f>
        <v>0</v>
      </c>
      <c r="F158" s="825"/>
      <c r="G158" s="1581"/>
    </row>
    <row r="159" spans="1:7" s="35" customFormat="1" ht="23.25" customHeight="1" thickBot="1" x14ac:dyDescent="0.3">
      <c r="A159" s="464" t="s">
        <v>260</v>
      </c>
      <c r="B159" s="336" t="s">
        <v>258</v>
      </c>
      <c r="C159" s="1029"/>
      <c r="D159" s="1030"/>
      <c r="E159" s="831">
        <f ca="1">ROUND(total_feedstock+total_utilities+total_other_raw-total_byproducts+var_misc+waste_treat+solidwaste_treat+royalties+operator_profit-tax_credit+CO2_OandMcost+Proc_CO2_taxpYear + Upstream_CO2_taxpYear,-2)</f>
        <v>66214400</v>
      </c>
      <c r="F159" s="1027"/>
      <c r="G159" s="1582"/>
    </row>
    <row r="160" spans="1:7" s="35" customFormat="1" x14ac:dyDescent="0.25">
      <c r="A160" s="463"/>
    </row>
    <row r="161" spans="1:1" s="35" customFormat="1" x14ac:dyDescent="0.25">
      <c r="A161" s="463"/>
    </row>
    <row r="162" spans="1:1" s="35" customFormat="1" x14ac:dyDescent="0.25">
      <c r="A162" s="463"/>
    </row>
    <row r="163" spans="1:1" s="35" customFormat="1" x14ac:dyDescent="0.25">
      <c r="A163" s="463"/>
    </row>
    <row r="164" spans="1:1" s="35" customFormat="1" x14ac:dyDescent="0.25">
      <c r="A164" s="463"/>
    </row>
    <row r="165" spans="1:1" s="35" customFormat="1" x14ac:dyDescent="0.25">
      <c r="A165" s="463"/>
    </row>
    <row r="166" spans="1:1" s="35" customFormat="1" x14ac:dyDescent="0.25">
      <c r="A166" s="463"/>
    </row>
    <row r="167" spans="1:1" s="35" customFormat="1" x14ac:dyDescent="0.25">
      <c r="A167" s="463"/>
    </row>
    <row r="168" spans="1:1" s="35" customFormat="1" x14ac:dyDescent="0.25">
      <c r="A168" s="463"/>
    </row>
    <row r="169" spans="1:1" s="35" customFormat="1" x14ac:dyDescent="0.25">
      <c r="A169" s="463"/>
    </row>
    <row r="170" spans="1:1" s="35" customFormat="1" x14ac:dyDescent="0.25">
      <c r="A170" s="463"/>
    </row>
    <row r="171" spans="1:1" s="35" customFormat="1" x14ac:dyDescent="0.25">
      <c r="A171" s="463"/>
    </row>
    <row r="172" spans="1:1" s="35" customFormat="1" x14ac:dyDescent="0.25">
      <c r="A172" s="463"/>
    </row>
    <row r="173" spans="1:1" s="35" customFormat="1" x14ac:dyDescent="0.25">
      <c r="A173" s="463"/>
    </row>
    <row r="174" spans="1:1" s="35" customFormat="1" x14ac:dyDescent="0.25">
      <c r="A174" s="463"/>
    </row>
    <row r="175" spans="1:1" s="35" customFormat="1" x14ac:dyDescent="0.25">
      <c r="A175" s="463"/>
    </row>
    <row r="176" spans="1:1" s="35" customFormat="1" x14ac:dyDescent="0.25">
      <c r="A176" s="463"/>
    </row>
    <row r="177" spans="1:4" s="35" customFormat="1" x14ac:dyDescent="0.25">
      <c r="A177" s="463"/>
    </row>
    <row r="178" spans="1:4" s="35" customFormat="1" x14ac:dyDescent="0.25">
      <c r="A178" s="463"/>
    </row>
    <row r="179" spans="1:4" s="35" customFormat="1" x14ac:dyDescent="0.25">
      <c r="A179" s="463"/>
    </row>
    <row r="180" spans="1:4" s="35" customFormat="1" x14ac:dyDescent="0.25">
      <c r="A180" s="463"/>
    </row>
    <row r="181" spans="1:4" s="35" customFormat="1" x14ac:dyDescent="0.25">
      <c r="A181" s="463"/>
    </row>
    <row r="182" spans="1:4" s="35" customFormat="1" x14ac:dyDescent="0.25">
      <c r="A182" s="463"/>
    </row>
    <row r="183" spans="1:4" s="35" customFormat="1" x14ac:dyDescent="0.25">
      <c r="A183" s="463"/>
    </row>
    <row r="184" spans="1:4" s="35" customFormat="1" x14ac:dyDescent="0.25">
      <c r="A184" s="463"/>
    </row>
    <row r="185" spans="1:4" s="35" customFormat="1" x14ac:dyDescent="0.25">
      <c r="A185" s="463"/>
    </row>
    <row r="186" spans="1:4" s="35" customFormat="1" x14ac:dyDescent="0.25">
      <c r="A186" s="463"/>
      <c r="B186" s="29"/>
      <c r="C186" s="34"/>
      <c r="D186" s="29"/>
    </row>
    <row r="187" spans="1:4" s="35" customFormat="1" x14ac:dyDescent="0.25">
      <c r="A187" s="463"/>
      <c r="B187" s="29"/>
      <c r="C187" s="34"/>
      <c r="D187" s="29"/>
    </row>
    <row r="188" spans="1:4" s="35" customFormat="1" x14ac:dyDescent="0.25">
      <c r="A188" s="463"/>
      <c r="B188" s="29"/>
      <c r="C188" s="34"/>
      <c r="D188" s="29"/>
    </row>
    <row r="189" spans="1:4" s="35" customFormat="1" x14ac:dyDescent="0.25">
      <c r="A189" s="463"/>
      <c r="B189" s="29"/>
      <c r="C189" s="34"/>
      <c r="D189" s="29"/>
    </row>
    <row r="190" spans="1:4" s="35" customFormat="1" x14ac:dyDescent="0.25">
      <c r="A190" s="463"/>
      <c r="B190" s="29"/>
      <c r="C190" s="34"/>
      <c r="D190" s="29"/>
    </row>
    <row r="191" spans="1:4" s="35" customFormat="1" x14ac:dyDescent="0.25">
      <c r="A191" s="463"/>
      <c r="B191" s="29"/>
      <c r="C191" s="34"/>
      <c r="D191" s="29"/>
    </row>
    <row r="192" spans="1:4" s="35" customFormat="1" x14ac:dyDescent="0.25">
      <c r="A192" s="463"/>
      <c r="B192" s="29"/>
      <c r="C192" s="34"/>
      <c r="D192" s="29"/>
    </row>
    <row r="193" spans="1:4" s="35" customFormat="1" x14ac:dyDescent="0.25">
      <c r="A193" s="463"/>
      <c r="B193" s="29"/>
      <c r="C193" s="34"/>
      <c r="D193" s="29"/>
    </row>
    <row r="194" spans="1:4" s="35" customFormat="1" x14ac:dyDescent="0.25">
      <c r="A194" s="463"/>
      <c r="B194" s="29"/>
      <c r="C194" s="34"/>
      <c r="D194" s="29"/>
    </row>
    <row r="195" spans="1:4" s="35" customFormat="1" x14ac:dyDescent="0.25">
      <c r="A195" s="463"/>
      <c r="B195" s="29"/>
      <c r="C195" s="34"/>
      <c r="D195" s="29"/>
    </row>
    <row r="196" spans="1:4" s="35" customFormat="1" x14ac:dyDescent="0.25">
      <c r="A196" s="463"/>
      <c r="B196" s="29"/>
      <c r="C196" s="34"/>
      <c r="D196" s="29"/>
    </row>
    <row r="197" spans="1:4" s="35" customFormat="1" x14ac:dyDescent="0.25">
      <c r="A197" s="463"/>
      <c r="B197" s="29"/>
      <c r="C197" s="34"/>
      <c r="D197" s="29"/>
    </row>
    <row r="198" spans="1:4" s="35" customFormat="1" x14ac:dyDescent="0.25">
      <c r="A198" s="463"/>
      <c r="B198" s="29"/>
      <c r="C198" s="34"/>
      <c r="D198" s="29"/>
    </row>
    <row r="199" spans="1:4" s="35" customFormat="1" x14ac:dyDescent="0.25">
      <c r="A199" s="463"/>
      <c r="B199" s="29"/>
      <c r="C199" s="34"/>
      <c r="D199" s="29"/>
    </row>
    <row r="200" spans="1:4" s="35" customFormat="1" x14ac:dyDescent="0.25">
      <c r="A200" s="463"/>
      <c r="B200" s="29"/>
      <c r="C200" s="34"/>
      <c r="D200" s="29"/>
    </row>
    <row r="201" spans="1:4" s="35" customFormat="1" x14ac:dyDescent="0.25">
      <c r="A201" s="463"/>
      <c r="B201" s="29"/>
      <c r="C201" s="34"/>
      <c r="D201" s="29"/>
    </row>
    <row r="202" spans="1:4" s="35" customFormat="1" x14ac:dyDescent="0.25">
      <c r="A202" s="463"/>
      <c r="B202" s="29"/>
      <c r="C202" s="34"/>
      <c r="D202" s="29"/>
    </row>
    <row r="203" spans="1:4" s="35" customFormat="1" x14ac:dyDescent="0.25">
      <c r="A203" s="463"/>
      <c r="B203" s="29"/>
      <c r="C203" s="34"/>
      <c r="D203" s="29"/>
    </row>
    <row r="204" spans="1:4" s="35" customFormat="1" x14ac:dyDescent="0.25">
      <c r="A204" s="463"/>
      <c r="B204" s="29"/>
      <c r="C204" s="34"/>
      <c r="D204" s="29"/>
    </row>
    <row r="205" spans="1:4" s="35" customFormat="1" x14ac:dyDescent="0.25">
      <c r="A205" s="463"/>
      <c r="B205" s="29"/>
      <c r="C205" s="34"/>
      <c r="D205" s="29"/>
    </row>
    <row r="206" spans="1:4" s="35" customFormat="1" x14ac:dyDescent="0.25">
      <c r="A206" s="463"/>
      <c r="B206" s="29"/>
      <c r="C206" s="34"/>
      <c r="D206" s="29"/>
    </row>
    <row r="207" spans="1:4" s="35" customFormat="1" x14ac:dyDescent="0.25">
      <c r="A207" s="463"/>
      <c r="B207" s="29"/>
      <c r="C207" s="34"/>
      <c r="D207" s="29"/>
    </row>
    <row r="208" spans="1:4" s="35" customFormat="1" x14ac:dyDescent="0.25">
      <c r="A208" s="463"/>
      <c r="B208" s="29"/>
      <c r="C208" s="34"/>
      <c r="D208" s="29"/>
    </row>
    <row r="209" spans="1:4" s="35" customFormat="1" x14ac:dyDescent="0.25">
      <c r="A209" s="463"/>
      <c r="B209" s="29"/>
      <c r="C209" s="34"/>
      <c r="D209" s="29"/>
    </row>
    <row r="210" spans="1:4" s="35" customFormat="1" x14ac:dyDescent="0.25">
      <c r="A210" s="463"/>
      <c r="B210" s="29"/>
      <c r="C210" s="34"/>
      <c r="D210" s="29"/>
    </row>
    <row r="211" spans="1:4" s="35" customFormat="1" x14ac:dyDescent="0.25">
      <c r="A211" s="463"/>
      <c r="B211" s="29"/>
      <c r="C211" s="34"/>
      <c r="D211" s="29"/>
    </row>
    <row r="212" spans="1:4" s="35" customFormat="1" x14ac:dyDescent="0.25">
      <c r="A212" s="463"/>
      <c r="B212" s="29"/>
      <c r="C212" s="34"/>
      <c r="D212" s="29"/>
    </row>
    <row r="213" spans="1:4" s="35" customFormat="1" x14ac:dyDescent="0.25">
      <c r="A213" s="463"/>
      <c r="B213" s="29"/>
      <c r="C213" s="34"/>
      <c r="D213" s="29"/>
    </row>
    <row r="214" spans="1:4" s="35" customFormat="1" x14ac:dyDescent="0.25">
      <c r="A214" s="463"/>
      <c r="B214" s="29"/>
      <c r="C214" s="34"/>
      <c r="D214" s="29"/>
    </row>
    <row r="215" spans="1:4" s="35" customFormat="1" x14ac:dyDescent="0.25">
      <c r="A215" s="463"/>
      <c r="B215" s="29"/>
      <c r="C215" s="34"/>
      <c r="D215" s="29"/>
    </row>
    <row r="216" spans="1:4" s="35" customFormat="1" x14ac:dyDescent="0.25">
      <c r="A216" s="463"/>
      <c r="B216" s="29"/>
      <c r="C216" s="34"/>
      <c r="D216" s="29"/>
    </row>
    <row r="217" spans="1:4" s="35" customFormat="1" x14ac:dyDescent="0.25">
      <c r="A217" s="463"/>
      <c r="B217" s="29"/>
      <c r="C217" s="34"/>
      <c r="D217" s="29"/>
    </row>
    <row r="218" spans="1:4" s="35" customFormat="1" x14ac:dyDescent="0.25">
      <c r="A218" s="463"/>
      <c r="B218" s="29"/>
      <c r="C218" s="34"/>
      <c r="D218" s="29"/>
    </row>
    <row r="219" spans="1:4" s="35" customFormat="1" x14ac:dyDescent="0.25">
      <c r="A219" s="463"/>
      <c r="B219" s="29"/>
      <c r="C219" s="34"/>
      <c r="D219" s="29"/>
    </row>
    <row r="220" spans="1:4" s="35" customFormat="1" x14ac:dyDescent="0.25">
      <c r="A220" s="463"/>
      <c r="B220" s="29"/>
      <c r="C220" s="34"/>
      <c r="D220" s="29"/>
    </row>
    <row r="221" spans="1:4" s="35" customFormat="1" x14ac:dyDescent="0.25">
      <c r="A221" s="463"/>
      <c r="B221" s="29"/>
      <c r="C221" s="34"/>
      <c r="D221" s="29"/>
    </row>
  </sheetData>
  <mergeCells count="50">
    <mergeCell ref="G154:G159"/>
    <mergeCell ref="C129:D129"/>
    <mergeCell ref="E142:G142"/>
    <mergeCell ref="D98:D99"/>
    <mergeCell ref="E86:G86"/>
    <mergeCell ref="E139:G141"/>
    <mergeCell ref="E150:G150"/>
    <mergeCell ref="F146:G146"/>
    <mergeCell ref="E143:G143"/>
    <mergeCell ref="E144:G144"/>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E26:G26"/>
    <mergeCell ref="E28:G28"/>
    <mergeCell ref="E35:G35"/>
    <mergeCell ref="E29:G29"/>
    <mergeCell ref="E44:G44"/>
    <mergeCell ref="E37:G37"/>
    <mergeCell ref="E30:G30"/>
    <mergeCell ref="E31:G31"/>
    <mergeCell ref="E34:G34"/>
    <mergeCell ref="E33:G33"/>
    <mergeCell ref="E40:G40"/>
    <mergeCell ref="E38:G38"/>
    <mergeCell ref="E39:G39"/>
    <mergeCell ref="E48:G48"/>
    <mergeCell ref="E85:G85"/>
    <mergeCell ref="F59:F68"/>
    <mergeCell ref="E56:G56"/>
    <mergeCell ref="E87:G87"/>
    <mergeCell ref="E53:G53"/>
    <mergeCell ref="E52:G52"/>
    <mergeCell ref="E51:G51"/>
    <mergeCell ref="E55:G55"/>
    <mergeCell ref="E83:G83"/>
    <mergeCell ref="E84:G84"/>
  </mergeCells>
  <phoneticPr fontId="2" type="noConversion"/>
  <conditionalFormatting sqref="H16:H17">
    <cfRule type="expression" dxfId="2" priority="9">
      <formula>$H$17 &gt; 0.3</formula>
    </cfRule>
  </conditionalFormatting>
  <dataValidations xWindow="543" yWindow="734" count="17">
    <dataValidation allowBlank="1" showInputMessage="1" showErrorMessage="1" prompt="Tax covers all fuel and utilities.  Result may be negative (credit) for biomass derived feed." sqref="E157" xr:uid="{00000000-0002-0000-0300-000000000000}"/>
    <dataValidation allowBlank="1" showInputMessage="1" showErrorMessage="1" prompt="Enter specific year replacement costs on Replacement Costs sheet" sqref="C150"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6"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7:C88" xr:uid="{00000000-0002-0000-0300-000003000000}"/>
    <dataValidation type="list" allowBlank="1" showInputMessage="1" showErrorMessage="1" sqref="B128"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21C00C03-94D2-41EA-A636-10B0B0BC5E25}">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controls>
    <mc:AlternateContent xmlns:mc="http://schemas.openxmlformats.org/markup-compatibility/2006">
      <mc:Choice Requires="x14">
        <control shapeId="1061" r:id="rId4" name="Label1">
          <controlPr defaultSize="0" autoLine="0" r:id="rId5">
            <anchor moveWithCells="1">
              <from>
                <xdr:col>3</xdr:col>
                <xdr:colOff>165100</xdr:colOff>
                <xdr:row>66</xdr:row>
                <xdr:rowOff>12700</xdr:rowOff>
              </from>
              <to>
                <xdr:col>3</xdr:col>
                <xdr:colOff>476250</xdr:colOff>
                <xdr:row>66</xdr:row>
                <xdr:rowOff>190500</xdr:rowOff>
              </to>
            </anchor>
          </controlPr>
        </control>
      </mc:Choice>
      <mc:Fallback>
        <control shapeId="1061" r:id="rId4" name="Label1"/>
      </mc:Fallback>
    </mc:AlternateContent>
    <mc:AlternateContent xmlns:mc="http://schemas.openxmlformats.org/markup-compatibility/2006">
      <mc:Choice Requires="x14">
        <control shapeId="1063" r:id="rId6" name="lblUseDfltPrice">
          <controlPr defaultSize="0" autoLine="0" r:id="rId7">
            <anchor moveWithCells="1">
              <from>
                <xdr:col>1</xdr:col>
                <xdr:colOff>2495550</xdr:colOff>
                <xdr:row>66</xdr:row>
                <xdr:rowOff>31750</xdr:rowOff>
              </from>
              <to>
                <xdr:col>1</xdr:col>
                <xdr:colOff>3714750</xdr:colOff>
                <xdr:row>66</xdr:row>
                <xdr:rowOff>209550</xdr:rowOff>
              </to>
            </anchor>
          </controlPr>
        </control>
      </mc:Choice>
      <mc:Fallback>
        <control shapeId="1063" r:id="rId6" name="lblUseDfltPrice"/>
      </mc:Fallback>
    </mc:AlternateContent>
    <mc:AlternateContent xmlns:mc="http://schemas.openxmlformats.org/markup-compatibility/2006">
      <mc:Choice Requires="x14">
        <control shapeId="1076" r:id="rId8" name="chkNonEnergyByProd">
          <controlPr defaultSize="0" autoLine="0" r:id="rId9">
            <anchor moveWithCells="1">
              <from>
                <xdr:col>2</xdr:col>
                <xdr:colOff>285750</xdr:colOff>
                <xdr:row>126</xdr:row>
                <xdr:rowOff>247650</xdr:rowOff>
              </from>
              <to>
                <xdr:col>3</xdr:col>
                <xdr:colOff>114300</xdr:colOff>
                <xdr:row>127</xdr:row>
                <xdr:rowOff>228600</xdr:rowOff>
              </to>
            </anchor>
          </controlPr>
        </control>
      </mc:Choice>
      <mc:Fallback>
        <control shapeId="1076" r:id="rId8" name="chkNonEnergyByProd"/>
      </mc:Fallback>
    </mc:AlternateContent>
    <mc:AlternateContent xmlns:mc="http://schemas.openxmlformats.org/markup-compatibility/2006">
      <mc:Choice Requires="x14">
        <control shapeId="1083" r:id="rId10" name="lblUseOtherDefault">
          <controlPr defaultSize="0" autoLine="0" r:id="rId11">
            <anchor moveWithCells="1">
              <from>
                <xdr:col>1</xdr:col>
                <xdr:colOff>2222500</xdr:colOff>
                <xdr:row>129</xdr:row>
                <xdr:rowOff>38100</xdr:rowOff>
              </from>
              <to>
                <xdr:col>1</xdr:col>
                <xdr:colOff>3600450</xdr:colOff>
                <xdr:row>129</xdr:row>
                <xdr:rowOff>222250</xdr:rowOff>
              </to>
            </anchor>
          </controlPr>
        </control>
      </mc:Choice>
      <mc:Fallback>
        <control shapeId="1083" r:id="rId10" name="lblUseOtherDefault"/>
      </mc:Fallback>
    </mc:AlternateContent>
    <mc:AlternateContent xmlns:mc="http://schemas.openxmlformats.org/markup-compatibility/2006">
      <mc:Choice Requires="x14">
        <control shapeId="1085" r:id="rId12" name="Label3">
          <controlPr defaultSize="0" autoLine="0" r:id="rId13">
            <anchor moveWithCells="1">
              <from>
                <xdr:col>3</xdr:col>
                <xdr:colOff>298450</xdr:colOff>
                <xdr:row>129</xdr:row>
                <xdr:rowOff>50800</xdr:rowOff>
              </from>
              <to>
                <xdr:col>3</xdr:col>
                <xdr:colOff>609600</xdr:colOff>
                <xdr:row>129</xdr:row>
                <xdr:rowOff>228600</xdr:rowOff>
              </to>
            </anchor>
          </controlPr>
        </control>
      </mc:Choice>
      <mc:Fallback>
        <control shapeId="1085" r:id="rId12" name="Label3"/>
      </mc:Fallback>
    </mc:AlternateContent>
    <mc:AlternateContent xmlns:mc="http://schemas.openxmlformats.org/markup-compatibility/2006">
      <mc:Choice Requires="x14">
        <control shapeId="1093" r:id="rId14" name="chk_depr_type">
          <controlPr defaultSize="0" autoLine="0" r:id="rId15">
            <anchor moveWithCells="1">
              <from>
                <xdr:col>3</xdr:col>
                <xdr:colOff>203200</xdr:colOff>
                <xdr:row>40</xdr:row>
                <xdr:rowOff>184150</xdr:rowOff>
              </from>
              <to>
                <xdr:col>3</xdr:col>
                <xdr:colOff>1231900</xdr:colOff>
                <xdr:row>41</xdr:row>
                <xdr:rowOff>165100</xdr:rowOff>
              </to>
            </anchor>
          </controlPr>
        </control>
      </mc:Choice>
      <mc:Fallback>
        <control shapeId="1093" r:id="rId14" name="chk_depr_type"/>
      </mc:Fallback>
    </mc:AlternateContent>
    <mc:AlternateContent xmlns:mc="http://schemas.openxmlformats.org/markup-compatibility/2006">
      <mc:Choice Requires="x14">
        <control shapeId="1096" r:id="rId16" name="chk_equity">
          <controlPr defaultSize="0" autoLine="0" r:id="rId17">
            <anchor moveWithCells="1">
              <from>
                <xdr:col>3</xdr:col>
                <xdr:colOff>203200</xdr:colOff>
                <xdr:row>42</xdr:row>
                <xdr:rowOff>12700</xdr:rowOff>
              </from>
              <to>
                <xdr:col>3</xdr:col>
                <xdr:colOff>1231900</xdr:colOff>
                <xdr:row>43</xdr:row>
                <xdr:rowOff>0</xdr:rowOff>
              </to>
            </anchor>
          </controlPr>
        </control>
      </mc:Choice>
      <mc:Fallback>
        <control shapeId="1096" r:id="rId16" name="chk_equity"/>
      </mc:Fallback>
    </mc:AlternateContent>
    <mc:AlternateContent xmlns:mc="http://schemas.openxmlformats.org/markup-compatibility/2006">
      <mc:Choice Requires="x14">
        <control shapeId="1097" r:id="rId18" name="chk_ref_year">
          <controlPr defaultSize="0" autoLine="0" r:id="rId19">
            <anchor moveWithCells="1">
              <from>
                <xdr:col>3</xdr:col>
                <xdr:colOff>203200</xdr:colOff>
                <xdr:row>29</xdr:row>
                <xdr:rowOff>12700</xdr:rowOff>
              </from>
              <to>
                <xdr:col>3</xdr:col>
                <xdr:colOff>1231900</xdr:colOff>
                <xdr:row>30</xdr:row>
                <xdr:rowOff>19050</xdr:rowOff>
              </to>
            </anchor>
          </controlPr>
        </control>
      </mc:Choice>
      <mc:Fallback>
        <control shapeId="1097" r:id="rId18" name="chk_ref_year"/>
      </mc:Fallback>
    </mc:AlternateContent>
    <mc:AlternateContent xmlns:mc="http://schemas.openxmlformats.org/markup-compatibility/2006">
      <mc:Choice Requires="x14">
        <control shapeId="1098" r:id="rId20" name="chk_decom_percent">
          <controlPr defaultSize="0" autoLine="0" r:id="rId21">
            <anchor moveWithCells="1">
              <from>
                <xdr:col>3</xdr:col>
                <xdr:colOff>203200</xdr:colOff>
                <xdr:row>48</xdr:row>
                <xdr:rowOff>12700</xdr:rowOff>
              </from>
              <to>
                <xdr:col>3</xdr:col>
                <xdr:colOff>1231900</xdr:colOff>
                <xdr:row>48</xdr:row>
                <xdr:rowOff>209550</xdr:rowOff>
              </to>
            </anchor>
          </controlPr>
        </control>
      </mc:Choice>
      <mc:Fallback>
        <control shapeId="1098" r:id="rId20" name="chk_decom_percent"/>
      </mc:Fallback>
    </mc:AlternateContent>
    <mc:AlternateContent xmlns:mc="http://schemas.openxmlformats.org/markup-compatibility/2006">
      <mc:Choice Requires="x14">
        <control shapeId="1109" r:id="rId22" name="chk_salvage_perct">
          <controlPr defaultSize="0" autoLine="0" r:id="rId23">
            <anchor moveWithCells="1">
              <from>
                <xdr:col>3</xdr:col>
                <xdr:colOff>203200</xdr:colOff>
                <xdr:row>49</xdr:row>
                <xdr:rowOff>12700</xdr:rowOff>
              </from>
              <to>
                <xdr:col>3</xdr:col>
                <xdr:colOff>1231900</xdr:colOff>
                <xdr:row>49</xdr:row>
                <xdr:rowOff>209550</xdr:rowOff>
              </to>
            </anchor>
          </controlPr>
        </control>
      </mc:Choice>
      <mc:Fallback>
        <control shapeId="1109" r:id="rId22" name="chk_salvage_perct"/>
      </mc:Fallback>
    </mc:AlternateContent>
    <mc:AlternateContent xmlns:mc="http://schemas.openxmlformats.org/markup-compatibility/2006">
      <mc:Choice Requires="x14">
        <control shapeId="1110" r:id="rId24" name="chk_inflation_rate">
          <controlPr defaultSize="0" autoLine="0" r:id="rId25">
            <anchor moveWithCells="1">
              <from>
                <xdr:col>3</xdr:col>
                <xdr:colOff>203200</xdr:colOff>
                <xdr:row>50</xdr:row>
                <xdr:rowOff>12700</xdr:rowOff>
              </from>
              <to>
                <xdr:col>3</xdr:col>
                <xdr:colOff>1231900</xdr:colOff>
                <xdr:row>50</xdr:row>
                <xdr:rowOff>209550</xdr:rowOff>
              </to>
            </anchor>
          </controlPr>
        </control>
      </mc:Choice>
      <mc:Fallback>
        <control shapeId="1110" r:id="rId24" name="chk_inflation_rate"/>
      </mc:Fallback>
    </mc:AlternateContent>
    <mc:AlternateContent xmlns:mc="http://schemas.openxmlformats.org/markup-compatibility/2006">
      <mc:Choice Requires="x14">
        <control shapeId="1111" r:id="rId26" name="chk_real_irr">
          <controlPr defaultSize="0" autoLine="0" r:id="rId27">
            <anchor moveWithCells="1">
              <from>
                <xdr:col>3</xdr:col>
                <xdr:colOff>203200</xdr:colOff>
                <xdr:row>51</xdr:row>
                <xdr:rowOff>12700</xdr:rowOff>
              </from>
              <to>
                <xdr:col>3</xdr:col>
                <xdr:colOff>1231900</xdr:colOff>
                <xdr:row>52</xdr:row>
                <xdr:rowOff>0</xdr:rowOff>
              </to>
            </anchor>
          </controlPr>
        </control>
      </mc:Choice>
      <mc:Fallback>
        <control shapeId="1111" r:id="rId26" name="chk_real_irr"/>
      </mc:Fallback>
    </mc:AlternateContent>
    <mc:AlternateContent xmlns:mc="http://schemas.openxmlformats.org/markup-compatibility/2006">
      <mc:Choice Requires="x14">
        <control shapeId="1112" r:id="rId28" name="chk_state_tax_rate">
          <controlPr defaultSize="0" autoLine="0" r:id="rId29">
            <anchor moveWithCells="1">
              <from>
                <xdr:col>3</xdr:col>
                <xdr:colOff>203200</xdr:colOff>
                <xdr:row>52</xdr:row>
                <xdr:rowOff>12700</xdr:rowOff>
              </from>
              <to>
                <xdr:col>3</xdr:col>
                <xdr:colOff>1231900</xdr:colOff>
                <xdr:row>52</xdr:row>
                <xdr:rowOff>209550</xdr:rowOff>
              </to>
            </anchor>
          </controlPr>
        </control>
      </mc:Choice>
      <mc:Fallback>
        <control shapeId="1112" r:id="rId28" name="chk_state_tax_rate"/>
      </mc:Fallback>
    </mc:AlternateContent>
    <mc:AlternateContent xmlns:mc="http://schemas.openxmlformats.org/markup-compatibility/2006">
      <mc:Choice Requires="x14">
        <control shapeId="1113" r:id="rId30" name="chk_fed_tax_rate">
          <controlPr defaultSize="0" autoLine="0" r:id="rId31">
            <anchor moveWithCells="1">
              <from>
                <xdr:col>3</xdr:col>
                <xdr:colOff>203200</xdr:colOff>
                <xdr:row>53</xdr:row>
                <xdr:rowOff>12700</xdr:rowOff>
              </from>
              <to>
                <xdr:col>3</xdr:col>
                <xdr:colOff>1231900</xdr:colOff>
                <xdr:row>54</xdr:row>
                <xdr:rowOff>0</xdr:rowOff>
              </to>
            </anchor>
          </controlPr>
        </control>
      </mc:Choice>
      <mc:Fallback>
        <control shapeId="1113" r:id="rId30" name="chk_fed_tax_rate"/>
      </mc:Fallback>
    </mc:AlternateContent>
    <mc:AlternateContent xmlns:mc="http://schemas.openxmlformats.org/markup-compatibility/2006">
      <mc:Choice Requires="x14">
        <control shapeId="1114" r:id="rId32" name="chk_WorkingCap">
          <controlPr defaultSize="0" autoLine="0" r:id="rId33">
            <anchor moveWithCells="1">
              <from>
                <xdr:col>3</xdr:col>
                <xdr:colOff>203200</xdr:colOff>
                <xdr:row>55</xdr:row>
                <xdr:rowOff>12700</xdr:rowOff>
              </from>
              <to>
                <xdr:col>3</xdr:col>
                <xdr:colOff>1231900</xdr:colOff>
                <xdr:row>55</xdr:row>
                <xdr:rowOff>209550</xdr:rowOff>
              </to>
            </anchor>
          </controlPr>
        </control>
      </mc:Choice>
      <mc:Fallback>
        <control shapeId="1114" r:id="rId32" name="chk_WorkingCap"/>
      </mc:Fallback>
    </mc:AlternateContent>
    <mc:AlternateContent xmlns:mc="http://schemas.openxmlformats.org/markup-compatibility/2006">
      <mc:Choice Requires="x14">
        <control shapeId="1173" r:id="rId34" name="chk_overhead_rate">
          <controlPr defaultSize="0" autoLine="0" r:id="rId35">
            <anchor moveWithCells="1">
              <from>
                <xdr:col>3</xdr:col>
                <xdr:colOff>76200</xdr:colOff>
                <xdr:row>111</xdr:row>
                <xdr:rowOff>12700</xdr:rowOff>
              </from>
              <to>
                <xdr:col>3</xdr:col>
                <xdr:colOff>1174750</xdr:colOff>
                <xdr:row>112</xdr:row>
                <xdr:rowOff>19050</xdr:rowOff>
              </to>
            </anchor>
          </controlPr>
        </control>
      </mc:Choice>
      <mc:Fallback>
        <control shapeId="1173" r:id="rId34" name="chk_overhead_rate"/>
      </mc:Fallback>
    </mc:AlternateContent>
    <mc:AlternateContent xmlns:mc="http://schemas.openxmlformats.org/markup-compatibility/2006">
      <mc:Choice Requires="x14">
        <control shapeId="1174" r:id="rId36" name="chk_tax_ins_rate">
          <controlPr defaultSize="0" autoLine="0" r:id="rId37">
            <anchor moveWithCells="1">
              <from>
                <xdr:col>3</xdr:col>
                <xdr:colOff>57150</xdr:colOff>
                <xdr:row>114</xdr:row>
                <xdr:rowOff>38100</xdr:rowOff>
              </from>
              <to>
                <xdr:col>3</xdr:col>
                <xdr:colOff>1085850</xdr:colOff>
                <xdr:row>114</xdr:row>
                <xdr:rowOff>260350</xdr:rowOff>
              </to>
            </anchor>
          </controlPr>
        </control>
      </mc:Choice>
      <mc:Fallback>
        <control shapeId="1174" r:id="rId36" name="chk_tax_ins_rate"/>
      </mc:Fallback>
    </mc:AlternateContent>
    <mc:AlternateContent xmlns:mc="http://schemas.openxmlformats.org/markup-compatibility/2006">
      <mc:Choice Requires="x14">
        <control shapeId="1175" r:id="rId38" name="chk_royalties">
          <controlPr defaultSize="0" disabled="1" autoLine="0" r:id="rId39">
            <anchor moveWithCells="1">
              <from>
                <xdr:col>5</xdr:col>
                <xdr:colOff>184150</xdr:colOff>
                <xdr:row>150</xdr:row>
                <xdr:rowOff>12700</xdr:rowOff>
              </from>
              <to>
                <xdr:col>5</xdr:col>
                <xdr:colOff>1212850</xdr:colOff>
                <xdr:row>150</xdr:row>
                <xdr:rowOff>209550</xdr:rowOff>
              </to>
            </anchor>
          </controlPr>
        </control>
      </mc:Choice>
      <mc:Fallback>
        <control shapeId="1175" r:id="rId38" name="chk_royalties"/>
      </mc:Fallback>
    </mc:AlternateContent>
    <mc:AlternateContent xmlns:mc="http://schemas.openxmlformats.org/markup-compatibility/2006">
      <mc:Choice Requires="x14">
        <control shapeId="1176" r:id="rId40" name="chk_operator_profit">
          <controlPr defaultSize="0" disabled="1" autoLine="0" r:id="rId41">
            <anchor moveWithCells="1">
              <from>
                <xdr:col>5</xdr:col>
                <xdr:colOff>184150</xdr:colOff>
                <xdr:row>151</xdr:row>
                <xdr:rowOff>12700</xdr:rowOff>
              </from>
              <to>
                <xdr:col>5</xdr:col>
                <xdr:colOff>1212850</xdr:colOff>
                <xdr:row>151</xdr:row>
                <xdr:rowOff>209550</xdr:rowOff>
              </to>
            </anchor>
          </controlPr>
        </control>
      </mc:Choice>
      <mc:Fallback>
        <control shapeId="1176" r:id="rId40" name="chk_operator_profit"/>
      </mc:Fallback>
    </mc:AlternateContent>
    <mc:AlternateContent xmlns:mc="http://schemas.openxmlformats.org/markup-compatibility/2006">
      <mc:Choice Requires="x14">
        <control shapeId="1177" r:id="rId42" name="chk_tax_credit">
          <controlPr defaultSize="0" disabled="1" autoLine="0" r:id="rId43">
            <anchor moveWithCells="1">
              <from>
                <xdr:col>5</xdr:col>
                <xdr:colOff>184150</xdr:colOff>
                <xdr:row>152</xdr:row>
                <xdr:rowOff>0</xdr:rowOff>
              </from>
              <to>
                <xdr:col>5</xdr:col>
                <xdr:colOff>1212850</xdr:colOff>
                <xdr:row>153</xdr:row>
                <xdr:rowOff>0</xdr:rowOff>
              </to>
            </anchor>
          </controlPr>
        </control>
      </mc:Choice>
      <mc:Fallback>
        <control shapeId="1177" r:id="rId42" name="chk_tax_credit"/>
      </mc:Fallback>
    </mc:AlternateContent>
    <mc:AlternateContent xmlns:mc="http://schemas.openxmlformats.org/markup-compatibility/2006">
      <mc:Choice Requires="x14">
        <control shapeId="1223" r:id="rId44" name="chk_Proc_CO2_tax">
          <controlPr defaultSize="0" disabled="1" autoLine="0" r:id="rId45">
            <anchor moveWithCells="1">
              <from>
                <xdr:col>5</xdr:col>
                <xdr:colOff>184150</xdr:colOff>
                <xdr:row>154</xdr:row>
                <xdr:rowOff>0</xdr:rowOff>
              </from>
              <to>
                <xdr:col>5</xdr:col>
                <xdr:colOff>1212850</xdr:colOff>
                <xdr:row>155</xdr:row>
                <xdr:rowOff>0</xdr:rowOff>
              </to>
            </anchor>
          </controlPr>
        </control>
      </mc:Choice>
      <mc:Fallback>
        <control shapeId="1223" r:id="rId44" name="chk_Proc_CO2_tax"/>
      </mc:Fallback>
    </mc:AlternateContent>
    <mc:AlternateContent xmlns:mc="http://schemas.openxmlformats.org/markup-compatibility/2006">
      <mc:Choice Requires="x14">
        <control shapeId="1224" r:id="rId46" name="chk_Upstream_CO2_tax">
          <controlPr defaultSize="0" disabled="1" autoLine="0" r:id="rId47">
            <anchor moveWithCells="1">
              <from>
                <xdr:col>5</xdr:col>
                <xdr:colOff>184150</xdr:colOff>
                <xdr:row>156</xdr:row>
                <xdr:rowOff>0</xdr:rowOff>
              </from>
              <to>
                <xdr:col>5</xdr:col>
                <xdr:colOff>1212850</xdr:colOff>
                <xdr:row>157</xdr:row>
                <xdr:rowOff>0</xdr:rowOff>
              </to>
            </anchor>
          </controlPr>
        </control>
      </mc:Choice>
      <mc:Fallback>
        <control shapeId="1224" r:id="rId46" name="chk_Upstream_CO2_tax"/>
      </mc:Fallback>
    </mc:AlternateContent>
  </controls>
  <extLs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Normal="100" workbookViewId="0"/>
  </sheetViews>
  <sheetFormatPr defaultColWidth="9.1796875" defaultRowHeight="12.5" x14ac:dyDescent="0.25"/>
  <cols>
    <col min="1" max="1" width="16.26953125" style="210" customWidth="1"/>
    <col min="2" max="2" width="17.453125" style="210" customWidth="1"/>
    <col min="3" max="5" width="19.54296875" style="210" customWidth="1"/>
    <col min="6" max="6" width="19.453125" style="210" customWidth="1"/>
    <col min="7" max="7" width="21.81640625" style="210" customWidth="1"/>
    <col min="8" max="8" width="23.26953125" style="210" customWidth="1"/>
    <col min="9" max="10" width="19.1796875" style="210" customWidth="1"/>
    <col min="11" max="11" width="47.26953125" style="210" customWidth="1"/>
    <col min="12" max="12" width="30.26953125" style="210" customWidth="1"/>
    <col min="13" max="13" width="40.1796875" style="210" customWidth="1"/>
    <col min="14" max="14" width="20" style="210" customWidth="1"/>
    <col min="15" max="16384" width="9.1796875" style="210"/>
  </cols>
  <sheetData>
    <row r="1" spans="1:12" x14ac:dyDescent="0.25">
      <c r="B1" s="38"/>
      <c r="C1" s="38"/>
      <c r="D1" s="38"/>
      <c r="E1" s="38"/>
      <c r="F1" s="38"/>
      <c r="G1" s="38"/>
    </row>
    <row r="2" spans="1:12" ht="22" x14ac:dyDescent="0.65">
      <c r="A2" s="814" t="s">
        <v>1026</v>
      </c>
      <c r="B2" s="38"/>
      <c r="C2" s="38"/>
      <c r="D2" s="38"/>
      <c r="E2" s="38"/>
      <c r="F2" s="38"/>
      <c r="G2" s="38"/>
    </row>
    <row r="3" spans="1:12" ht="13" x14ac:dyDescent="0.25">
      <c r="B3" s="41"/>
      <c r="C3" s="41"/>
      <c r="D3" s="41"/>
      <c r="E3" s="41"/>
      <c r="F3" s="41"/>
      <c r="G3" s="44"/>
      <c r="H3" s="211"/>
      <c r="I3" s="211"/>
      <c r="J3" s="211"/>
    </row>
    <row r="4" spans="1:12" ht="13" x14ac:dyDescent="0.25">
      <c r="B4" s="41"/>
      <c r="C4" s="41"/>
      <c r="D4" s="41"/>
      <c r="E4" s="41"/>
      <c r="F4" s="41"/>
      <c r="G4" s="44"/>
      <c r="H4" s="211"/>
      <c r="I4" s="211"/>
      <c r="J4" s="211"/>
    </row>
    <row r="5" spans="1:12" customFormat="1" ht="15.5" x14ac:dyDescent="0.35">
      <c r="C5" s="816" t="s">
        <v>233</v>
      </c>
      <c r="D5" s="816"/>
      <c r="E5" s="816"/>
    </row>
    <row r="6" spans="1:12" customFormat="1" x14ac:dyDescent="0.25"/>
    <row r="7" spans="1:12" customFormat="1" x14ac:dyDescent="0.25"/>
    <row r="8" spans="1:12" customFormat="1" x14ac:dyDescent="0.25"/>
    <row r="9" spans="1:12" customFormat="1" ht="13" x14ac:dyDescent="0.25">
      <c r="A9" s="815" t="str">
        <f>"NOTE: Enter costs in year "&amp;TEXT(BasisYear,"0")&amp;" $ - Do not inflate"</f>
        <v>NOTE: Enter costs in year 2012 $ - Do not inflate</v>
      </c>
    </row>
    <row r="10" spans="1:12" customFormat="1" ht="13" x14ac:dyDescent="0.25">
      <c r="A10" s="815" t="s">
        <v>1027</v>
      </c>
    </row>
    <row r="11" spans="1:12" customFormat="1" x14ac:dyDescent="0.25"/>
    <row r="12" spans="1:12" ht="13.5" thickBot="1" x14ac:dyDescent="0.35">
      <c r="A12" s="212"/>
      <c r="B12" s="212"/>
      <c r="C12" s="212"/>
      <c r="D12" s="212"/>
      <c r="E12" s="212"/>
      <c r="F12" s="212"/>
      <c r="G12" s="212"/>
      <c r="H12" s="213"/>
      <c r="I12" s="213"/>
      <c r="J12" s="213"/>
    </row>
    <row r="13" spans="1:12" ht="14" thickTop="1" thickBot="1" x14ac:dyDescent="0.35">
      <c r="A13" s="337" t="s">
        <v>1028</v>
      </c>
      <c r="B13" s="338"/>
      <c r="C13" s="339"/>
      <c r="D13" s="339"/>
      <c r="E13" s="339"/>
      <c r="F13" s="340"/>
      <c r="G13" s="341"/>
    </row>
    <row r="14" spans="1:12" ht="14" thickTop="1" thickBot="1" x14ac:dyDescent="0.35">
      <c r="A14" s="342"/>
      <c r="B14" s="343"/>
      <c r="C14" s="344" t="s">
        <v>1029</v>
      </c>
      <c r="D14" s="344"/>
      <c r="E14" s="344"/>
      <c r="F14" s="344" t="s">
        <v>1030</v>
      </c>
      <c r="G14" s="345" t="s">
        <v>1031</v>
      </c>
    </row>
    <row r="15" spans="1:12" s="209" customFormat="1" ht="79" thickTop="1" thickBot="1" x14ac:dyDescent="0.35">
      <c r="A15" s="346" t="s">
        <v>183</v>
      </c>
      <c r="B15" s="528">
        <f>replace_factor</f>
        <v>5.0000000000000001E-3</v>
      </c>
      <c r="C15" s="347"/>
      <c r="D15" s="347"/>
      <c r="E15" s="347"/>
      <c r="F15" s="348"/>
      <c r="G15" s="349" t="s">
        <v>1032</v>
      </c>
      <c r="I15" s="221"/>
      <c r="J15" s="210"/>
      <c r="K15" s="214"/>
    </row>
    <row r="16" spans="1:12" ht="53" thickTop="1" thickBot="1" x14ac:dyDescent="0.35">
      <c r="A16" s="350" t="s">
        <v>1033</v>
      </c>
      <c r="B16" s="351" t="s">
        <v>40</v>
      </c>
      <c r="C16" s="352" t="s">
        <v>1034</v>
      </c>
      <c r="D16" s="352" t="s">
        <v>1035</v>
      </c>
      <c r="E16" s="352" t="s">
        <v>1291</v>
      </c>
      <c r="F16" s="352" t="s">
        <v>1035</v>
      </c>
      <c r="G16" s="352" t="s">
        <v>1036</v>
      </c>
      <c r="H16" s="352" t="s">
        <v>1074</v>
      </c>
      <c r="I16" s="352" t="s">
        <v>1075</v>
      </c>
      <c r="J16" s="352" t="s">
        <v>1076</v>
      </c>
      <c r="K16" s="353" t="s">
        <v>1077</v>
      </c>
      <c r="L16" s="354" t="s">
        <v>1078</v>
      </c>
    </row>
    <row r="17" spans="1:12" ht="14" thickTop="1" thickBot="1" x14ac:dyDescent="0.35">
      <c r="A17" s="355"/>
      <c r="B17" s="356"/>
      <c r="C17" s="356"/>
      <c r="D17" s="356" t="str">
        <f>"Year "&amp;TEXT(BasisYear,"0")&amp;" $"</f>
        <v>Year 2012 $</v>
      </c>
      <c r="E17" s="356" t="str">
        <f>"Year "&amp;TEXT(ref_year,"0")&amp;" $"</f>
        <v>Year 2016 $</v>
      </c>
      <c r="F17" s="356" t="str">
        <f>"Year "&amp;TEXT(ref_year,"0")&amp;" $"</f>
        <v>Year 2016 $</v>
      </c>
      <c r="G17" s="356" t="str">
        <f>"Year "&amp;TEXT(ref_year,"0")&amp;" $"</f>
        <v>Year 2016 $</v>
      </c>
      <c r="H17" s="356" t="s">
        <v>1079</v>
      </c>
      <c r="I17" s="356"/>
      <c r="J17" s="356"/>
      <c r="K17" s="357"/>
      <c r="L17" s="358"/>
    </row>
    <row r="18" spans="1:12" ht="13" thickTop="1" x14ac:dyDescent="0.25">
      <c r="A18" s="92">
        <f>IF(C18&lt;&gt;"",'Cash Flow Analysis'!A65,"")</f>
        <v>2014</v>
      </c>
      <c r="B18" s="313">
        <f>construct+1</f>
        <v>2</v>
      </c>
      <c r="C18" s="313">
        <v>1</v>
      </c>
      <c r="D18" s="481"/>
      <c r="E18" s="215">
        <f>+'Carbon Sequestration'!$C$100*(C18&lt;=anal_period)</f>
        <v>0</v>
      </c>
      <c r="F18" s="215">
        <f t="shared" ref="F18:F57" si="0">(D18)*CPIinflator*CEPCIinflator+E18</f>
        <v>0</v>
      </c>
      <c r="G18" s="215">
        <f ca="1">IF(C18&gt;anal_period,0,IF(replace_factor&lt;&gt;"",replace_factor*depr_cap,0))</f>
        <v>827810.24017447664</v>
      </c>
      <c r="H18" s="216">
        <f ca="1">(F18+G18)*((1+inflation_rate)^(startup_year-ref_year))</f>
        <v>812375.11302696448</v>
      </c>
      <c r="I18" s="359"/>
      <c r="J18" s="360"/>
      <c r="K18" s="1520"/>
      <c r="L18" s="361"/>
    </row>
    <row r="19" spans="1:12" x14ac:dyDescent="0.25">
      <c r="A19" s="94">
        <f>IF(C19&lt;&gt;"",'Cash Flow Analysis'!A66,"")</f>
        <v>2015</v>
      </c>
      <c r="B19" s="314">
        <f t="shared" ref="B19:B57" si="1">IF(B18&lt;anal_period+construct,B18+1,"")</f>
        <v>3</v>
      </c>
      <c r="C19" s="314">
        <f t="shared" ref="C19:C57" si="2">IF(B19="","",C18+1)</f>
        <v>2</v>
      </c>
      <c r="D19" s="482"/>
      <c r="E19" s="217">
        <f>+'Carbon Sequestration'!$C$100*(C19&lt;=anal_period)</f>
        <v>0</v>
      </c>
      <c r="F19" s="217">
        <f t="shared" si="0"/>
        <v>0</v>
      </c>
      <c r="G19" s="217">
        <f t="shared" ref="G19:G57" ca="1" si="3">IF(C19&gt;anal_period,0,IF(replace_factor&lt;&gt;"",replace_factor*depr_cap,0))</f>
        <v>827810.24017447664</v>
      </c>
      <c r="H19" s="218">
        <f t="shared" ref="H19:H57" ca="1" si="4">(F19+G19)*((1+inflation_rate)^(startup_year-ref_year))</f>
        <v>812375.11302696448</v>
      </c>
      <c r="I19" s="362"/>
      <c r="J19" s="363"/>
      <c r="K19" s="1521"/>
      <c r="L19" s="365"/>
    </row>
    <row r="20" spans="1:12" x14ac:dyDescent="0.25">
      <c r="A20" s="94">
        <f>IF(C20&lt;&gt;"",'Cash Flow Analysis'!A67,"")</f>
        <v>2016</v>
      </c>
      <c r="B20" s="314">
        <f t="shared" si="1"/>
        <v>4</v>
      </c>
      <c r="C20" s="314">
        <f t="shared" si="2"/>
        <v>3</v>
      </c>
      <c r="D20" s="482"/>
      <c r="E20" s="217">
        <f>+'Carbon Sequestration'!$C$100*(C20&lt;=anal_period)</f>
        <v>0</v>
      </c>
      <c r="F20" s="217">
        <f t="shared" si="0"/>
        <v>0</v>
      </c>
      <c r="G20" s="217">
        <f t="shared" ca="1" si="3"/>
        <v>827810.24017447664</v>
      </c>
      <c r="H20" s="218">
        <f t="shared" ca="1" si="4"/>
        <v>812375.11302696448</v>
      </c>
      <c r="I20" s="362"/>
      <c r="J20" s="363"/>
      <c r="K20" s="1521"/>
      <c r="L20" s="365"/>
    </row>
    <row r="21" spans="1:12" x14ac:dyDescent="0.25">
      <c r="A21" s="94">
        <f>IF(C21&lt;&gt;"",'Cash Flow Analysis'!A68,"")</f>
        <v>2017</v>
      </c>
      <c r="B21" s="314">
        <f t="shared" si="1"/>
        <v>5</v>
      </c>
      <c r="C21" s="314">
        <f t="shared" si="2"/>
        <v>4</v>
      </c>
      <c r="D21" s="482"/>
      <c r="E21" s="217">
        <f>+'Carbon Sequestration'!$C$100*(C21&lt;=anal_period)</f>
        <v>0</v>
      </c>
      <c r="F21" s="217">
        <f t="shared" si="0"/>
        <v>0</v>
      </c>
      <c r="G21" s="217">
        <f t="shared" ca="1" si="3"/>
        <v>827810.24017447664</v>
      </c>
      <c r="H21" s="218">
        <f t="shared" ca="1" si="4"/>
        <v>812375.11302696448</v>
      </c>
      <c r="I21" s="362"/>
      <c r="J21" s="363"/>
      <c r="K21" s="1521"/>
      <c r="L21" s="365"/>
    </row>
    <row r="22" spans="1:12" x14ac:dyDescent="0.25">
      <c r="A22" s="94">
        <f>IF(C22&lt;&gt;"",'Cash Flow Analysis'!A69,"")</f>
        <v>2018</v>
      </c>
      <c r="B22" s="314">
        <f t="shared" si="1"/>
        <v>6</v>
      </c>
      <c r="C22" s="314">
        <f t="shared" si="2"/>
        <v>5</v>
      </c>
      <c r="D22" s="482"/>
      <c r="E22" s="217">
        <f>+'Carbon Sequestration'!$C$100*(C22&lt;=anal_period)</f>
        <v>0</v>
      </c>
      <c r="F22" s="217">
        <f t="shared" si="0"/>
        <v>0</v>
      </c>
      <c r="G22" s="217">
        <f t="shared" ca="1" si="3"/>
        <v>827810.24017447664</v>
      </c>
      <c r="H22" s="218">
        <f t="shared" ca="1" si="4"/>
        <v>812375.11302696448</v>
      </c>
      <c r="I22" s="362"/>
      <c r="J22" s="363"/>
      <c r="K22" s="1522"/>
      <c r="L22" s="902"/>
    </row>
    <row r="23" spans="1:12" x14ac:dyDescent="0.25">
      <c r="A23" s="94">
        <f>IF(C23&lt;&gt;"",'Cash Flow Analysis'!A70,"")</f>
        <v>2019</v>
      </c>
      <c r="B23" s="314">
        <f t="shared" si="1"/>
        <v>7</v>
      </c>
      <c r="C23" s="314">
        <f t="shared" si="2"/>
        <v>6</v>
      </c>
      <c r="D23" s="482"/>
      <c r="E23" s="217">
        <f>+'Carbon Sequestration'!$C$100*(C23&lt;=anal_period)</f>
        <v>0</v>
      </c>
      <c r="F23" s="217">
        <f t="shared" si="0"/>
        <v>0</v>
      </c>
      <c r="G23" s="217">
        <f t="shared" ca="1" si="3"/>
        <v>827810.24017447664</v>
      </c>
      <c r="H23" s="218">
        <f t="shared" ca="1" si="4"/>
        <v>812375.11302696448</v>
      </c>
      <c r="I23" s="362"/>
      <c r="J23" s="363"/>
      <c r="K23" s="1521"/>
      <c r="L23" s="365"/>
    </row>
    <row r="24" spans="1:12" x14ac:dyDescent="0.25">
      <c r="A24" s="94">
        <f>IF(C24&lt;&gt;"",'Cash Flow Analysis'!A71,"")</f>
        <v>2020</v>
      </c>
      <c r="B24" s="314">
        <f t="shared" si="1"/>
        <v>8</v>
      </c>
      <c r="C24" s="314">
        <f t="shared" si="2"/>
        <v>7</v>
      </c>
      <c r="D24" s="482"/>
      <c r="E24" s="217">
        <f>+'Carbon Sequestration'!$C$100*(C24&lt;=anal_period)</f>
        <v>0</v>
      </c>
      <c r="F24" s="217">
        <f t="shared" si="0"/>
        <v>0</v>
      </c>
      <c r="G24" s="217">
        <f t="shared" ca="1" si="3"/>
        <v>827810.24017447664</v>
      </c>
      <c r="H24" s="218">
        <f t="shared" ca="1" si="4"/>
        <v>812375.11302696448</v>
      </c>
      <c r="I24" s="362"/>
      <c r="J24" s="363"/>
      <c r="K24" s="1521"/>
      <c r="L24" s="365"/>
    </row>
    <row r="25" spans="1:12" ht="50" x14ac:dyDescent="0.25">
      <c r="A25" s="94">
        <f>IF(C25&lt;&gt;"",'Cash Flow Analysis'!A72,"")</f>
        <v>2021</v>
      </c>
      <c r="B25" s="314">
        <f t="shared" si="1"/>
        <v>9</v>
      </c>
      <c r="C25" s="314">
        <f t="shared" si="2"/>
        <v>8</v>
      </c>
      <c r="D25" s="482">
        <f ca="1">0.15*direct_cap/(CPIinflator*CEPCIinflator)</f>
        <v>17104500.000000004</v>
      </c>
      <c r="E25" s="217">
        <f>+'Carbon Sequestration'!$C$100*(C25&lt;=anal_period)</f>
        <v>0</v>
      </c>
      <c r="F25" s="217">
        <f t="shared" ca="1" si="0"/>
        <v>17738790.860881645</v>
      </c>
      <c r="G25" s="217">
        <f t="shared" ca="1" si="3"/>
        <v>827810.24017447664</v>
      </c>
      <c r="H25" s="218">
        <f t="shared" ca="1" si="4"/>
        <v>18220413.249319062</v>
      </c>
      <c r="I25" s="362"/>
      <c r="J25" s="363"/>
      <c r="K25" s="1522" t="s">
        <v>1425</v>
      </c>
      <c r="L25" s="365"/>
    </row>
    <row r="26" spans="1:12" x14ac:dyDescent="0.25">
      <c r="A26" s="94">
        <f>IF(C26&lt;&gt;"",'Cash Flow Analysis'!A73,"")</f>
        <v>2022</v>
      </c>
      <c r="B26" s="314">
        <f t="shared" si="1"/>
        <v>10</v>
      </c>
      <c r="C26" s="314">
        <f t="shared" si="2"/>
        <v>9</v>
      </c>
      <c r="D26" s="482"/>
      <c r="E26" s="217">
        <f>+'Carbon Sequestration'!$C$100*(C26&lt;=anal_period)</f>
        <v>0</v>
      </c>
      <c r="F26" s="217">
        <f t="shared" si="0"/>
        <v>0</v>
      </c>
      <c r="G26" s="217">
        <f t="shared" ca="1" si="3"/>
        <v>827810.24017447664</v>
      </c>
      <c r="H26" s="218">
        <f t="shared" ca="1" si="4"/>
        <v>812375.11302696448</v>
      </c>
      <c r="I26" s="362"/>
      <c r="J26" s="363"/>
      <c r="K26" s="1521"/>
      <c r="L26" s="365"/>
    </row>
    <row r="27" spans="1:12" x14ac:dyDescent="0.25">
      <c r="A27" s="94">
        <f>IF(C27&lt;&gt;"",'Cash Flow Analysis'!A74,"")</f>
        <v>2023</v>
      </c>
      <c r="B27" s="314">
        <f t="shared" si="1"/>
        <v>11</v>
      </c>
      <c r="C27" s="314">
        <f t="shared" si="2"/>
        <v>10</v>
      </c>
      <c r="D27" s="482"/>
      <c r="E27" s="217">
        <f>+'Carbon Sequestration'!$C$100*(C27&lt;=anal_period)</f>
        <v>0</v>
      </c>
      <c r="F27" s="217">
        <f t="shared" si="0"/>
        <v>0</v>
      </c>
      <c r="G27" s="217">
        <f t="shared" ca="1" si="3"/>
        <v>827810.24017447664</v>
      </c>
      <c r="H27" s="218">
        <f t="shared" ca="1" si="4"/>
        <v>812375.11302696448</v>
      </c>
      <c r="I27" s="362"/>
      <c r="J27" s="363"/>
      <c r="K27" s="1521"/>
      <c r="L27" s="365"/>
    </row>
    <row r="28" spans="1:12" x14ac:dyDescent="0.25">
      <c r="A28" s="94">
        <f>IF(C28&lt;&gt;"",'Cash Flow Analysis'!A75,"")</f>
        <v>2024</v>
      </c>
      <c r="B28" s="314">
        <f t="shared" si="1"/>
        <v>12</v>
      </c>
      <c r="C28" s="314">
        <f t="shared" si="2"/>
        <v>11</v>
      </c>
      <c r="D28" s="482"/>
      <c r="E28" s="217">
        <f>+'Carbon Sequestration'!$C$100*(C28&lt;=anal_period)</f>
        <v>0</v>
      </c>
      <c r="F28" s="217">
        <f t="shared" si="0"/>
        <v>0</v>
      </c>
      <c r="G28" s="217">
        <f t="shared" ca="1" si="3"/>
        <v>827810.24017447664</v>
      </c>
      <c r="H28" s="218">
        <f t="shared" ca="1" si="4"/>
        <v>812375.11302696448</v>
      </c>
      <c r="I28" s="362"/>
      <c r="J28" s="363"/>
      <c r="K28" s="1521"/>
      <c r="L28" s="365"/>
    </row>
    <row r="29" spans="1:12" x14ac:dyDescent="0.25">
      <c r="A29" s="94">
        <f>IF(C29&lt;&gt;"",'Cash Flow Analysis'!A76,"")</f>
        <v>2025</v>
      </c>
      <c r="B29" s="314">
        <f t="shared" si="1"/>
        <v>13</v>
      </c>
      <c r="C29" s="314">
        <f t="shared" si="2"/>
        <v>12</v>
      </c>
      <c r="D29" s="482"/>
      <c r="E29" s="217">
        <f>+'Carbon Sequestration'!$C$100*(C29&lt;=anal_period)</f>
        <v>0</v>
      </c>
      <c r="F29" s="217">
        <f t="shared" si="0"/>
        <v>0</v>
      </c>
      <c r="G29" s="217">
        <f t="shared" ca="1" si="3"/>
        <v>827810.24017447664</v>
      </c>
      <c r="H29" s="218">
        <f t="shared" ca="1" si="4"/>
        <v>812375.11302696448</v>
      </c>
      <c r="I29" s="362"/>
      <c r="J29" s="363"/>
      <c r="K29" s="1521"/>
      <c r="L29" s="365"/>
    </row>
    <row r="30" spans="1:12" x14ac:dyDescent="0.25">
      <c r="A30" s="94">
        <f>IF(C30&lt;&gt;"",'Cash Flow Analysis'!A77,"")</f>
        <v>2026</v>
      </c>
      <c r="B30" s="314">
        <f t="shared" si="1"/>
        <v>14</v>
      </c>
      <c r="C30" s="314">
        <f t="shared" si="2"/>
        <v>13</v>
      </c>
      <c r="D30" s="482"/>
      <c r="E30" s="217">
        <f>+'Carbon Sequestration'!$C$100*(C30&lt;=anal_period)</f>
        <v>0</v>
      </c>
      <c r="F30" s="217">
        <f t="shared" si="0"/>
        <v>0</v>
      </c>
      <c r="G30" s="217">
        <f t="shared" ca="1" si="3"/>
        <v>827810.24017447664</v>
      </c>
      <c r="H30" s="218">
        <f t="shared" ca="1" si="4"/>
        <v>812375.11302696448</v>
      </c>
      <c r="I30" s="362"/>
      <c r="J30" s="363"/>
      <c r="K30" s="1521"/>
      <c r="L30" s="365"/>
    </row>
    <row r="31" spans="1:12" x14ac:dyDescent="0.25">
      <c r="A31" s="94">
        <f>IF(C31&lt;&gt;"",'Cash Flow Analysis'!A78,"")</f>
        <v>2027</v>
      </c>
      <c r="B31" s="314">
        <f t="shared" si="1"/>
        <v>15</v>
      </c>
      <c r="C31" s="314">
        <f t="shared" si="2"/>
        <v>14</v>
      </c>
      <c r="D31" s="482"/>
      <c r="E31" s="217">
        <f>+'Carbon Sequestration'!$C$100*(C31&lt;=anal_period)</f>
        <v>0</v>
      </c>
      <c r="F31" s="217">
        <f t="shared" si="0"/>
        <v>0</v>
      </c>
      <c r="G31" s="217">
        <f t="shared" ca="1" si="3"/>
        <v>827810.24017447664</v>
      </c>
      <c r="H31" s="218">
        <f t="shared" ca="1" si="4"/>
        <v>812375.11302696448</v>
      </c>
      <c r="I31" s="362"/>
      <c r="J31" s="363"/>
      <c r="K31" s="1521"/>
      <c r="L31" s="365"/>
    </row>
    <row r="32" spans="1:12" ht="50" x14ac:dyDescent="0.25">
      <c r="A32" s="94">
        <f>IF(C32&lt;&gt;"",'Cash Flow Analysis'!A79,"")</f>
        <v>2028</v>
      </c>
      <c r="B32" s="314">
        <f t="shared" si="1"/>
        <v>16</v>
      </c>
      <c r="C32" s="314">
        <f t="shared" si="2"/>
        <v>15</v>
      </c>
      <c r="D32" s="482">
        <f ca="1">0.15*direct_cap/(CPIinflator*CEPCIinflator)</f>
        <v>17104500.000000004</v>
      </c>
      <c r="E32" s="217">
        <f>+'Carbon Sequestration'!$C$100*(C32&lt;=anal_period)</f>
        <v>0</v>
      </c>
      <c r="F32" s="217">
        <f t="shared" ca="1" si="0"/>
        <v>17738790.860881645</v>
      </c>
      <c r="G32" s="217">
        <f t="shared" ca="1" si="3"/>
        <v>827810.24017447664</v>
      </c>
      <c r="H32" s="218">
        <f t="shared" ca="1" si="4"/>
        <v>18220413.249319062</v>
      </c>
      <c r="I32" s="362"/>
      <c r="J32" s="363"/>
      <c r="K32" s="1522" t="s">
        <v>1425</v>
      </c>
      <c r="L32" s="365"/>
    </row>
    <row r="33" spans="1:12" x14ac:dyDescent="0.25">
      <c r="A33" s="94">
        <f>IF(C33&lt;&gt;"",'Cash Flow Analysis'!A80,"")</f>
        <v>2029</v>
      </c>
      <c r="B33" s="314">
        <f t="shared" si="1"/>
        <v>17</v>
      </c>
      <c r="C33" s="314">
        <f t="shared" si="2"/>
        <v>16</v>
      </c>
      <c r="D33" s="482"/>
      <c r="E33" s="217">
        <f>+'Carbon Sequestration'!$C$100*(C33&lt;=anal_period)</f>
        <v>0</v>
      </c>
      <c r="F33" s="217">
        <f t="shared" si="0"/>
        <v>0</v>
      </c>
      <c r="G33" s="217">
        <f t="shared" ca="1" si="3"/>
        <v>827810.24017447664</v>
      </c>
      <c r="H33" s="218">
        <f t="shared" ca="1" si="4"/>
        <v>812375.11302696448</v>
      </c>
      <c r="I33" s="362"/>
      <c r="J33" s="363"/>
      <c r="K33" s="1521"/>
      <c r="L33" s="365"/>
    </row>
    <row r="34" spans="1:12" x14ac:dyDescent="0.25">
      <c r="A34" s="94">
        <f>IF(C34&lt;&gt;"",'Cash Flow Analysis'!A81,"")</f>
        <v>2030</v>
      </c>
      <c r="B34" s="314">
        <f t="shared" si="1"/>
        <v>18</v>
      </c>
      <c r="C34" s="314">
        <f t="shared" si="2"/>
        <v>17</v>
      </c>
      <c r="D34" s="482"/>
      <c r="E34" s="217">
        <f>+'Carbon Sequestration'!$C$100*(C34&lt;=anal_period)</f>
        <v>0</v>
      </c>
      <c r="F34" s="217">
        <f t="shared" si="0"/>
        <v>0</v>
      </c>
      <c r="G34" s="217">
        <f t="shared" ca="1" si="3"/>
        <v>827810.24017447664</v>
      </c>
      <c r="H34" s="218">
        <f t="shared" ca="1" si="4"/>
        <v>812375.11302696448</v>
      </c>
      <c r="I34" s="362"/>
      <c r="J34" s="363"/>
      <c r="K34" s="1521"/>
      <c r="L34" s="365"/>
    </row>
    <row r="35" spans="1:12" x14ac:dyDescent="0.25">
      <c r="A35" s="94">
        <f>IF(C35&lt;&gt;"",'Cash Flow Analysis'!A82,"")</f>
        <v>2031</v>
      </c>
      <c r="B35" s="314">
        <f t="shared" si="1"/>
        <v>19</v>
      </c>
      <c r="C35" s="314">
        <f t="shared" si="2"/>
        <v>18</v>
      </c>
      <c r="D35" s="482"/>
      <c r="E35" s="217">
        <f>+'Carbon Sequestration'!$C$100*(C35&lt;=anal_period)</f>
        <v>0</v>
      </c>
      <c r="F35" s="217">
        <f t="shared" si="0"/>
        <v>0</v>
      </c>
      <c r="G35" s="217">
        <f t="shared" ca="1" si="3"/>
        <v>827810.24017447664</v>
      </c>
      <c r="H35" s="218">
        <f t="shared" ca="1" si="4"/>
        <v>812375.11302696448</v>
      </c>
      <c r="I35" s="362"/>
      <c r="J35" s="363"/>
      <c r="K35" s="1521"/>
      <c r="L35" s="365"/>
    </row>
    <row r="36" spans="1:12" x14ac:dyDescent="0.25">
      <c r="A36" s="94">
        <f>IF(C36&lt;&gt;"",'Cash Flow Analysis'!A83,"")</f>
        <v>2032</v>
      </c>
      <c r="B36" s="314">
        <f t="shared" si="1"/>
        <v>20</v>
      </c>
      <c r="C36" s="314">
        <f t="shared" si="2"/>
        <v>19</v>
      </c>
      <c r="D36" s="482"/>
      <c r="E36" s="217">
        <f>+'Carbon Sequestration'!$C$100*(C36&lt;=anal_period)</f>
        <v>0</v>
      </c>
      <c r="F36" s="217">
        <f t="shared" si="0"/>
        <v>0</v>
      </c>
      <c r="G36" s="217">
        <f t="shared" ca="1" si="3"/>
        <v>827810.24017447664</v>
      </c>
      <c r="H36" s="218">
        <f t="shared" ca="1" si="4"/>
        <v>812375.11302696448</v>
      </c>
      <c r="I36" s="362"/>
      <c r="J36" s="363"/>
      <c r="K36" s="1521"/>
      <c r="L36" s="365"/>
    </row>
    <row r="37" spans="1:12" x14ac:dyDescent="0.25">
      <c r="A37" s="94">
        <f>IF(C37&lt;&gt;"",'Cash Flow Analysis'!A84,"")</f>
        <v>2033</v>
      </c>
      <c r="B37" s="314">
        <f t="shared" si="1"/>
        <v>21</v>
      </c>
      <c r="C37" s="314">
        <f t="shared" si="2"/>
        <v>20</v>
      </c>
      <c r="D37" s="482"/>
      <c r="E37" s="217">
        <f>+'Carbon Sequestration'!$C$100*(C37&lt;=anal_period)</f>
        <v>0</v>
      </c>
      <c r="F37" s="217">
        <f t="shared" si="0"/>
        <v>0</v>
      </c>
      <c r="G37" s="217">
        <f t="shared" ca="1" si="3"/>
        <v>827810.24017447664</v>
      </c>
      <c r="H37" s="218">
        <f t="shared" ca="1" si="4"/>
        <v>812375.11302696448</v>
      </c>
      <c r="I37" s="362"/>
      <c r="J37" s="363"/>
      <c r="K37" s="1521"/>
      <c r="L37" s="365"/>
    </row>
    <row r="38" spans="1:12" x14ac:dyDescent="0.25">
      <c r="A38" s="94">
        <f>IF(C38&lt;&gt;"",'Cash Flow Analysis'!A85,"")</f>
        <v>2034</v>
      </c>
      <c r="B38" s="314">
        <f t="shared" si="1"/>
        <v>22</v>
      </c>
      <c r="C38" s="314">
        <f t="shared" si="2"/>
        <v>21</v>
      </c>
      <c r="D38" s="482"/>
      <c r="E38" s="217">
        <f>+'Carbon Sequestration'!$C$100*(C38&lt;=anal_period)</f>
        <v>0</v>
      </c>
      <c r="F38" s="217">
        <f t="shared" si="0"/>
        <v>0</v>
      </c>
      <c r="G38" s="217">
        <f t="shared" ca="1" si="3"/>
        <v>827810.24017447664</v>
      </c>
      <c r="H38" s="218">
        <f t="shared" ca="1" si="4"/>
        <v>812375.11302696448</v>
      </c>
      <c r="I38" s="362"/>
      <c r="J38" s="363"/>
      <c r="K38" s="1521"/>
      <c r="L38" s="365"/>
    </row>
    <row r="39" spans="1:12" ht="50" x14ac:dyDescent="0.25">
      <c r="A39" s="94">
        <f>IF(C39&lt;&gt;"",'Cash Flow Analysis'!A86,"")</f>
        <v>2035</v>
      </c>
      <c r="B39" s="314">
        <f t="shared" si="1"/>
        <v>23</v>
      </c>
      <c r="C39" s="314">
        <f t="shared" si="2"/>
        <v>22</v>
      </c>
      <c r="D39" s="482">
        <f ca="1">0.15*direct_cap/(CPIinflator*CEPCIinflator)</f>
        <v>17104500.000000004</v>
      </c>
      <c r="E39" s="217">
        <f>+'Carbon Sequestration'!$C$100*(C39&lt;=anal_period)</f>
        <v>0</v>
      </c>
      <c r="F39" s="217">
        <f t="shared" ca="1" si="0"/>
        <v>17738790.860881645</v>
      </c>
      <c r="G39" s="217">
        <f t="shared" ca="1" si="3"/>
        <v>827810.24017447664</v>
      </c>
      <c r="H39" s="218">
        <f t="shared" ca="1" si="4"/>
        <v>18220413.249319062</v>
      </c>
      <c r="I39" s="362"/>
      <c r="J39" s="363"/>
      <c r="K39" s="1522" t="s">
        <v>1425</v>
      </c>
      <c r="L39" s="365"/>
    </row>
    <row r="40" spans="1:12" x14ac:dyDescent="0.25">
      <c r="A40" s="94">
        <f>IF(C40&lt;&gt;"",'Cash Flow Analysis'!A87,"")</f>
        <v>2036</v>
      </c>
      <c r="B40" s="314">
        <f t="shared" si="1"/>
        <v>24</v>
      </c>
      <c r="C40" s="314">
        <f t="shared" si="2"/>
        <v>23</v>
      </c>
      <c r="D40" s="482"/>
      <c r="E40" s="217">
        <f>+'Carbon Sequestration'!$C$100*(C40&lt;=anal_period)</f>
        <v>0</v>
      </c>
      <c r="F40" s="217">
        <f t="shared" si="0"/>
        <v>0</v>
      </c>
      <c r="G40" s="217">
        <f t="shared" ca="1" si="3"/>
        <v>827810.24017447664</v>
      </c>
      <c r="H40" s="218">
        <f t="shared" ca="1" si="4"/>
        <v>812375.11302696448</v>
      </c>
      <c r="I40" s="362"/>
      <c r="J40" s="363"/>
      <c r="K40" s="1521"/>
      <c r="L40" s="365"/>
    </row>
    <row r="41" spans="1:12" x14ac:dyDescent="0.25">
      <c r="A41" s="94">
        <f>IF(C41&lt;&gt;"",'Cash Flow Analysis'!A88,"")</f>
        <v>2037</v>
      </c>
      <c r="B41" s="314">
        <f t="shared" si="1"/>
        <v>25</v>
      </c>
      <c r="C41" s="314">
        <f t="shared" si="2"/>
        <v>24</v>
      </c>
      <c r="D41" s="482"/>
      <c r="E41" s="217">
        <f>+'Carbon Sequestration'!$C$100*(C41&lt;=anal_period)</f>
        <v>0</v>
      </c>
      <c r="F41" s="217">
        <f t="shared" si="0"/>
        <v>0</v>
      </c>
      <c r="G41" s="217">
        <f t="shared" ca="1" si="3"/>
        <v>827810.24017447664</v>
      </c>
      <c r="H41" s="218">
        <f t="shared" ca="1" si="4"/>
        <v>812375.11302696448</v>
      </c>
      <c r="I41" s="362"/>
      <c r="J41" s="363"/>
      <c r="K41" s="1521"/>
      <c r="L41" s="365"/>
    </row>
    <row r="42" spans="1:12" x14ac:dyDescent="0.25">
      <c r="A42" s="94">
        <f>IF(C42&lt;&gt;"",'Cash Flow Analysis'!A89,"")</f>
        <v>2038</v>
      </c>
      <c r="B42" s="314">
        <f t="shared" si="1"/>
        <v>26</v>
      </c>
      <c r="C42" s="314">
        <f t="shared" si="2"/>
        <v>25</v>
      </c>
      <c r="D42" s="482"/>
      <c r="E42" s="217">
        <f>+'Carbon Sequestration'!$C$100*(C42&lt;=anal_period)</f>
        <v>0</v>
      </c>
      <c r="F42" s="217">
        <f t="shared" si="0"/>
        <v>0</v>
      </c>
      <c r="G42" s="217">
        <f t="shared" ca="1" si="3"/>
        <v>827810.24017447664</v>
      </c>
      <c r="H42" s="218">
        <f t="shared" ca="1" si="4"/>
        <v>812375.11302696448</v>
      </c>
      <c r="I42" s="362"/>
      <c r="J42" s="363"/>
      <c r="K42" s="1521"/>
      <c r="L42" s="365"/>
    </row>
    <row r="43" spans="1:12" x14ac:dyDescent="0.25">
      <c r="A43" s="94">
        <f>IF(C43&lt;&gt;"",'Cash Flow Analysis'!A90,"")</f>
        <v>2039</v>
      </c>
      <c r="B43" s="314">
        <f t="shared" si="1"/>
        <v>27</v>
      </c>
      <c r="C43" s="314">
        <f t="shared" si="2"/>
        <v>26</v>
      </c>
      <c r="D43" s="482"/>
      <c r="E43" s="217">
        <f>+'Carbon Sequestration'!$C$100*(C43&lt;=anal_period)</f>
        <v>0</v>
      </c>
      <c r="F43" s="217">
        <f t="shared" si="0"/>
        <v>0</v>
      </c>
      <c r="G43" s="217">
        <f t="shared" ca="1" si="3"/>
        <v>827810.24017447664</v>
      </c>
      <c r="H43" s="218">
        <f t="shared" ca="1" si="4"/>
        <v>812375.11302696448</v>
      </c>
      <c r="I43" s="362"/>
      <c r="J43" s="363"/>
      <c r="K43" s="1521"/>
      <c r="L43" s="365"/>
    </row>
    <row r="44" spans="1:12" x14ac:dyDescent="0.25">
      <c r="A44" s="94">
        <f>IF(C44&lt;&gt;"",'Cash Flow Analysis'!A91,"")</f>
        <v>2040</v>
      </c>
      <c r="B44" s="314">
        <f t="shared" si="1"/>
        <v>28</v>
      </c>
      <c r="C44" s="314">
        <f t="shared" si="2"/>
        <v>27</v>
      </c>
      <c r="D44" s="482"/>
      <c r="E44" s="217">
        <f>+'Carbon Sequestration'!$C$100*(C44&lt;=anal_period)</f>
        <v>0</v>
      </c>
      <c r="F44" s="217">
        <f t="shared" si="0"/>
        <v>0</v>
      </c>
      <c r="G44" s="217">
        <f t="shared" ca="1" si="3"/>
        <v>827810.24017447664</v>
      </c>
      <c r="H44" s="218">
        <f t="shared" ca="1" si="4"/>
        <v>812375.11302696448</v>
      </c>
      <c r="I44" s="362"/>
      <c r="J44" s="363"/>
      <c r="K44" s="1521"/>
      <c r="L44" s="365"/>
    </row>
    <row r="45" spans="1:12" x14ac:dyDescent="0.25">
      <c r="A45" s="94">
        <f>IF(C45&lt;&gt;"",'Cash Flow Analysis'!A92,"")</f>
        <v>2041</v>
      </c>
      <c r="B45" s="314">
        <f t="shared" si="1"/>
        <v>29</v>
      </c>
      <c r="C45" s="314">
        <f t="shared" si="2"/>
        <v>28</v>
      </c>
      <c r="D45" s="482"/>
      <c r="E45" s="217">
        <f>+'Carbon Sequestration'!$C$100*(C45&lt;=anal_period)</f>
        <v>0</v>
      </c>
      <c r="F45" s="217">
        <f t="shared" si="0"/>
        <v>0</v>
      </c>
      <c r="G45" s="217">
        <f t="shared" ca="1" si="3"/>
        <v>827810.24017447664</v>
      </c>
      <c r="H45" s="218">
        <f t="shared" ca="1" si="4"/>
        <v>812375.11302696448</v>
      </c>
      <c r="I45" s="362"/>
      <c r="J45" s="363"/>
      <c r="K45" s="1521"/>
      <c r="L45" s="365"/>
    </row>
    <row r="46" spans="1:12" ht="50" x14ac:dyDescent="0.25">
      <c r="A46" s="94">
        <f>IF(C46&lt;&gt;"",'Cash Flow Analysis'!A93,"")</f>
        <v>2042</v>
      </c>
      <c r="B46" s="314">
        <f t="shared" si="1"/>
        <v>30</v>
      </c>
      <c r="C46" s="314">
        <f t="shared" si="2"/>
        <v>29</v>
      </c>
      <c r="D46" s="482">
        <f ca="1">0.15*direct_cap/(CPIinflator*CEPCIinflator)</f>
        <v>17104500.000000004</v>
      </c>
      <c r="E46" s="217">
        <f>+'Carbon Sequestration'!$C$100*(C46&lt;=anal_period)</f>
        <v>0</v>
      </c>
      <c r="F46" s="217">
        <f t="shared" ca="1" si="0"/>
        <v>17738790.860881645</v>
      </c>
      <c r="G46" s="217">
        <f t="shared" ca="1" si="3"/>
        <v>827810.24017447664</v>
      </c>
      <c r="H46" s="218">
        <f t="shared" ca="1" si="4"/>
        <v>18220413.249319062</v>
      </c>
      <c r="I46" s="362"/>
      <c r="J46" s="363"/>
      <c r="K46" s="1522" t="s">
        <v>1425</v>
      </c>
      <c r="L46" s="365"/>
    </row>
    <row r="47" spans="1:12" x14ac:dyDescent="0.25">
      <c r="A47" s="94">
        <f>IF(C47&lt;&gt;"",'Cash Flow Analysis'!A94,"")</f>
        <v>2043</v>
      </c>
      <c r="B47" s="314">
        <f t="shared" si="1"/>
        <v>31</v>
      </c>
      <c r="C47" s="314">
        <f t="shared" si="2"/>
        <v>30</v>
      </c>
      <c r="D47" s="482"/>
      <c r="E47" s="217">
        <f>+'Carbon Sequestration'!$C$100*(C47&lt;=anal_period)</f>
        <v>0</v>
      </c>
      <c r="F47" s="217">
        <f t="shared" si="0"/>
        <v>0</v>
      </c>
      <c r="G47" s="217">
        <f t="shared" ca="1" si="3"/>
        <v>827810.24017447664</v>
      </c>
      <c r="H47" s="218">
        <f t="shared" ca="1" si="4"/>
        <v>812375.11302696448</v>
      </c>
      <c r="I47" s="362"/>
      <c r="J47" s="363"/>
      <c r="K47" s="1521"/>
      <c r="L47" s="365"/>
    </row>
    <row r="48" spans="1:12" x14ac:dyDescent="0.25">
      <c r="A48" s="94">
        <f>IF(C48&lt;&gt;"",'Cash Flow Analysis'!A95,"")</f>
        <v>2044</v>
      </c>
      <c r="B48" s="314">
        <f t="shared" si="1"/>
        <v>32</v>
      </c>
      <c r="C48" s="314">
        <f t="shared" si="2"/>
        <v>31</v>
      </c>
      <c r="D48" s="482"/>
      <c r="E48" s="217">
        <f>+'Carbon Sequestration'!$C$100*(C48&lt;=anal_period)</f>
        <v>0</v>
      </c>
      <c r="F48" s="217">
        <f t="shared" si="0"/>
        <v>0</v>
      </c>
      <c r="G48" s="217">
        <f t="shared" ca="1" si="3"/>
        <v>827810.24017447664</v>
      </c>
      <c r="H48" s="218">
        <f t="shared" ca="1" si="4"/>
        <v>812375.11302696448</v>
      </c>
      <c r="I48" s="362"/>
      <c r="J48" s="363"/>
      <c r="K48" s="1521"/>
      <c r="L48" s="365"/>
    </row>
    <row r="49" spans="1:12" x14ac:dyDescent="0.25">
      <c r="A49" s="94">
        <f>IF(C49&lt;&gt;"",'Cash Flow Analysis'!A96,"")</f>
        <v>2045</v>
      </c>
      <c r="B49" s="314">
        <f t="shared" si="1"/>
        <v>33</v>
      </c>
      <c r="C49" s="314">
        <f t="shared" si="2"/>
        <v>32</v>
      </c>
      <c r="D49" s="482"/>
      <c r="E49" s="217">
        <f>+'Carbon Sequestration'!$C$100*(C49&lt;=anal_period)</f>
        <v>0</v>
      </c>
      <c r="F49" s="217">
        <f t="shared" si="0"/>
        <v>0</v>
      </c>
      <c r="G49" s="217">
        <f t="shared" ca="1" si="3"/>
        <v>827810.24017447664</v>
      </c>
      <c r="H49" s="218">
        <f t="shared" ca="1" si="4"/>
        <v>812375.11302696448</v>
      </c>
      <c r="I49" s="362"/>
      <c r="J49" s="363"/>
      <c r="K49" s="1521"/>
      <c r="L49" s="365"/>
    </row>
    <row r="50" spans="1:12" x14ac:dyDescent="0.25">
      <c r="A50" s="94">
        <f>IF(C50&lt;&gt;"",'Cash Flow Analysis'!A97,"")</f>
        <v>2046</v>
      </c>
      <c r="B50" s="314">
        <f t="shared" si="1"/>
        <v>34</v>
      </c>
      <c r="C50" s="314">
        <f t="shared" si="2"/>
        <v>33</v>
      </c>
      <c r="D50" s="482"/>
      <c r="E50" s="217">
        <f>+'Carbon Sequestration'!$C$100*(C50&lt;=anal_period)</f>
        <v>0</v>
      </c>
      <c r="F50" s="217">
        <f t="shared" si="0"/>
        <v>0</v>
      </c>
      <c r="G50" s="217">
        <f t="shared" ca="1" si="3"/>
        <v>827810.24017447664</v>
      </c>
      <c r="H50" s="218">
        <f t="shared" ca="1" si="4"/>
        <v>812375.11302696448</v>
      </c>
      <c r="I50" s="362"/>
      <c r="J50" s="363"/>
      <c r="K50" s="1521"/>
      <c r="L50" s="365"/>
    </row>
    <row r="51" spans="1:12" x14ac:dyDescent="0.25">
      <c r="A51" s="94">
        <f>IF(C51&lt;&gt;"",'Cash Flow Analysis'!A98,"")</f>
        <v>2047</v>
      </c>
      <c r="B51" s="314">
        <f t="shared" si="1"/>
        <v>35</v>
      </c>
      <c r="C51" s="314">
        <f t="shared" si="2"/>
        <v>34</v>
      </c>
      <c r="D51" s="482"/>
      <c r="E51" s="217">
        <f>+'Carbon Sequestration'!$C$100*(C51&lt;=anal_period)</f>
        <v>0</v>
      </c>
      <c r="F51" s="217">
        <f t="shared" si="0"/>
        <v>0</v>
      </c>
      <c r="G51" s="217">
        <f t="shared" ca="1" si="3"/>
        <v>827810.24017447664</v>
      </c>
      <c r="H51" s="218">
        <f t="shared" ca="1" si="4"/>
        <v>812375.11302696448</v>
      </c>
      <c r="I51" s="362"/>
      <c r="J51" s="363"/>
      <c r="K51" s="1521"/>
      <c r="L51" s="365"/>
    </row>
    <row r="52" spans="1:12" x14ac:dyDescent="0.25">
      <c r="A52" s="94">
        <f>IF(C52&lt;&gt;"",'Cash Flow Analysis'!A99,"")</f>
        <v>2048</v>
      </c>
      <c r="B52" s="314">
        <f t="shared" si="1"/>
        <v>36</v>
      </c>
      <c r="C52" s="314">
        <f t="shared" si="2"/>
        <v>35</v>
      </c>
      <c r="D52" s="482"/>
      <c r="E52" s="217">
        <f>+'Carbon Sequestration'!$C$100*(C52&lt;=anal_period)</f>
        <v>0</v>
      </c>
      <c r="F52" s="217">
        <f t="shared" si="0"/>
        <v>0</v>
      </c>
      <c r="G52" s="217">
        <f t="shared" ca="1" si="3"/>
        <v>827810.24017447664</v>
      </c>
      <c r="H52" s="218">
        <f t="shared" ca="1" si="4"/>
        <v>812375.11302696448</v>
      </c>
      <c r="I52" s="362"/>
      <c r="J52" s="363"/>
      <c r="K52" s="1521"/>
      <c r="L52" s="365"/>
    </row>
    <row r="53" spans="1:12" ht="50" x14ac:dyDescent="0.25">
      <c r="A53" s="94">
        <f>IF(C53&lt;&gt;"",'Cash Flow Analysis'!A100,"")</f>
        <v>2049</v>
      </c>
      <c r="B53" s="314">
        <f t="shared" si="1"/>
        <v>37</v>
      </c>
      <c r="C53" s="314">
        <f t="shared" si="2"/>
        <v>36</v>
      </c>
      <c r="D53" s="482">
        <f ca="1">0.15*direct_cap/(CPIinflator*CEPCIinflator)</f>
        <v>17104500.000000004</v>
      </c>
      <c r="E53" s="217">
        <f>+'Carbon Sequestration'!$C$100*(C53&lt;=anal_period)</f>
        <v>0</v>
      </c>
      <c r="F53" s="217">
        <f t="shared" ca="1" si="0"/>
        <v>17738790.860881645</v>
      </c>
      <c r="G53" s="217">
        <f t="shared" ca="1" si="3"/>
        <v>827810.24017447664</v>
      </c>
      <c r="H53" s="218">
        <f t="shared" ca="1" si="4"/>
        <v>18220413.249319062</v>
      </c>
      <c r="I53" s="362"/>
      <c r="J53" s="363"/>
      <c r="K53" s="1522" t="s">
        <v>1425</v>
      </c>
      <c r="L53" s="365"/>
    </row>
    <row r="54" spans="1:12" x14ac:dyDescent="0.25">
      <c r="A54" s="94">
        <f>IF(C54&lt;&gt;"",'Cash Flow Analysis'!A101,"")</f>
        <v>2050</v>
      </c>
      <c r="B54" s="314">
        <f t="shared" si="1"/>
        <v>38</v>
      </c>
      <c r="C54" s="314">
        <f t="shared" si="2"/>
        <v>37</v>
      </c>
      <c r="D54" s="482"/>
      <c r="E54" s="217">
        <f>+'Carbon Sequestration'!$C$100*(C54&lt;=anal_period)</f>
        <v>0</v>
      </c>
      <c r="F54" s="217">
        <f t="shared" si="0"/>
        <v>0</v>
      </c>
      <c r="G54" s="217">
        <f t="shared" ca="1" si="3"/>
        <v>827810.24017447664</v>
      </c>
      <c r="H54" s="218">
        <f t="shared" ca="1" si="4"/>
        <v>812375.11302696448</v>
      </c>
      <c r="I54" s="362"/>
      <c r="J54" s="363"/>
      <c r="K54" s="1521"/>
      <c r="L54" s="365"/>
    </row>
    <row r="55" spans="1:12" x14ac:dyDescent="0.25">
      <c r="A55" s="94">
        <f>IF(C55&lt;&gt;"",'Cash Flow Analysis'!A102,"")</f>
        <v>2051</v>
      </c>
      <c r="B55" s="314">
        <f t="shared" si="1"/>
        <v>39</v>
      </c>
      <c r="C55" s="314">
        <f t="shared" si="2"/>
        <v>38</v>
      </c>
      <c r="D55" s="482"/>
      <c r="E55" s="217">
        <f>+'Carbon Sequestration'!$C$100*(C55&lt;=anal_period)</f>
        <v>0</v>
      </c>
      <c r="F55" s="217">
        <f t="shared" si="0"/>
        <v>0</v>
      </c>
      <c r="G55" s="217">
        <f t="shared" ca="1" si="3"/>
        <v>827810.24017447664</v>
      </c>
      <c r="H55" s="218">
        <f t="shared" ca="1" si="4"/>
        <v>812375.11302696448</v>
      </c>
      <c r="I55" s="362"/>
      <c r="J55" s="363"/>
      <c r="K55" s="364"/>
      <c r="L55" s="365"/>
    </row>
    <row r="56" spans="1:12" x14ac:dyDescent="0.25">
      <c r="A56" s="94">
        <f>IF(C56&lt;&gt;"",'Cash Flow Analysis'!A103,"")</f>
        <v>2052</v>
      </c>
      <c r="B56" s="314">
        <f t="shared" si="1"/>
        <v>40</v>
      </c>
      <c r="C56" s="314">
        <f t="shared" si="2"/>
        <v>39</v>
      </c>
      <c r="D56" s="482"/>
      <c r="E56" s="217">
        <f>+'Carbon Sequestration'!$C$100*(C56&lt;=anal_period)</f>
        <v>0</v>
      </c>
      <c r="F56" s="217">
        <f t="shared" si="0"/>
        <v>0</v>
      </c>
      <c r="G56" s="217">
        <f t="shared" ca="1" si="3"/>
        <v>827810.24017447664</v>
      </c>
      <c r="H56" s="218">
        <f t="shared" ca="1" si="4"/>
        <v>812375.11302696448</v>
      </c>
      <c r="I56" s="362"/>
      <c r="J56" s="363"/>
      <c r="K56" s="364"/>
      <c r="L56" s="365"/>
    </row>
    <row r="57" spans="1:12" ht="13" thickBot="1" x14ac:dyDescent="0.3">
      <c r="A57" s="96">
        <f>IF(C57&lt;&gt;"",'Cash Flow Analysis'!A104,"")</f>
        <v>2053</v>
      </c>
      <c r="B57" s="315">
        <f t="shared" si="1"/>
        <v>41</v>
      </c>
      <c r="C57" s="315">
        <f t="shared" si="2"/>
        <v>40</v>
      </c>
      <c r="D57" s="483"/>
      <c r="E57" s="219">
        <f>+'Carbon Sequestration'!$C$100*(C57&lt;=anal_period)</f>
        <v>0</v>
      </c>
      <c r="F57" s="219">
        <f t="shared" si="0"/>
        <v>0</v>
      </c>
      <c r="G57" s="219">
        <f t="shared" ca="1" si="3"/>
        <v>827810.24017447664</v>
      </c>
      <c r="H57" s="220">
        <f t="shared" ca="1" si="4"/>
        <v>812375.11302696448</v>
      </c>
      <c r="I57" s="366"/>
      <c r="J57" s="367"/>
      <c r="K57" s="368"/>
      <c r="L57" s="369"/>
    </row>
    <row r="58" spans="1:12" ht="13" thickTop="1" x14ac:dyDescent="0.25"/>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52"/>
  <sheetViews>
    <sheetView workbookViewId="0">
      <selection activeCell="C41" sqref="C41"/>
    </sheetView>
  </sheetViews>
  <sheetFormatPr defaultRowHeight="12.5" x14ac:dyDescent="0.25"/>
  <cols>
    <col min="2" max="2" width="35" customWidth="1"/>
    <col min="3" max="3" width="19.7265625" customWidth="1"/>
    <col min="4" max="5" width="18.7265625" customWidth="1"/>
    <col min="6" max="6" width="22.54296875" customWidth="1"/>
    <col min="7" max="7" width="51.1796875" customWidth="1"/>
    <col min="8" max="8" width="27.1796875" customWidth="1"/>
  </cols>
  <sheetData>
    <row r="2" spans="2:8" ht="22.5" customHeight="1" x14ac:dyDescent="0.65">
      <c r="B2" s="817" t="s">
        <v>83</v>
      </c>
      <c r="F2" s="1602"/>
      <c r="G2" s="1602"/>
      <c r="H2" s="1602"/>
    </row>
    <row r="3" spans="2:8" x14ac:dyDescent="0.25">
      <c r="F3" s="1602"/>
      <c r="G3" s="1602"/>
      <c r="H3" s="1602"/>
    </row>
    <row r="4" spans="2:8" ht="15.5" x14ac:dyDescent="0.35">
      <c r="C4" s="816" t="s">
        <v>233</v>
      </c>
      <c r="F4" s="1602"/>
      <c r="G4" s="1602"/>
      <c r="H4" s="1602"/>
    </row>
    <row r="5" spans="2:8" ht="15.5" x14ac:dyDescent="0.35">
      <c r="C5" s="816"/>
    </row>
    <row r="6" spans="2:8" ht="16" thickBot="1" x14ac:dyDescent="0.4">
      <c r="C6" s="816"/>
    </row>
    <row r="7" spans="2:8" ht="26.5" thickBot="1" x14ac:dyDescent="0.35">
      <c r="B7" s="985" t="s">
        <v>827</v>
      </c>
      <c r="C7" s="986">
        <v>50000</v>
      </c>
      <c r="D7" s="1603" t="s">
        <v>828</v>
      </c>
      <c r="E7" s="1604"/>
      <c r="F7" s="1604"/>
      <c r="G7" s="1604"/>
      <c r="H7" s="1605"/>
    </row>
    <row r="8" spans="2:8" ht="13.5" thickBot="1" x14ac:dyDescent="0.35">
      <c r="D8" s="1601" t="s">
        <v>1029</v>
      </c>
      <c r="E8" s="1599"/>
      <c r="F8" s="1599"/>
      <c r="G8" s="1599"/>
      <c r="H8" s="1599"/>
    </row>
    <row r="9" spans="2:8" ht="13" x14ac:dyDescent="0.3">
      <c r="B9" s="1" t="s">
        <v>841</v>
      </c>
      <c r="C9" s="1008">
        <f>BasisYear</f>
        <v>2012</v>
      </c>
      <c r="D9" s="1606"/>
      <c r="E9" s="1607"/>
      <c r="F9" s="1607"/>
      <c r="G9" s="1607"/>
      <c r="H9" s="1608"/>
    </row>
    <row r="10" spans="2:8" ht="13" x14ac:dyDescent="0.3">
      <c r="B10" s="1" t="s">
        <v>773</v>
      </c>
      <c r="C10" s="983">
        <v>2010</v>
      </c>
      <c r="D10" s="1595"/>
      <c r="E10" s="1596"/>
      <c r="F10" s="1596"/>
      <c r="G10" s="1596"/>
      <c r="H10" s="1597"/>
    </row>
    <row r="11" spans="2:8" ht="13" x14ac:dyDescent="0.3">
      <c r="B11" s="1" t="str">
        <f>"CEPCI Inflator ("&amp;BasisYear&amp;" to "&amp;CurrentYear&amp;")"</f>
        <v>CEPCI Inflator (2012 to 2010)</v>
      </c>
      <c r="C11" s="1006">
        <f>VLOOKUP(CurrentYear,Tbl_PlantCostIndexes,2,FALSE)/VLOOKUP(BasisYear,Tbl_PlantCostIndexes,2,FALSE)</f>
        <v>0.94218268901813196</v>
      </c>
      <c r="D11" s="1595" t="s">
        <v>820</v>
      </c>
      <c r="E11" s="1596"/>
      <c r="F11" s="1596"/>
      <c r="G11" s="1596"/>
      <c r="H11" s="1597"/>
    </row>
    <row r="12" spans="2:8" ht="13.5" thickBot="1" x14ac:dyDescent="0.35">
      <c r="B12" s="1" t="str">
        <f>"Consumer Price Inflator ("&amp;CurrentYear&amp;" to "&amp;ref_year&amp;")"</f>
        <v>Consumer Price Inflator (2010 to 2016)</v>
      </c>
      <c r="C12" s="1007">
        <f>VLOOKUP(ref_year,DeflatorTable,2,FALSE)/VLOOKUP(CurrentYear,DeflatorTable,2,FALSE)</f>
        <v>1.100724186648488</v>
      </c>
      <c r="D12" s="1598" t="s">
        <v>821</v>
      </c>
      <c r="E12" s="1599"/>
      <c r="F12" s="1599"/>
      <c r="G12" s="1599"/>
      <c r="H12" s="1600"/>
    </row>
    <row r="13" spans="2:8" ht="13" thickBot="1" x14ac:dyDescent="0.3"/>
    <row r="14" spans="2:8" ht="16.5" thickTop="1" thickBot="1" x14ac:dyDescent="0.4">
      <c r="B14" s="969" t="str">
        <f xml:space="preserve"> "CAPITAL INVESTMENT (Inputs REQUIRED in Basis Year, (" &amp; BasisYear &amp; ") $)"</f>
        <v>CAPITAL INVESTMENT (Inputs REQUIRED in Basis Year, (2012) $)</v>
      </c>
      <c r="C14" s="970"/>
      <c r="D14" s="970"/>
      <c r="E14" s="970"/>
      <c r="F14" s="970"/>
      <c r="G14" s="970"/>
      <c r="H14" s="971"/>
    </row>
    <row r="15" spans="2:8" ht="32" thickTop="1" thickBot="1" x14ac:dyDescent="0.4">
      <c r="B15" s="512" t="s">
        <v>667</v>
      </c>
      <c r="C15" s="513" t="str">
        <f>"Baseline Uninstalled Costs $"&amp;BasisYear&amp;" Dollars"</f>
        <v>Baseline Uninstalled Costs $2012 Dollars</v>
      </c>
      <c r="D15" s="513" t="str">
        <f>"Baseline Uninstalled Costs $"&amp;ref_year&amp;" Dollars"</f>
        <v>Baseline Uninstalled Costs $2016 Dollars</v>
      </c>
      <c r="E15" s="513" t="s">
        <v>668</v>
      </c>
      <c r="F15" s="488" t="s">
        <v>1059</v>
      </c>
      <c r="G15" s="513" t="s">
        <v>1029</v>
      </c>
      <c r="H15" s="518" t="s">
        <v>670</v>
      </c>
    </row>
    <row r="16" spans="2:8" x14ac:dyDescent="0.25">
      <c r="B16" s="1269" t="s">
        <v>1408</v>
      </c>
      <c r="C16" s="1465">
        <f>$C$39*$C$41*C42</f>
        <v>47851875</v>
      </c>
      <c r="D16" s="516">
        <f>C16*CEPCIinflator*CPIinflator</f>
        <v>49626379.194133162</v>
      </c>
      <c r="E16" s="1271">
        <v>1.1200000000000001</v>
      </c>
      <c r="F16" s="516">
        <f>D16*E16</f>
        <v>55581544.69742915</v>
      </c>
      <c r="G16" s="525"/>
      <c r="H16" s="735"/>
    </row>
    <row r="17" spans="2:8" ht="13" x14ac:dyDescent="0.3">
      <c r="B17" s="1467" t="s">
        <v>1409</v>
      </c>
      <c r="C17" s="1468"/>
      <c r="D17" s="516">
        <f t="shared" ref="D17:D35" si="0">C17*CEPCIinflator*CPIinflator</f>
        <v>0</v>
      </c>
      <c r="E17" s="1272">
        <v>1.1200000000000001</v>
      </c>
      <c r="F17" s="516">
        <f t="shared" ref="F17:F35" si="1">D17*E17</f>
        <v>0</v>
      </c>
      <c r="G17" s="526"/>
      <c r="H17" s="736"/>
    </row>
    <row r="18" spans="2:8" ht="25" x14ac:dyDescent="0.25">
      <c r="B18" s="1516" t="str">
        <f>B44</f>
        <v>Hydrogen Gas Management System-Cathode system side</v>
      </c>
      <c r="C18" s="1468">
        <f t="shared" ref="C18:C26" si="2">$C$39*$C$41*C44</f>
        <v>9163125</v>
      </c>
      <c r="D18" s="516">
        <f t="shared" si="0"/>
        <v>9502923.675472308</v>
      </c>
      <c r="E18" s="1272">
        <v>1.1200000000000001</v>
      </c>
      <c r="F18" s="516">
        <f t="shared" si="1"/>
        <v>10643274.516528986</v>
      </c>
      <c r="G18" s="526"/>
      <c r="H18" s="736"/>
    </row>
    <row r="19" spans="2:8" ht="25" x14ac:dyDescent="0.25">
      <c r="B19" s="1516" t="str">
        <f t="shared" ref="B19:B26" si="3">B45</f>
        <v>Oxygen Gas Management System-Anode system side</v>
      </c>
      <c r="C19" s="1468">
        <f t="shared" si="2"/>
        <v>3054375</v>
      </c>
      <c r="D19" s="516">
        <f t="shared" si="0"/>
        <v>3167641.225157436</v>
      </c>
      <c r="E19" s="1272">
        <v>1.1200000000000001</v>
      </c>
      <c r="F19" s="516">
        <f t="shared" si="1"/>
        <v>3547758.1721763285</v>
      </c>
      <c r="G19" s="526"/>
      <c r="H19" s="736"/>
    </row>
    <row r="20" spans="2:8" ht="25" x14ac:dyDescent="0.25">
      <c r="B20" s="1516" t="str">
        <f t="shared" si="3"/>
        <v>Water Reacant Delivery Management System</v>
      </c>
      <c r="C20" s="1468">
        <f t="shared" si="2"/>
        <v>5090625</v>
      </c>
      <c r="D20" s="516">
        <f t="shared" si="0"/>
        <v>5279402.0419290597</v>
      </c>
      <c r="E20" s="1272">
        <v>1.1200000000000001</v>
      </c>
      <c r="F20" s="516">
        <f t="shared" si="1"/>
        <v>5912930.2869605478</v>
      </c>
      <c r="G20" s="526"/>
      <c r="H20" s="736"/>
    </row>
    <row r="21" spans="2:8" x14ac:dyDescent="0.25">
      <c r="B21" s="1516" t="str">
        <f t="shared" si="3"/>
        <v>Thermal Management System</v>
      </c>
      <c r="C21" s="1468">
        <f t="shared" si="2"/>
        <v>5090625</v>
      </c>
      <c r="D21" s="516">
        <f t="shared" si="0"/>
        <v>5279402.0419290597</v>
      </c>
      <c r="E21" s="1272">
        <v>1.1200000000000001</v>
      </c>
      <c r="F21" s="516">
        <f t="shared" si="1"/>
        <v>5912930.2869605478</v>
      </c>
      <c r="G21" s="526"/>
      <c r="H21" s="736"/>
    </row>
    <row r="22" spans="2:8" x14ac:dyDescent="0.25">
      <c r="B22" s="1516" t="str">
        <f t="shared" si="3"/>
        <v>Power Electronics</v>
      </c>
      <c r="C22" s="1468">
        <f t="shared" si="2"/>
        <v>21380625</v>
      </c>
      <c r="D22" s="516">
        <f t="shared" si="0"/>
        <v>22173488.576102052</v>
      </c>
      <c r="E22" s="1272">
        <v>1.1200000000000001</v>
      </c>
      <c r="F22" s="516">
        <f t="shared" si="1"/>
        <v>24834307.2052343</v>
      </c>
      <c r="G22" s="526"/>
      <c r="H22" s="736"/>
    </row>
    <row r="23" spans="2:8" x14ac:dyDescent="0.25">
      <c r="B23" s="1516" t="str">
        <f t="shared" si="3"/>
        <v>Controls &amp; Sensors</v>
      </c>
      <c r="C23" s="1468">
        <f t="shared" si="2"/>
        <v>2036250</v>
      </c>
      <c r="D23" s="516">
        <f t="shared" si="0"/>
        <v>2111760.8167716241</v>
      </c>
      <c r="E23" s="1272">
        <v>1.1200000000000001</v>
      </c>
      <c r="F23" s="516">
        <f t="shared" si="1"/>
        <v>2365172.1147842193</v>
      </c>
      <c r="G23" s="526"/>
      <c r="H23" s="736"/>
    </row>
    <row r="24" spans="2:8" ht="25" x14ac:dyDescent="0.25">
      <c r="B24" s="1516" t="str">
        <f t="shared" si="3"/>
        <v>Mechanical Balance of Plant-ss plumbing/copper cabling/Dryer valves...</v>
      </c>
      <c r="C24" s="1468">
        <f t="shared" si="2"/>
        <v>5090625</v>
      </c>
      <c r="D24" s="516">
        <f t="shared" si="0"/>
        <v>5279402.0419290597</v>
      </c>
      <c r="E24" s="1272">
        <v>1.1200000000000001</v>
      </c>
      <c r="F24" s="516">
        <f t="shared" si="1"/>
        <v>5912930.2869605478</v>
      </c>
      <c r="G24" s="526"/>
      <c r="H24" s="736"/>
    </row>
    <row r="25" spans="2:8" x14ac:dyDescent="0.25">
      <c r="B25" s="1516" t="str">
        <f t="shared" si="3"/>
        <v>Item Breakdown- Other</v>
      </c>
      <c r="C25" s="1468">
        <f t="shared" si="2"/>
        <v>1018125</v>
      </c>
      <c r="D25" s="516">
        <f t="shared" si="0"/>
        <v>1055880.4083858121</v>
      </c>
      <c r="E25" s="1272">
        <v>1.1200000000000001</v>
      </c>
      <c r="F25" s="516">
        <f t="shared" si="1"/>
        <v>1182586.0573921097</v>
      </c>
      <c r="G25" s="526"/>
      <c r="H25" s="736"/>
    </row>
    <row r="26" spans="2:8" x14ac:dyDescent="0.25">
      <c r="B26" s="1516" t="str">
        <f t="shared" si="3"/>
        <v>Item Breakdown-Assembly Labor</v>
      </c>
      <c r="C26" s="1468">
        <f t="shared" si="2"/>
        <v>2036250</v>
      </c>
      <c r="D26" s="516">
        <f t="shared" si="0"/>
        <v>2111760.8167716241</v>
      </c>
      <c r="E26" s="1272">
        <v>1.1200000000000001</v>
      </c>
      <c r="F26" s="516">
        <f t="shared" si="1"/>
        <v>2365172.1147842193</v>
      </c>
      <c r="G26" s="526"/>
      <c r="H26" s="736"/>
    </row>
    <row r="27" spans="2:8" x14ac:dyDescent="0.25">
      <c r="B27" s="1270"/>
      <c r="C27" s="1468"/>
      <c r="D27" s="516">
        <f t="shared" si="0"/>
        <v>0</v>
      </c>
      <c r="E27" s="1519"/>
      <c r="F27" s="516">
        <f t="shared" si="1"/>
        <v>0</v>
      </c>
      <c r="G27" s="526"/>
      <c r="H27" s="736"/>
    </row>
    <row r="28" spans="2:8" x14ac:dyDescent="0.25">
      <c r="B28" s="1270"/>
      <c r="C28" s="1468"/>
      <c r="D28" s="516">
        <f t="shared" si="0"/>
        <v>0</v>
      </c>
      <c r="E28" s="1519"/>
      <c r="F28" s="516">
        <f t="shared" si="1"/>
        <v>0</v>
      </c>
      <c r="G28" s="526"/>
      <c r="H28" s="736"/>
    </row>
    <row r="29" spans="2:8" x14ac:dyDescent="0.25">
      <c r="B29" s="1270"/>
      <c r="C29" s="1468"/>
      <c r="D29" s="516">
        <f t="shared" si="0"/>
        <v>0</v>
      </c>
      <c r="E29" s="978"/>
      <c r="F29" s="516">
        <f t="shared" si="1"/>
        <v>0</v>
      </c>
      <c r="G29" s="526"/>
      <c r="H29" s="736"/>
    </row>
    <row r="30" spans="2:8" x14ac:dyDescent="0.25">
      <c r="B30" s="897"/>
      <c r="C30" s="980"/>
      <c r="D30" s="516">
        <f t="shared" si="0"/>
        <v>0</v>
      </c>
      <c r="E30" s="977"/>
      <c r="F30" s="516">
        <f t="shared" si="1"/>
        <v>0</v>
      </c>
      <c r="G30" s="526"/>
      <c r="H30" s="736"/>
    </row>
    <row r="31" spans="2:8" x14ac:dyDescent="0.25">
      <c r="B31" s="897"/>
      <c r="C31" s="980"/>
      <c r="D31" s="516">
        <f t="shared" si="0"/>
        <v>0</v>
      </c>
      <c r="E31" s="977"/>
      <c r="F31" s="516">
        <f t="shared" si="1"/>
        <v>0</v>
      </c>
      <c r="G31" s="526"/>
      <c r="H31" s="736"/>
    </row>
    <row r="32" spans="2:8" x14ac:dyDescent="0.25">
      <c r="B32" s="897"/>
      <c r="C32" s="980"/>
      <c r="D32" s="516">
        <f t="shared" si="0"/>
        <v>0</v>
      </c>
      <c r="E32" s="977"/>
      <c r="F32" s="516">
        <f t="shared" si="1"/>
        <v>0</v>
      </c>
      <c r="G32" s="526"/>
      <c r="H32" s="736"/>
    </row>
    <row r="33" spans="2:8" x14ac:dyDescent="0.25">
      <c r="B33" s="897"/>
      <c r="C33" s="980"/>
      <c r="D33" s="516">
        <f t="shared" si="0"/>
        <v>0</v>
      </c>
      <c r="E33" s="977"/>
      <c r="F33" s="516">
        <f t="shared" si="1"/>
        <v>0</v>
      </c>
      <c r="G33" s="526"/>
      <c r="H33" s="736"/>
    </row>
    <row r="34" spans="2:8" x14ac:dyDescent="0.25">
      <c r="B34" s="897"/>
      <c r="C34" s="980"/>
      <c r="D34" s="516">
        <f t="shared" si="0"/>
        <v>0</v>
      </c>
      <c r="E34" s="977"/>
      <c r="F34" s="516">
        <f t="shared" si="1"/>
        <v>0</v>
      </c>
      <c r="G34" s="526"/>
      <c r="H34" s="736"/>
    </row>
    <row r="35" spans="2:8" ht="13" thickBot="1" x14ac:dyDescent="0.3">
      <c r="B35" s="898"/>
      <c r="C35" s="981"/>
      <c r="D35" s="516">
        <f t="shared" si="0"/>
        <v>0</v>
      </c>
      <c r="E35" s="979"/>
      <c r="F35" s="516">
        <f t="shared" si="1"/>
        <v>0</v>
      </c>
      <c r="G35" s="527"/>
      <c r="H35" s="737"/>
    </row>
    <row r="36" spans="2:8" ht="13" thickBot="1" x14ac:dyDescent="0.3">
      <c r="B36" s="514"/>
      <c r="C36" s="895">
        <f>SUM(C16:C35)</f>
        <v>101812500</v>
      </c>
      <c r="D36" s="468">
        <f>SUM(D16:D35)</f>
        <v>105588040.83858122</v>
      </c>
      <c r="E36" s="517"/>
      <c r="F36" s="468">
        <f>SUM(F16:F35)</f>
        <v>118258605.73921095</v>
      </c>
      <c r="G36" s="348"/>
      <c r="H36" s="520"/>
    </row>
    <row r="37" spans="2:8" ht="13" thickTop="1" x14ac:dyDescent="0.25">
      <c r="C37" s="896"/>
    </row>
    <row r="39" spans="2:8" x14ac:dyDescent="0.25">
      <c r="B39" s="1450" t="s">
        <v>1419</v>
      </c>
      <c r="C39" s="1450">
        <v>900</v>
      </c>
    </row>
    <row r="40" spans="2:8" x14ac:dyDescent="0.25">
      <c r="B40" s="1448" t="s">
        <v>1420</v>
      </c>
      <c r="C40" s="1450">
        <f>feedstockIndustrial_Electricity_Usage</f>
        <v>54.3</v>
      </c>
    </row>
    <row r="41" spans="2:8" x14ac:dyDescent="0.25">
      <c r="B41" s="1448" t="s">
        <v>1421</v>
      </c>
      <c r="C41" s="1518">
        <f>50000*C40/24</f>
        <v>113125</v>
      </c>
    </row>
    <row r="42" spans="2:8" x14ac:dyDescent="0.25">
      <c r="B42" s="1450" t="s">
        <v>1408</v>
      </c>
      <c r="C42" s="1449">
        <v>0.47</v>
      </c>
    </row>
    <row r="43" spans="2:8" x14ac:dyDescent="0.25">
      <c r="B43" s="1450" t="s">
        <v>1422</v>
      </c>
      <c r="C43" s="1449">
        <v>0.53</v>
      </c>
    </row>
    <row r="44" spans="2:8" ht="13" x14ac:dyDescent="0.3">
      <c r="B44" s="1517" t="s">
        <v>1410</v>
      </c>
      <c r="C44" s="1449">
        <v>0.09</v>
      </c>
    </row>
    <row r="45" spans="2:8" ht="13" x14ac:dyDescent="0.3">
      <c r="B45" s="1517" t="s">
        <v>1411</v>
      </c>
      <c r="C45" s="1449">
        <v>0.03</v>
      </c>
    </row>
    <row r="46" spans="2:8" ht="13" x14ac:dyDescent="0.3">
      <c r="B46" s="1517" t="s">
        <v>1412</v>
      </c>
      <c r="C46" s="1449">
        <v>0.05</v>
      </c>
    </row>
    <row r="47" spans="2:8" ht="13" x14ac:dyDescent="0.3">
      <c r="B47" s="1517" t="s">
        <v>1413</v>
      </c>
      <c r="C47" s="1449">
        <v>0.05</v>
      </c>
    </row>
    <row r="48" spans="2:8" ht="13" x14ac:dyDescent="0.3">
      <c r="B48" s="1517" t="s">
        <v>1414</v>
      </c>
      <c r="C48" s="1449">
        <v>0.21</v>
      </c>
    </row>
    <row r="49" spans="2:3" ht="13" x14ac:dyDescent="0.3">
      <c r="B49" s="1517" t="s">
        <v>1415</v>
      </c>
      <c r="C49" s="1449">
        <v>0.02</v>
      </c>
    </row>
    <row r="50" spans="2:3" ht="13" x14ac:dyDescent="0.3">
      <c r="B50" s="1517" t="s">
        <v>1416</v>
      </c>
      <c r="C50" s="1449">
        <v>0.05</v>
      </c>
    </row>
    <row r="51" spans="2:3" ht="13" x14ac:dyDescent="0.3">
      <c r="B51" s="1517" t="s">
        <v>1417</v>
      </c>
      <c r="C51" s="1449">
        <v>0.01</v>
      </c>
    </row>
    <row r="52" spans="2:3" ht="13" x14ac:dyDescent="0.3">
      <c r="B52" s="1517" t="s">
        <v>1418</v>
      </c>
      <c r="C52" s="1449">
        <v>0.02</v>
      </c>
    </row>
  </sheetData>
  <mergeCells count="7">
    <mergeCell ref="D11:H11"/>
    <mergeCell ref="D12:H12"/>
    <mergeCell ref="D8:H8"/>
    <mergeCell ref="F2:H4"/>
    <mergeCell ref="D7:H7"/>
    <mergeCell ref="D9:H9"/>
    <mergeCell ref="D10:H10"/>
  </mergeCells>
  <phoneticPr fontId="2" type="noConversion"/>
  <dataValidations count="1">
    <dataValidation type="whole" allowBlank="1" showInputMessage="1" showErrorMessage="1" sqref="C10" xr:uid="{00000000-0002-0000-0500-000000000000}">
      <formula1>1992</formula1>
      <formula2>2016</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election activeCell="C7" sqref="C7"/>
    </sheetView>
  </sheetViews>
  <sheetFormatPr defaultColWidth="9.1796875" defaultRowHeight="12.5" x14ac:dyDescent="0.25"/>
  <cols>
    <col min="1" max="1" width="9.1796875" style="210"/>
    <col min="2" max="2" width="50.7265625" style="210" customWidth="1"/>
    <col min="3" max="3" width="19.7265625" style="210" customWidth="1"/>
    <col min="4" max="4" width="17" style="210" customWidth="1"/>
    <col min="5" max="7" width="18.7265625" style="210" customWidth="1"/>
    <col min="8" max="8" width="16.453125" style="210" customWidth="1"/>
    <col min="9" max="9" width="38" style="210" customWidth="1"/>
    <col min="10" max="10" width="40.1796875" style="210" customWidth="1"/>
    <col min="11" max="11" width="27.1796875" style="210" customWidth="1"/>
    <col min="12" max="16384" width="9.1796875" style="210"/>
  </cols>
  <sheetData>
    <row r="1" spans="2:11" ht="13" thickBot="1" x14ac:dyDescent="0.3">
      <c r="B1" s="210" t="s">
        <v>321</v>
      </c>
    </row>
    <row r="2" spans="2:11" ht="19" thickTop="1" thickBot="1" x14ac:dyDescent="0.45">
      <c r="B2" s="757" t="s">
        <v>848</v>
      </c>
      <c r="C2" s="758"/>
      <c r="D2" s="758"/>
      <c r="E2" s="758"/>
      <c r="F2" s="758"/>
      <c r="G2" s="758"/>
      <c r="H2" s="758"/>
      <c r="I2" s="758"/>
      <c r="J2" s="758"/>
      <c r="K2" s="759"/>
    </row>
    <row r="3" spans="2:11" ht="24" customHeight="1" thickBot="1" x14ac:dyDescent="0.3">
      <c r="B3" s="760" t="s">
        <v>673</v>
      </c>
      <c r="C3" s="761">
        <f>Baseline_Design_Capacity</f>
        <v>50000</v>
      </c>
      <c r="D3" s="1611" t="s">
        <v>829</v>
      </c>
      <c r="E3" s="1611"/>
      <c r="F3" s="1611"/>
      <c r="G3" s="762"/>
      <c r="H3" s="762"/>
      <c r="I3" s="762"/>
      <c r="J3" s="762"/>
      <c r="K3" s="763"/>
    </row>
    <row r="4" spans="2:11" ht="29.25" customHeight="1" thickBot="1" x14ac:dyDescent="0.3">
      <c r="B4" s="760" t="s">
        <v>671</v>
      </c>
      <c r="C4" s="764">
        <f ca="1">design_cap/Baseline_Design_Capacity</f>
        <v>1</v>
      </c>
      <c r="D4" s="1612" t="s">
        <v>677</v>
      </c>
      <c r="E4" s="1612"/>
      <c r="F4" s="1612"/>
      <c r="G4" s="762"/>
      <c r="H4" s="762"/>
      <c r="I4" s="762"/>
      <c r="J4" s="762"/>
      <c r="K4" s="763"/>
    </row>
    <row r="5" spans="2:11" ht="29.25" customHeight="1" thickBot="1" x14ac:dyDescent="0.3">
      <c r="B5" s="760" t="s">
        <v>845</v>
      </c>
      <c r="C5" s="764">
        <f ca="1">$G$27/Det_direct_cap</f>
        <v>1</v>
      </c>
      <c r="D5" s="1612" t="s">
        <v>847</v>
      </c>
      <c r="E5" s="1612"/>
      <c r="F5" s="1612"/>
      <c r="G5" s="762"/>
      <c r="H5" s="762"/>
      <c r="I5" s="762"/>
      <c r="J5" s="762"/>
      <c r="K5" s="763"/>
    </row>
    <row r="6" spans="2:11" ht="29.25" customHeight="1" thickBot="1" x14ac:dyDescent="0.3">
      <c r="B6" s="760" t="s">
        <v>1063</v>
      </c>
      <c r="C6" s="766">
        <v>0.6</v>
      </c>
      <c r="D6" s="1612" t="s">
        <v>844</v>
      </c>
      <c r="E6" s="1612"/>
      <c r="F6" s="1612"/>
      <c r="G6" s="762"/>
      <c r="H6" s="762"/>
      <c r="I6" s="762"/>
      <c r="J6" s="762"/>
      <c r="K6" s="763"/>
    </row>
    <row r="7" spans="2:11" ht="41.25" customHeight="1" thickBot="1" x14ac:dyDescent="0.3">
      <c r="B7" s="760" t="s">
        <v>945</v>
      </c>
      <c r="C7" s="767">
        <v>30000</v>
      </c>
      <c r="D7" s="1613" t="s">
        <v>921</v>
      </c>
      <c r="E7" s="1614"/>
      <c r="F7" s="1614"/>
      <c r="G7" s="762"/>
      <c r="H7" s="762"/>
      <c r="I7" s="762"/>
      <c r="J7" s="762"/>
      <c r="K7" s="763"/>
    </row>
    <row r="8" spans="2:11" ht="42.75" customHeight="1" thickBot="1" x14ac:dyDescent="0.3">
      <c r="B8" s="760" t="s">
        <v>946</v>
      </c>
      <c r="C8" s="767">
        <v>70000</v>
      </c>
      <c r="D8" s="1609" t="s">
        <v>920</v>
      </c>
      <c r="E8" s="1610"/>
      <c r="F8" s="1610"/>
      <c r="G8" s="762"/>
      <c r="H8" s="762"/>
      <c r="I8" s="762"/>
      <c r="J8" s="762"/>
      <c r="K8" s="763"/>
    </row>
    <row r="9" spans="2:11" ht="15" customHeight="1" x14ac:dyDescent="0.25">
      <c r="B9" s="760"/>
      <c r="C9" s="768"/>
      <c r="D9" s="765"/>
      <c r="E9" s="765"/>
      <c r="F9" s="765"/>
      <c r="G9" s="762"/>
      <c r="H9" s="762"/>
      <c r="I9" s="762"/>
      <c r="J9" s="762"/>
      <c r="K9" s="763"/>
    </row>
    <row r="10" spans="2:11" x14ac:dyDescent="0.25">
      <c r="B10" s="769"/>
      <c r="C10" s="762"/>
      <c r="D10" s="762"/>
      <c r="E10" s="762"/>
      <c r="F10" s="762"/>
      <c r="G10" s="762"/>
      <c r="H10" s="762"/>
      <c r="I10" s="762"/>
      <c r="J10" s="762"/>
      <c r="K10" s="763"/>
    </row>
    <row r="11" spans="2:11" ht="16" thickBot="1" x14ac:dyDescent="0.4">
      <c r="B11" s="484" t="str">
        <f xml:space="preserve"> "CAPITAL INVESTMENT (Inputs REQUIRED in Reference Year, (" &amp; ref_year &amp; ") $)"</f>
        <v>CAPITAL INVESTMENT (Inputs REQUIRED in Reference Year, (2016) $)</v>
      </c>
      <c r="C11" s="485"/>
      <c r="D11" s="485"/>
      <c r="E11" s="485"/>
      <c r="F11" s="485"/>
      <c r="G11" s="486"/>
      <c r="H11" s="486"/>
      <c r="I11" s="486"/>
      <c r="J11" s="487"/>
      <c r="K11" s="770"/>
    </row>
    <row r="12" spans="2:11" ht="27.5" thickTop="1" thickBot="1" x14ac:dyDescent="0.4">
      <c r="B12" s="512" t="s">
        <v>667</v>
      </c>
      <c r="C12" s="513" t="s">
        <v>675</v>
      </c>
      <c r="D12" s="513" t="s">
        <v>669</v>
      </c>
      <c r="E12" s="513" t="s">
        <v>676</v>
      </c>
      <c r="F12" s="513" t="s">
        <v>668</v>
      </c>
      <c r="G12" s="513" t="s">
        <v>846</v>
      </c>
      <c r="H12" s="513" t="s">
        <v>1062</v>
      </c>
      <c r="I12" s="513" t="s">
        <v>1029</v>
      </c>
      <c r="J12" s="518" t="s">
        <v>670</v>
      </c>
    </row>
    <row r="13" spans="2:11" x14ac:dyDescent="0.25">
      <c r="B13" s="752" t="str">
        <f>'Capital Costs'!B16</f>
        <v>Stacks</v>
      </c>
      <c r="C13" s="740">
        <f>'Capital Costs'!D16</f>
        <v>49626379.194133162</v>
      </c>
      <c r="D13" s="739"/>
      <c r="E13" s="740">
        <f ca="1">IF($D13="",$C13*Scale_Ratio^Scaling_Factor_Exponent,$C13*Scale_Ratio^$D13)</f>
        <v>49626379.194133162</v>
      </c>
      <c r="F13" s="754">
        <f>'Capital Costs'!E16</f>
        <v>1.1200000000000001</v>
      </c>
      <c r="G13" s="741">
        <f ca="1">$E13*$F13</f>
        <v>55581544.69742915</v>
      </c>
      <c r="H13" s="740">
        <f>C13*F13</f>
        <v>55581544.69742915</v>
      </c>
      <c r="I13" s="742"/>
      <c r="J13" s="521"/>
    </row>
    <row r="14" spans="2:11" x14ac:dyDescent="0.25">
      <c r="B14" s="753" t="str">
        <f>'Capital Costs'!B17</f>
        <v>BoP Breakdown</v>
      </c>
      <c r="C14" s="744">
        <f>'Capital Costs'!D17</f>
        <v>0</v>
      </c>
      <c r="D14" s="743"/>
      <c r="E14" s="744">
        <f t="shared" ref="E14:E26" ca="1" si="0">IF($D14="",$C14*Scale_Ratio^Scaling_Factor_Exponent,$C14*Scale_Ratio^$D14)</f>
        <v>0</v>
      </c>
      <c r="F14" s="755">
        <f>'Capital Costs'!E17</f>
        <v>1.1200000000000001</v>
      </c>
      <c r="G14" s="745">
        <f t="shared" ref="G14:G26" ca="1" si="1">$E14*$F14</f>
        <v>0</v>
      </c>
      <c r="H14" s="744">
        <f t="shared" ref="H14:H26" si="2">C14*F14</f>
        <v>0</v>
      </c>
      <c r="I14" s="746"/>
      <c r="J14" s="522"/>
    </row>
    <row r="15" spans="2:11" x14ac:dyDescent="0.25">
      <c r="B15" s="753" t="str">
        <f>'Capital Costs'!B18</f>
        <v>Hydrogen Gas Management System-Cathode system side</v>
      </c>
      <c r="C15" s="744">
        <f>'Capital Costs'!D18</f>
        <v>9502923.675472308</v>
      </c>
      <c r="D15" s="743"/>
      <c r="E15" s="744">
        <f t="shared" ca="1" si="0"/>
        <v>9502923.675472308</v>
      </c>
      <c r="F15" s="755">
        <f>'Capital Costs'!E18</f>
        <v>1.1200000000000001</v>
      </c>
      <c r="G15" s="745">
        <f t="shared" ca="1" si="1"/>
        <v>10643274.516528986</v>
      </c>
      <c r="H15" s="744">
        <f t="shared" si="2"/>
        <v>10643274.516528986</v>
      </c>
      <c r="I15" s="746"/>
      <c r="J15" s="522"/>
    </row>
    <row r="16" spans="2:11" x14ac:dyDescent="0.25">
      <c r="B16" s="753" t="str">
        <f>'Capital Costs'!B19</f>
        <v>Oxygen Gas Management System-Anode system side</v>
      </c>
      <c r="C16" s="744">
        <f>'Capital Costs'!D19</f>
        <v>3167641.225157436</v>
      </c>
      <c r="D16" s="743"/>
      <c r="E16" s="744">
        <f t="shared" ca="1" si="0"/>
        <v>3167641.225157436</v>
      </c>
      <c r="F16" s="755">
        <f>'Capital Costs'!E19</f>
        <v>1.1200000000000001</v>
      </c>
      <c r="G16" s="745">
        <f t="shared" ca="1" si="1"/>
        <v>3547758.1721763285</v>
      </c>
      <c r="H16" s="744">
        <f t="shared" si="2"/>
        <v>3547758.1721763285</v>
      </c>
      <c r="I16" s="746"/>
      <c r="J16" s="522"/>
    </row>
    <row r="17" spans="2:10" x14ac:dyDescent="0.25">
      <c r="B17" s="753" t="str">
        <f>'Capital Costs'!B20</f>
        <v>Water Reacant Delivery Management System</v>
      </c>
      <c r="C17" s="744">
        <f>'Capital Costs'!D20</f>
        <v>5279402.0419290597</v>
      </c>
      <c r="D17" s="743"/>
      <c r="E17" s="744">
        <f t="shared" ca="1" si="0"/>
        <v>5279402.0419290597</v>
      </c>
      <c r="F17" s="755">
        <f>'Capital Costs'!E20</f>
        <v>1.1200000000000001</v>
      </c>
      <c r="G17" s="745">
        <f t="shared" ca="1" si="1"/>
        <v>5912930.2869605478</v>
      </c>
      <c r="H17" s="744">
        <f t="shared" si="2"/>
        <v>5912930.2869605478</v>
      </c>
      <c r="I17" s="746"/>
      <c r="J17" s="522"/>
    </row>
    <row r="18" spans="2:10" x14ac:dyDescent="0.25">
      <c r="B18" s="753" t="str">
        <f>'Capital Costs'!B21</f>
        <v>Thermal Management System</v>
      </c>
      <c r="C18" s="744">
        <f>'Capital Costs'!D21</f>
        <v>5279402.0419290597</v>
      </c>
      <c r="D18" s="743"/>
      <c r="E18" s="744">
        <f t="shared" ca="1" si="0"/>
        <v>5279402.0419290597</v>
      </c>
      <c r="F18" s="755">
        <f>'Capital Costs'!E21</f>
        <v>1.1200000000000001</v>
      </c>
      <c r="G18" s="745">
        <f t="shared" ca="1" si="1"/>
        <v>5912930.2869605478</v>
      </c>
      <c r="H18" s="744">
        <f t="shared" si="2"/>
        <v>5912930.2869605478</v>
      </c>
      <c r="I18" s="746"/>
      <c r="J18" s="522"/>
    </row>
    <row r="19" spans="2:10" x14ac:dyDescent="0.25">
      <c r="B19" s="753" t="str">
        <f>'Capital Costs'!B22</f>
        <v>Power Electronics</v>
      </c>
      <c r="C19" s="744">
        <f>'Capital Costs'!D22</f>
        <v>22173488.576102052</v>
      </c>
      <c r="D19" s="743"/>
      <c r="E19" s="744">
        <f t="shared" ca="1" si="0"/>
        <v>22173488.576102052</v>
      </c>
      <c r="F19" s="755">
        <f>'Capital Costs'!E22</f>
        <v>1.1200000000000001</v>
      </c>
      <c r="G19" s="745">
        <f t="shared" ca="1" si="1"/>
        <v>24834307.2052343</v>
      </c>
      <c r="H19" s="744">
        <f t="shared" si="2"/>
        <v>24834307.2052343</v>
      </c>
      <c r="I19" s="746"/>
      <c r="J19" s="522"/>
    </row>
    <row r="20" spans="2:10" x14ac:dyDescent="0.25">
      <c r="B20" s="753" t="str">
        <f>'Capital Costs'!B23</f>
        <v>Controls &amp; Sensors</v>
      </c>
      <c r="C20" s="744">
        <f>'Capital Costs'!D23</f>
        <v>2111760.8167716241</v>
      </c>
      <c r="D20" s="743"/>
      <c r="E20" s="744">
        <f t="shared" ca="1" si="0"/>
        <v>2111760.8167716241</v>
      </c>
      <c r="F20" s="755">
        <f>'Capital Costs'!E23</f>
        <v>1.1200000000000001</v>
      </c>
      <c r="G20" s="745">
        <f t="shared" ca="1" si="1"/>
        <v>2365172.1147842193</v>
      </c>
      <c r="H20" s="744">
        <f t="shared" si="2"/>
        <v>2365172.1147842193</v>
      </c>
      <c r="I20" s="746"/>
      <c r="J20" s="522"/>
    </row>
    <row r="21" spans="2:10" ht="25" x14ac:dyDescent="0.25">
      <c r="B21" s="753" t="str">
        <f>'Capital Costs'!B24</f>
        <v>Mechanical Balance of Plant-ss plumbing/copper cabling/Dryer valves...</v>
      </c>
      <c r="C21" s="744">
        <f>'Capital Costs'!D24</f>
        <v>5279402.0419290597</v>
      </c>
      <c r="D21" s="743"/>
      <c r="E21" s="744">
        <f t="shared" ca="1" si="0"/>
        <v>5279402.0419290597</v>
      </c>
      <c r="F21" s="755">
        <f>'Capital Costs'!E24</f>
        <v>1.1200000000000001</v>
      </c>
      <c r="G21" s="745">
        <f t="shared" ca="1" si="1"/>
        <v>5912930.2869605478</v>
      </c>
      <c r="H21" s="744">
        <f t="shared" si="2"/>
        <v>5912930.2869605478</v>
      </c>
      <c r="I21" s="746"/>
      <c r="J21" s="522"/>
    </row>
    <row r="22" spans="2:10" x14ac:dyDescent="0.25">
      <c r="B22" s="753" t="str">
        <f>'Capital Costs'!B25</f>
        <v>Item Breakdown- Other</v>
      </c>
      <c r="C22" s="744">
        <f>'Capital Costs'!D25</f>
        <v>1055880.4083858121</v>
      </c>
      <c r="D22" s="743"/>
      <c r="E22" s="744">
        <f t="shared" ca="1" si="0"/>
        <v>1055880.4083858121</v>
      </c>
      <c r="F22" s="755">
        <f>'Capital Costs'!E25</f>
        <v>1.1200000000000001</v>
      </c>
      <c r="G22" s="745">
        <f t="shared" ca="1" si="1"/>
        <v>1182586.0573921097</v>
      </c>
      <c r="H22" s="744">
        <f t="shared" si="2"/>
        <v>1182586.0573921097</v>
      </c>
      <c r="I22" s="746"/>
      <c r="J22" s="522"/>
    </row>
    <row r="23" spans="2:10" x14ac:dyDescent="0.25">
      <c r="B23" s="753" t="str">
        <f>'Capital Costs'!B26</f>
        <v>Item Breakdown-Assembly Labor</v>
      </c>
      <c r="C23" s="744">
        <f>'Capital Costs'!D26</f>
        <v>2111760.8167716241</v>
      </c>
      <c r="D23" s="743"/>
      <c r="E23" s="744">
        <f t="shared" ca="1" si="0"/>
        <v>2111760.8167716241</v>
      </c>
      <c r="F23" s="755">
        <f>'Capital Costs'!E26</f>
        <v>1.1200000000000001</v>
      </c>
      <c r="G23" s="745">
        <f t="shared" ca="1" si="1"/>
        <v>2365172.1147842193</v>
      </c>
      <c r="H23" s="744">
        <f t="shared" si="2"/>
        <v>2365172.1147842193</v>
      </c>
      <c r="I23" s="746"/>
      <c r="J23" s="522"/>
    </row>
    <row r="24" spans="2:10" ht="13" x14ac:dyDescent="0.3">
      <c r="B24" s="753">
        <f>'Capital Costs'!B27</f>
        <v>0</v>
      </c>
      <c r="C24" s="744">
        <f>'Capital Costs'!D27</f>
        <v>0</v>
      </c>
      <c r="D24" s="747"/>
      <c r="E24" s="744">
        <f t="shared" ca="1" si="0"/>
        <v>0</v>
      </c>
      <c r="F24" s="755">
        <f>'Capital Costs'!E27</f>
        <v>0</v>
      </c>
      <c r="G24" s="745">
        <f t="shared" ca="1" si="1"/>
        <v>0</v>
      </c>
      <c r="H24" s="744">
        <f t="shared" si="2"/>
        <v>0</v>
      </c>
      <c r="I24" s="746"/>
      <c r="J24" s="522"/>
    </row>
    <row r="25" spans="2:10" ht="13" x14ac:dyDescent="0.3">
      <c r="B25" s="753">
        <f>'Capital Costs'!B28</f>
        <v>0</v>
      </c>
      <c r="C25" s="744">
        <f>'Capital Costs'!D28</f>
        <v>0</v>
      </c>
      <c r="D25" s="747"/>
      <c r="E25" s="744">
        <f t="shared" ca="1" si="0"/>
        <v>0</v>
      </c>
      <c r="F25" s="755">
        <f>'Capital Costs'!E28</f>
        <v>0</v>
      </c>
      <c r="G25" s="745">
        <f t="shared" ca="1" si="1"/>
        <v>0</v>
      </c>
      <c r="H25" s="744">
        <f t="shared" si="2"/>
        <v>0</v>
      </c>
      <c r="I25" s="746"/>
      <c r="J25" s="522"/>
    </row>
    <row r="26" spans="2:10" ht="13.5" thickBot="1" x14ac:dyDescent="0.35">
      <c r="B26" s="753">
        <f>'Capital Costs'!B29</f>
        <v>0</v>
      </c>
      <c r="C26" s="744">
        <f>'Capital Costs'!D29</f>
        <v>0</v>
      </c>
      <c r="D26" s="748"/>
      <c r="E26" s="749">
        <f t="shared" ca="1" si="0"/>
        <v>0</v>
      </c>
      <c r="F26" s="755">
        <f>'Capital Costs'!E29</f>
        <v>0</v>
      </c>
      <c r="G26" s="750">
        <f t="shared" ca="1" si="1"/>
        <v>0</v>
      </c>
      <c r="H26" s="749">
        <f t="shared" si="2"/>
        <v>0</v>
      </c>
      <c r="I26" s="751"/>
      <c r="J26" s="523"/>
    </row>
    <row r="27" spans="2:10" ht="13.5" thickBot="1" x14ac:dyDescent="0.35">
      <c r="B27" s="514" t="s">
        <v>672</v>
      </c>
      <c r="C27" s="515">
        <f>SUM(C13:C26)</f>
        <v>105588040.83858122</v>
      </c>
      <c r="D27" s="519"/>
      <c r="E27" s="515">
        <f ca="1">SUM(E13:E26)</f>
        <v>105588040.83858122</v>
      </c>
      <c r="F27" s="517"/>
      <c r="G27" s="738">
        <f ca="1">SUM(G13:G26)</f>
        <v>118258605.73921095</v>
      </c>
      <c r="H27" s="756">
        <f>SUM(H13:H26)</f>
        <v>118258605.73921095</v>
      </c>
      <c r="I27" s="348"/>
      <c r="J27" s="520"/>
    </row>
    <row r="28" spans="2:10" ht="13" thickTop="1" x14ac:dyDescent="0.25"/>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topLeftCell="A22" workbookViewId="0">
      <selection activeCell="J28" sqref="J28"/>
    </sheetView>
  </sheetViews>
  <sheetFormatPr defaultColWidth="9.1796875" defaultRowHeight="12.5" x14ac:dyDescent="0.25"/>
  <cols>
    <col min="1" max="1" width="7.54296875" style="29" customWidth="1"/>
    <col min="2" max="2" width="72.26953125" style="29" customWidth="1"/>
    <col min="3" max="3" width="15.81640625" style="29" customWidth="1"/>
    <col min="4" max="4" width="19.453125" style="29" customWidth="1"/>
    <col min="5" max="5" width="12.1796875" style="29" customWidth="1"/>
    <col min="6" max="6" width="15.81640625" style="29" customWidth="1"/>
    <col min="7" max="7" width="14.7265625" style="29" customWidth="1"/>
    <col min="8" max="8" width="17" style="29" customWidth="1"/>
    <col min="9" max="9" width="17.26953125" style="29" customWidth="1"/>
    <col min="10" max="10" width="23.453125" style="29" customWidth="1"/>
    <col min="11" max="11" width="16.1796875" style="29" customWidth="1"/>
    <col min="12" max="12" width="11.54296875" style="29" bestFit="1" customWidth="1"/>
    <col min="13" max="13" width="12.7265625" style="29" bestFit="1" customWidth="1"/>
    <col min="14" max="14" width="11.54296875" style="29" bestFit="1" customWidth="1"/>
    <col min="15" max="16384" width="9.1796875" style="29"/>
  </cols>
  <sheetData>
    <row r="1" spans="1:10" x14ac:dyDescent="0.25">
      <c r="A1" s="1291" t="s">
        <v>1287</v>
      </c>
    </row>
    <row r="2" spans="1:10" ht="22" x14ac:dyDescent="0.25">
      <c r="B2" s="818" t="s">
        <v>400</v>
      </c>
    </row>
    <row r="4" spans="1:10" ht="14" x14ac:dyDescent="0.25">
      <c r="B4" s="1633" t="s">
        <v>390</v>
      </c>
      <c r="C4" s="1633"/>
      <c r="D4" s="1633"/>
      <c r="E4" s="1633"/>
      <c r="F4" s="1633"/>
      <c r="G4" s="1633"/>
      <c r="H4" s="1633"/>
      <c r="I4" s="1633"/>
      <c r="J4" s="1633"/>
    </row>
    <row r="5" spans="1:10" ht="67.5" customHeight="1" x14ac:dyDescent="0.25">
      <c r="B5" s="1634" t="s">
        <v>410</v>
      </c>
      <c r="C5" s="1635"/>
      <c r="D5" s="1635"/>
      <c r="E5" s="1635"/>
      <c r="F5" s="1635"/>
      <c r="G5" s="1635"/>
      <c r="H5" s="1635"/>
      <c r="I5" s="1635"/>
      <c r="J5" s="1635"/>
    </row>
    <row r="6" spans="1:10" x14ac:dyDescent="0.25">
      <c r="B6" s="772"/>
      <c r="C6" s="772"/>
      <c r="D6" s="772"/>
      <c r="E6" s="772"/>
      <c r="F6" s="772"/>
      <c r="G6" s="772"/>
      <c r="H6" s="772"/>
      <c r="I6" s="772"/>
      <c r="J6" s="772"/>
    </row>
    <row r="7" spans="1:10" ht="22" x14ac:dyDescent="0.25">
      <c r="B7" s="819" t="s">
        <v>1066</v>
      </c>
      <c r="C7" s="772"/>
      <c r="D7" s="772"/>
      <c r="E7" s="772"/>
      <c r="F7" s="772"/>
      <c r="G7" s="772"/>
      <c r="H7" s="772"/>
      <c r="I7" s="772"/>
      <c r="J7" s="772"/>
    </row>
    <row r="8" spans="1:10" ht="15.5" x14ac:dyDescent="0.25">
      <c r="B8" s="820" t="s">
        <v>233</v>
      </c>
      <c r="C8" s="772"/>
      <c r="D8" s="772"/>
      <c r="E8" s="772"/>
      <c r="F8" s="772"/>
      <c r="G8" s="772"/>
      <c r="H8" s="772"/>
      <c r="I8" s="772"/>
      <c r="J8" s="772"/>
    </row>
    <row r="9" spans="1:10" x14ac:dyDescent="0.25">
      <c r="B9" s="772"/>
      <c r="C9" s="772"/>
      <c r="D9" s="772"/>
      <c r="E9" s="772"/>
      <c r="F9" s="772"/>
      <c r="G9" s="772"/>
      <c r="H9" s="772"/>
      <c r="I9" s="772"/>
      <c r="J9" s="772"/>
    </row>
    <row r="10" spans="1:10" x14ac:dyDescent="0.25">
      <c r="B10" s="772"/>
      <c r="C10" s="772"/>
      <c r="D10" s="772"/>
      <c r="E10" s="772"/>
      <c r="F10" s="772"/>
      <c r="G10" s="772"/>
      <c r="H10" s="772"/>
      <c r="I10" s="772"/>
      <c r="J10" s="772"/>
    </row>
    <row r="11" spans="1:10" ht="15.5" x14ac:dyDescent="0.25">
      <c r="B11" s="820" t="s">
        <v>234</v>
      </c>
      <c r="C11" s="772"/>
      <c r="D11" s="772"/>
      <c r="E11" s="772"/>
      <c r="F11" s="772"/>
      <c r="G11" s="772"/>
      <c r="H11" s="772"/>
      <c r="I11" s="772"/>
      <c r="J11" s="772"/>
    </row>
    <row r="12" spans="1:10" x14ac:dyDescent="0.25">
      <c r="B12" s="772"/>
      <c r="C12" s="772"/>
      <c r="D12" s="772"/>
      <c r="E12" s="772"/>
      <c r="F12" s="772"/>
      <c r="G12" s="772"/>
      <c r="H12" s="772"/>
      <c r="I12" s="772"/>
      <c r="J12" s="772"/>
    </row>
    <row r="13" spans="1:10" x14ac:dyDescent="0.25">
      <c r="B13" s="772"/>
      <c r="C13" s="772"/>
      <c r="D13" s="772"/>
      <c r="E13" s="772"/>
      <c r="F13" s="772"/>
      <c r="G13" s="772"/>
      <c r="H13" s="772"/>
      <c r="I13" s="772"/>
      <c r="J13" s="772"/>
    </row>
    <row r="14" spans="1:10" x14ac:dyDescent="0.25">
      <c r="B14" s="772"/>
      <c r="C14" s="772"/>
      <c r="D14" s="772"/>
      <c r="E14" s="772"/>
      <c r="F14" s="772"/>
      <c r="G14" s="772"/>
      <c r="H14" s="772"/>
      <c r="I14" s="772"/>
      <c r="J14" s="772"/>
    </row>
    <row r="15" spans="1:10" ht="14" x14ac:dyDescent="0.25">
      <c r="B15" s="822" t="s">
        <v>412</v>
      </c>
      <c r="C15" s="772"/>
      <c r="D15" s="772"/>
      <c r="E15" s="772"/>
      <c r="F15" s="772"/>
      <c r="G15" s="772"/>
      <c r="H15" s="772"/>
      <c r="I15" s="772"/>
      <c r="J15" s="772"/>
    </row>
    <row r="16" spans="1:10" ht="14" x14ac:dyDescent="0.25">
      <c r="B16" s="822" t="s">
        <v>425</v>
      </c>
      <c r="C16" s="772"/>
      <c r="D16" s="772"/>
      <c r="E16" s="772"/>
      <c r="F16" s="772"/>
      <c r="G16" s="772"/>
      <c r="H16" s="772"/>
      <c r="I16" s="772"/>
      <c r="J16" s="772"/>
    </row>
    <row r="17" spans="2:14" ht="14" x14ac:dyDescent="0.25">
      <c r="B17" s="822" t="s">
        <v>433</v>
      </c>
      <c r="C17" s="772"/>
      <c r="D17" s="772"/>
      <c r="E17" s="772"/>
      <c r="F17" s="772"/>
      <c r="G17" s="772"/>
      <c r="H17" s="772"/>
      <c r="I17" s="772"/>
      <c r="J17" s="772"/>
    </row>
    <row r="18" spans="2:14" ht="15.5" x14ac:dyDescent="0.25">
      <c r="B18" s="821"/>
    </row>
    <row r="19" spans="2:14" ht="13" thickBot="1" x14ac:dyDescent="0.3"/>
    <row r="20" spans="2:14" ht="44.25" customHeight="1" thickTop="1" x14ac:dyDescent="0.25">
      <c r="B20" s="1343" t="s">
        <v>411</v>
      </c>
      <c r="C20" s="1344"/>
      <c r="D20" s="1345"/>
      <c r="E20" s="1345"/>
      <c r="F20" s="1346"/>
      <c r="H20" s="1640" t="s">
        <v>819</v>
      </c>
      <c r="I20" s="1641"/>
      <c r="J20" s="1641"/>
      <c r="K20" s="1642"/>
    </row>
    <row r="21" spans="2:14" ht="39" customHeight="1" x14ac:dyDescent="0.25">
      <c r="B21" s="554" t="s">
        <v>954</v>
      </c>
      <c r="C21" s="559">
        <f ca="1">Feed_CO2_MTpY</f>
        <v>0</v>
      </c>
      <c r="D21" s="1643" t="s">
        <v>413</v>
      </c>
      <c r="E21" s="1643"/>
      <c r="F21" s="1644"/>
      <c r="H21" s="1623" t="s">
        <v>83</v>
      </c>
      <c r="I21" s="1624"/>
      <c r="J21" s="1347"/>
      <c r="K21" s="1348"/>
    </row>
    <row r="22" spans="2:14" ht="14.25" customHeight="1" x14ac:dyDescent="0.25">
      <c r="B22" s="554" t="s">
        <v>953</v>
      </c>
      <c r="C22" s="560">
        <f ca="1">Feed_CO2_kgpkgH2</f>
        <v>0</v>
      </c>
      <c r="D22" s="556"/>
      <c r="E22" s="556"/>
      <c r="F22" s="557"/>
      <c r="H22" s="1625" t="s">
        <v>428</v>
      </c>
      <c r="I22" s="1626"/>
      <c r="J22" s="1368" t="e">
        <f ca="1">SUM(C54:C57)</f>
        <v>#VALUE!</v>
      </c>
      <c r="K22" s="1348"/>
    </row>
    <row r="23" spans="2:14" ht="14.25" customHeight="1" x14ac:dyDescent="0.25">
      <c r="B23" s="554" t="s">
        <v>429</v>
      </c>
      <c r="C23" s="1308">
        <f ca="1">Feed_CO2_MTpY/365*CO2_Capture_Efficiency</f>
        <v>0</v>
      </c>
      <c r="D23" s="556"/>
      <c r="E23" s="556"/>
      <c r="F23" s="557"/>
      <c r="H23" s="1625" t="s">
        <v>1232</v>
      </c>
      <c r="I23" s="1626"/>
      <c r="J23" s="1368">
        <f ca="1">C71</f>
        <v>80988.893635198634</v>
      </c>
      <c r="K23" s="1348"/>
      <c r="N23" s="1291"/>
    </row>
    <row r="24" spans="2:14" ht="14.25" customHeight="1" x14ac:dyDescent="0.25">
      <c r="B24" s="554" t="s">
        <v>1285</v>
      </c>
      <c r="C24" s="1302">
        <f ca="1">CO2_flowrate*365/1000000</f>
        <v>0</v>
      </c>
      <c r="D24" s="1304"/>
      <c r="E24" s="1304"/>
      <c r="F24" s="1294"/>
      <c r="H24" s="1625" t="s">
        <v>1235</v>
      </c>
      <c r="I24" s="1626"/>
      <c r="J24" s="1368">
        <f ca="1">SUM(C82:C83)</f>
        <v>0</v>
      </c>
      <c r="K24" s="1348"/>
      <c r="N24" s="1291"/>
    </row>
    <row r="25" spans="2:14" ht="14" x14ac:dyDescent="0.25">
      <c r="B25" s="592" t="s">
        <v>431</v>
      </c>
      <c r="C25" s="593">
        <f ca="1">HLOOKUP(startup_year,INDIRECT(TMP_PriceTable),MATCH("Industrial Electricity",INDIRECT(Energy_Feed_List),0),FALSE)*VLOOKUP("kWh",CC_feedconversion,2,FALSE)</f>
        <v>6.9980611257164108E-2</v>
      </c>
      <c r="D25" s="1645" t="s">
        <v>432</v>
      </c>
      <c r="E25" s="1645"/>
      <c r="F25" s="1646"/>
      <c r="H25" s="1649" t="s">
        <v>1237</v>
      </c>
      <c r="I25" s="1650"/>
      <c r="J25" s="1368">
        <f ca="1">SUM(C93:C95)</f>
        <v>39831626.153846137</v>
      </c>
      <c r="K25" s="1350"/>
      <c r="M25" s="1297"/>
    </row>
    <row r="26" spans="2:14" ht="14.5" thickBot="1" x14ac:dyDescent="0.3">
      <c r="B26" s="558" t="s">
        <v>998</v>
      </c>
      <c r="C26" s="561">
        <f ca="1">IF(C21=0,0,(pump_power)*cap_factor*24*365/output_kgyear)</f>
        <v>0</v>
      </c>
      <c r="D26" s="1636"/>
      <c r="E26" s="1636"/>
      <c r="F26" s="1637"/>
      <c r="H26" s="1647"/>
      <c r="I26" s="1648"/>
      <c r="J26" s="1371">
        <f>IF(CO2_Capture_Efficiency,SUM(J22:J25),0)</f>
        <v>0</v>
      </c>
      <c r="K26" s="1350" t="str">
        <f>"Total ("&amp;ref_year&amp;"$)"</f>
        <v>Total (2016$)</v>
      </c>
    </row>
    <row r="27" spans="2:14" ht="18.75" customHeight="1" thickTop="1" thickBot="1" x14ac:dyDescent="0.3">
      <c r="H27" s="1625" t="s">
        <v>1095</v>
      </c>
      <c r="I27" s="1626"/>
      <c r="J27" s="1368">
        <f ca="1">IFERROR(IF(CO2_inUse = "To Use Carbon Sequestration Click 'Link to Detail Sheet' in the Input Sheet Capital Cost Section",0,(J23+J24)/1.2+J25/1.5+J22),0)</f>
        <v>0</v>
      </c>
      <c r="K27" s="1348"/>
    </row>
    <row r="28" spans="2:14" ht="31.5" customHeight="1" thickTop="1" thickBot="1" x14ac:dyDescent="0.3">
      <c r="B28" s="1339" t="s">
        <v>412</v>
      </c>
      <c r="C28" s="1340"/>
      <c r="D28" s="1341"/>
      <c r="E28" s="1341"/>
      <c r="F28" s="1342"/>
      <c r="H28" s="1638"/>
      <c r="I28" s="1639"/>
      <c r="J28" s="1349"/>
      <c r="K28" s="1348"/>
    </row>
    <row r="29" spans="2:14" ht="14" x14ac:dyDescent="0.25">
      <c r="B29" s="1322" t="s">
        <v>1244</v>
      </c>
      <c r="C29" s="1320"/>
      <c r="D29" s="1321"/>
      <c r="E29" s="1321"/>
      <c r="F29" s="1323"/>
      <c r="H29" s="1351"/>
      <c r="I29" s="1352"/>
      <c r="J29" s="1349"/>
      <c r="K29" s="1348"/>
    </row>
    <row r="30" spans="2:14" ht="14" x14ac:dyDescent="0.25">
      <c r="B30" s="1324" t="s">
        <v>997</v>
      </c>
      <c r="C30" s="1375">
        <v>0</v>
      </c>
      <c r="D30" s="1309"/>
      <c r="E30" s="1615" t="s">
        <v>1286</v>
      </c>
      <c r="F30" s="1651"/>
      <c r="H30" s="1623" t="s">
        <v>817</v>
      </c>
      <c r="I30" s="1624"/>
      <c r="J30" s="1349"/>
      <c r="K30" s="1348"/>
    </row>
    <row r="31" spans="2:14" ht="27.65" customHeight="1" x14ac:dyDescent="0.25">
      <c r="B31" s="1324" t="s">
        <v>549</v>
      </c>
      <c r="C31" s="1337">
        <v>14.7</v>
      </c>
      <c r="D31" s="1309"/>
      <c r="E31" s="1657" t="s">
        <v>1241</v>
      </c>
      <c r="F31" s="1658"/>
      <c r="H31" s="1625" t="s">
        <v>426</v>
      </c>
      <c r="I31" s="1626"/>
      <c r="J31" s="1368">
        <f ca="1">C74</f>
        <v>0</v>
      </c>
      <c r="K31" s="1348"/>
    </row>
    <row r="32" spans="2:14" ht="28" x14ac:dyDescent="0.25">
      <c r="B32" s="1324" t="s">
        <v>1216</v>
      </c>
      <c r="C32" s="1310">
        <v>1</v>
      </c>
      <c r="D32" s="1309"/>
      <c r="E32" s="1615"/>
      <c r="F32" s="1616"/>
      <c r="H32" s="1369" t="s">
        <v>427</v>
      </c>
      <c r="I32" s="1370"/>
      <c r="J32" s="1368">
        <v>0</v>
      </c>
      <c r="K32" s="1348"/>
    </row>
    <row r="33" spans="2:11" ht="14" x14ac:dyDescent="0.25">
      <c r="B33" s="1324" t="s">
        <v>1215</v>
      </c>
      <c r="C33" s="1311">
        <v>0.75</v>
      </c>
      <c r="D33" s="1309"/>
      <c r="E33" s="1615"/>
      <c r="F33" s="1616"/>
      <c r="H33" s="1625" t="s">
        <v>428</v>
      </c>
      <c r="I33" s="1626"/>
      <c r="J33" s="1368">
        <v>0</v>
      </c>
      <c r="K33" s="1348"/>
    </row>
    <row r="34" spans="2:11" ht="14" x14ac:dyDescent="0.25">
      <c r="B34" s="1324" t="s">
        <v>1207</v>
      </c>
      <c r="C34" s="1312" t="s">
        <v>23</v>
      </c>
      <c r="D34" s="1309"/>
      <c r="E34" s="1615"/>
      <c r="F34" s="1616"/>
      <c r="H34" s="1638"/>
      <c r="I34" s="1639"/>
      <c r="J34" s="1371">
        <f ca="1">SUM(J31:J33)</f>
        <v>0</v>
      </c>
      <c r="K34" s="1350" t="str">
        <f>"Total ("&amp;ref_year&amp;"$)"</f>
        <v>Total (2016$)</v>
      </c>
    </row>
    <row r="35" spans="2:11" ht="14" x14ac:dyDescent="0.25">
      <c r="B35" s="1324" t="s">
        <v>1209</v>
      </c>
      <c r="C35" s="1312" t="s">
        <v>23</v>
      </c>
      <c r="D35" s="1309"/>
      <c r="E35" s="1615"/>
      <c r="F35" s="1616"/>
      <c r="H35" s="1623" t="s">
        <v>818</v>
      </c>
      <c r="I35" s="1624"/>
      <c r="J35" s="1349"/>
      <c r="K35" s="1348"/>
    </row>
    <row r="36" spans="2:11" ht="14" x14ac:dyDescent="0.25">
      <c r="B36" s="1324" t="s">
        <v>1242</v>
      </c>
      <c r="C36" s="1310">
        <v>100</v>
      </c>
      <c r="D36" s="1309"/>
      <c r="E36" s="1615"/>
      <c r="F36" s="1616"/>
      <c r="H36" s="1625" t="s">
        <v>962</v>
      </c>
      <c r="I36" s="1626"/>
      <c r="J36" s="1368">
        <f ca="1">-Feed_CO2_MTpY*CO2_Capture_Efficiency*CO2_credit</f>
        <v>0</v>
      </c>
      <c r="K36" s="1348"/>
    </row>
    <row r="37" spans="2:11" ht="14" x14ac:dyDescent="0.25">
      <c r="B37" s="1324" t="s">
        <v>1243</v>
      </c>
      <c r="C37" s="1310">
        <v>0</v>
      </c>
      <c r="D37" s="1309"/>
      <c r="E37" s="1615"/>
      <c r="F37" s="1616"/>
      <c r="H37" s="1625" t="s">
        <v>428</v>
      </c>
      <c r="I37" s="1626"/>
      <c r="J37" s="1368">
        <f>+C61</f>
        <v>693420.37890424987</v>
      </c>
      <c r="K37" s="1348"/>
    </row>
    <row r="38" spans="2:11" ht="14.5" thickBot="1" x14ac:dyDescent="0.3">
      <c r="B38" s="1325" t="s">
        <v>1250</v>
      </c>
      <c r="C38" s="1316" t="e">
        <f ca="1">Pipe_Diameter(CO2_PipeLength,
        C67, C66,
        C37,
        0.5,
        CO2_flowrate,
        CO2_Pipeline_Temp,
        n_CO2_pumps)</f>
        <v>#VALUE!</v>
      </c>
      <c r="D38" s="1317"/>
      <c r="E38" s="1655"/>
      <c r="F38" s="1656"/>
      <c r="H38" s="1625" t="s">
        <v>1232</v>
      </c>
      <c r="I38" s="1626"/>
      <c r="J38" s="1368">
        <f ca="1">C78</f>
        <v>3239.5557454079453</v>
      </c>
      <c r="K38" s="1348"/>
    </row>
    <row r="39" spans="2:11" ht="14" x14ac:dyDescent="0.25">
      <c r="B39" s="1652" t="s">
        <v>1245</v>
      </c>
      <c r="C39" s="1653"/>
      <c r="D39" s="1653"/>
      <c r="E39" s="1653"/>
      <c r="F39" s="1654"/>
      <c r="H39" s="1625" t="s">
        <v>1235</v>
      </c>
      <c r="I39" s="1626"/>
      <c r="J39" s="1368">
        <f ca="1">C86</f>
        <v>0</v>
      </c>
      <c r="K39" s="1348"/>
    </row>
    <row r="40" spans="2:11" ht="14" x14ac:dyDescent="0.25">
      <c r="B40" s="1324" t="s">
        <v>1221</v>
      </c>
      <c r="C40" s="1310">
        <v>53</v>
      </c>
      <c r="D40" s="1309"/>
      <c r="E40" s="1615" t="s">
        <v>1249</v>
      </c>
      <c r="F40" s="1616"/>
      <c r="H40" s="1649" t="s">
        <v>1236</v>
      </c>
      <c r="I40" s="1650"/>
      <c r="J40" s="1372">
        <f ca="1">SUM(C103:C107)</f>
        <v>2016053.2255769228</v>
      </c>
      <c r="K40" s="1348"/>
    </row>
    <row r="41" spans="2:11" ht="35.5" customHeight="1" thickBot="1" x14ac:dyDescent="0.3">
      <c r="B41" s="1325" t="s">
        <v>1222</v>
      </c>
      <c r="C41" s="1318">
        <f>denPRCO2(0.00005,AVERAGE(C66:C67)/MPa_to_psi,CO2_Pipeline_Temp)</f>
        <v>865.79471045444359</v>
      </c>
      <c r="D41" s="1317"/>
      <c r="E41" s="1629" t="s">
        <v>1223</v>
      </c>
      <c r="F41" s="1630"/>
      <c r="H41" s="1623"/>
      <c r="I41" s="1624"/>
      <c r="J41" s="1371">
        <f>IF(CO2_Capture_Efficiency&gt;0,SUM(J36:J40),0)</f>
        <v>0</v>
      </c>
      <c r="K41" s="1350" t="str">
        <f>"Total  ("&amp;ref_year&amp;"$)"</f>
        <v>Total  (2016$)</v>
      </c>
    </row>
    <row r="42" spans="2:11" ht="14" x14ac:dyDescent="0.25">
      <c r="B42" s="1652" t="s">
        <v>1246</v>
      </c>
      <c r="C42" s="1653"/>
      <c r="D42" s="1653"/>
      <c r="E42" s="1653"/>
      <c r="F42" s="1654"/>
      <c r="H42" s="1351"/>
      <c r="I42" s="1352"/>
      <c r="J42" s="1349"/>
      <c r="K42" s="1348"/>
    </row>
    <row r="43" spans="2:11" ht="14.5" customHeight="1" x14ac:dyDescent="0.25">
      <c r="B43" s="1324" t="s">
        <v>960</v>
      </c>
      <c r="C43" s="1313">
        <v>0</v>
      </c>
      <c r="D43" s="1309"/>
      <c r="E43" s="1315"/>
      <c r="F43" s="1326"/>
      <c r="H43" s="1625" t="s">
        <v>826</v>
      </c>
      <c r="I43" s="1626"/>
      <c r="J43" s="1371">
        <f>Det_CO2_seq*tax_ins_rate</f>
        <v>0</v>
      </c>
      <c r="K43" s="1350" t="str">
        <f>+K41</f>
        <v>Total  (2016$)</v>
      </c>
    </row>
    <row r="44" spans="2:11" ht="15" customHeight="1" thickBot="1" x14ac:dyDescent="0.3">
      <c r="B44" s="1325" t="s">
        <v>1210</v>
      </c>
      <c r="C44" s="1319">
        <v>0.04</v>
      </c>
      <c r="D44" s="1317"/>
      <c r="E44" s="1631"/>
      <c r="F44" s="1632"/>
      <c r="H44" s="1353"/>
      <c r="I44" s="1354"/>
      <c r="J44" s="1355"/>
      <c r="K44" s="1356"/>
    </row>
    <row r="45" spans="2:11" ht="15" customHeight="1" x14ac:dyDescent="0.25">
      <c r="B45" s="1652" t="s">
        <v>1247</v>
      </c>
      <c r="C45" s="1653"/>
      <c r="D45" s="1653"/>
      <c r="E45" s="1653"/>
      <c r="F45" s="1654"/>
      <c r="H45" s="1619" t="s">
        <v>1238</v>
      </c>
      <c r="I45" s="1620"/>
      <c r="J45" s="1620"/>
      <c r="K45" s="1373" t="e">
        <f ca="1">ROUND(CO2_eCostpY/(Feed_CO2_MTpY*CO2_Capture_Efficiency),1)</f>
        <v>#DIV/0!</v>
      </c>
    </row>
    <row r="46" spans="2:11" ht="15" customHeight="1" x14ac:dyDescent="0.25">
      <c r="B46" s="1324" t="s">
        <v>66</v>
      </c>
      <c r="C46" s="1314">
        <f ca="1">(real_irr*(1+real_irr)^anal_period)/(((real_irr+1)^anal_period)-1)</f>
        <v>8.3860161500585326E-2</v>
      </c>
      <c r="D46" s="1309"/>
      <c r="E46" s="1615"/>
      <c r="F46" s="1616"/>
      <c r="H46" s="1625" t="s">
        <v>1239</v>
      </c>
      <c r="I46" s="1626"/>
      <c r="J46" s="1626"/>
      <c r="K46" s="1374" t="e">
        <f ca="1">ROUND((Det_CO2_OandMcost+ CCS_tax_insurance)/(Feed_CO2_MTpY*CO2_Capture_Efficiency),1)</f>
        <v>#DIV/0!</v>
      </c>
    </row>
    <row r="47" spans="2:11" ht="15" customHeight="1" thickBot="1" x14ac:dyDescent="0.3">
      <c r="B47" s="1324" t="s">
        <v>0</v>
      </c>
      <c r="C47" s="1314">
        <f ca="1">INDEX(MACRS_Table,MATCH("NPV - Real IRR",recovery_year,0),MATCH(depr_length,recovery_period,0))*(1+real_irr)</f>
        <v>0.54674112188719604</v>
      </c>
      <c r="D47" s="1309"/>
      <c r="E47" s="1615"/>
      <c r="F47" s="1616"/>
      <c r="H47" s="1627" t="s">
        <v>1240</v>
      </c>
      <c r="I47" s="1628"/>
      <c r="J47" s="1628"/>
      <c r="K47" s="1377" t="e">
        <f ca="1">ROUND((Det_CO2_seq+(-PV(nominal_irr,plant_life,C100)*(1+nominal_irr)))*CO2_cap_charge_rate/(Feed_CO2_MTpY*CO2_Capture_Efficiency),1)</f>
        <v>#DIV/0!</v>
      </c>
    </row>
    <row r="48" spans="2:11" ht="15" customHeight="1" thickTop="1" thickBot="1" x14ac:dyDescent="0.3">
      <c r="B48" s="1327" t="s">
        <v>1</v>
      </c>
      <c r="C48" s="1338">
        <f ca="1">(CO2_cap_rec*(1-total_tax_rate*CO2_depr_factor))/(1-total_tax_rate)</f>
        <v>9.7035312812405017E-2</v>
      </c>
      <c r="D48" s="1328"/>
      <c r="E48" s="1621"/>
      <c r="F48" s="1622"/>
      <c r="H48" s="1617" t="s">
        <v>1288</v>
      </c>
      <c r="I48" s="1618"/>
      <c r="J48" s="1618"/>
      <c r="K48" s="1376" t="e">
        <f ca="1">SUM(K45:K47)</f>
        <v>#DIV/0!</v>
      </c>
    </row>
    <row r="49" spans="2:11" ht="13.5" thickTop="1" thickBot="1" x14ac:dyDescent="0.3"/>
    <row r="50" spans="2:11" ht="18.5" thickTop="1" x14ac:dyDescent="0.25">
      <c r="B50" s="553" t="s">
        <v>1220</v>
      </c>
      <c r="C50" s="562"/>
      <c r="D50" s="562"/>
      <c r="E50" s="562"/>
      <c r="F50" s="562"/>
      <c r="G50" s="562"/>
      <c r="H50" s="562"/>
      <c r="I50" s="562"/>
      <c r="J50" s="562"/>
      <c r="K50" s="563"/>
    </row>
    <row r="51" spans="2:11" ht="13.9" customHeight="1" x14ac:dyDescent="0.25">
      <c r="B51" s="32" t="str">
        <f>"CO2 Pipeline Costs ("&amp;ref_year&amp;" USD)"</f>
        <v>CO2 Pipeline Costs (2016 USD)</v>
      </c>
      <c r="C51" s="1283"/>
      <c r="D51" s="1333" t="s">
        <v>1048</v>
      </c>
      <c r="E51" s="1329" t="s">
        <v>1248</v>
      </c>
      <c r="F51" s="1283"/>
      <c r="G51" s="1283"/>
      <c r="H51" s="1283"/>
      <c r="I51" s="1283"/>
      <c r="J51" s="1283"/>
      <c r="K51" s="564"/>
    </row>
    <row r="52" spans="2:11" ht="12.65" customHeight="1" x14ac:dyDescent="0.25">
      <c r="B52" s="1287" t="s">
        <v>1234</v>
      </c>
      <c r="C52" s="1283"/>
      <c r="D52" s="1283"/>
      <c r="E52" s="1283"/>
      <c r="F52" s="1283"/>
      <c r="G52" s="1283"/>
      <c r="H52" s="1283"/>
      <c r="I52" s="1283"/>
      <c r="J52" s="1283"/>
      <c r="K52" s="564"/>
    </row>
    <row r="53" spans="2:11" ht="12.65" customHeight="1" x14ac:dyDescent="0.4">
      <c r="B53" s="1357" t="s">
        <v>1206</v>
      </c>
      <c r="C53" s="1358" t="e">
        <f ca="1">IF(CO2_PipeDia&gt;20,1.25, IF(CO2_PipeDia&gt;16,1.18,IF(CO2_PipeDia&gt;12,1.12,1)))</f>
        <v>#VALUE!</v>
      </c>
      <c r="D53" s="1359"/>
      <c r="E53" s="1335" t="s">
        <v>1271</v>
      </c>
      <c r="F53" s="1283"/>
      <c r="G53" s="1283"/>
      <c r="H53" s="1283"/>
      <c r="I53" s="1283"/>
      <c r="J53" s="1283"/>
      <c r="K53" s="564"/>
    </row>
    <row r="54" spans="2:11" ht="12.65" customHeight="1" x14ac:dyDescent="0.4">
      <c r="B54" s="1357" t="s">
        <v>1257</v>
      </c>
      <c r="C54" s="1360" t="e">
        <f ca="1">(35000+CO2_PipeLength*(330.5*CO2_PipeDia^2+687*CO2_PipeDia+26960))*NG_to_CO2Pipeline*VLOOKUP(ref_year,Tbl_PlantCostIndexes,2)/VLOOKUP(2000,Tbl_PlantCostIndexes,2)</f>
        <v>#VALUE!</v>
      </c>
      <c r="D54" s="1361" t="str">
        <f>ref_year&amp;"$"</f>
        <v>2016$</v>
      </c>
      <c r="E54" s="1335" t="s">
        <v>1277</v>
      </c>
      <c r="F54" s="1283"/>
      <c r="G54" s="1283"/>
      <c r="H54" s="1283"/>
      <c r="I54" s="1283"/>
      <c r="J54" s="1283"/>
      <c r="K54" s="564"/>
    </row>
    <row r="55" spans="2:11" ht="12.65" customHeight="1" x14ac:dyDescent="0.4">
      <c r="B55" s="1357" t="s">
        <v>1267</v>
      </c>
      <c r="C55" s="1360" t="e">
        <f ca="1">(185000+CO2_PipeLength*(343*CO2_PipeDia^2+2074*CO2_PipeDia+170013))*NG_to_CO2Pipeline*VLOOKUP(ref_year,Tbl_labor_indexes,2)/VLOOKUP(2000,Tbl_labor_indexes,2)</f>
        <v>#VALUE!</v>
      </c>
      <c r="D55" s="1361" t="str">
        <f>ref_year&amp;"$"</f>
        <v>2016$</v>
      </c>
      <c r="E55" s="1335" t="s">
        <v>1278</v>
      </c>
      <c r="F55" s="1283"/>
      <c r="G55" s="1283"/>
      <c r="H55" s="1283"/>
      <c r="I55" s="1283"/>
      <c r="J55" s="1283"/>
      <c r="K55" s="564"/>
    </row>
    <row r="56" spans="2:11" ht="12.65" customHeight="1" x14ac:dyDescent="0.4">
      <c r="B56" s="1357" t="s">
        <v>1266</v>
      </c>
      <c r="C56" s="1360" t="e">
        <f ca="1">(40000+CO2_PipeLength*(0*CO2_PipeDia^2+577*CO2_PipeDia+29788))*NG_to_CO2Pipeline*(VLOOKUP(ref_year,DeflatorTable,2)/VLOOKUP(2000,DeflatorTable,2))</f>
        <v>#VALUE!</v>
      </c>
      <c r="D56" s="1361" t="str">
        <f>ref_year&amp;"$"</f>
        <v>2016$</v>
      </c>
      <c r="E56" s="1335" t="s">
        <v>1279</v>
      </c>
      <c r="F56" s="1283"/>
      <c r="G56" s="1283"/>
      <c r="H56" s="1283"/>
      <c r="I56" s="1283"/>
      <c r="J56" s="1283"/>
      <c r="K56" s="564"/>
    </row>
    <row r="57" spans="2:11" ht="12.65" customHeight="1" x14ac:dyDescent="0.4">
      <c r="B57" s="1357" t="s">
        <v>1265</v>
      </c>
      <c r="C57" s="1360" t="e">
        <f ca="1">(95000+CO2_PipeLength*(0*CO2_PipeDia^2+8417*CO2_PipeDia+7324))*NG_to_CO2Pipeline*VLOOKUP(ref_year,DeflatorTable,2)/VLOOKUP(2000,DeflatorTable,2)</f>
        <v>#VALUE!</v>
      </c>
      <c r="D57" s="1361" t="str">
        <f>ref_year&amp;"$"</f>
        <v>2016$</v>
      </c>
      <c r="E57" s="1335" t="s">
        <v>1280</v>
      </c>
      <c r="F57" s="1283"/>
      <c r="G57" s="1283"/>
      <c r="H57" s="1283"/>
      <c r="I57" s="1283"/>
      <c r="J57" s="1283"/>
      <c r="K57" s="564"/>
    </row>
    <row r="58" spans="2:11" ht="12.65" customHeight="1" x14ac:dyDescent="0.25">
      <c r="B58" s="1357" t="s">
        <v>1268</v>
      </c>
      <c r="C58" s="1360" t="e">
        <f ca="1">SUM(C54:C57)/CO2_PipeLength</f>
        <v>#VALUE!</v>
      </c>
      <c r="D58" s="1361" t="str">
        <f>ref_year&amp;"$/mile"</f>
        <v>2016$/mile</v>
      </c>
      <c r="E58" s="1289"/>
      <c r="F58" s="1307"/>
      <c r="G58" s="1307"/>
      <c r="H58" s="1307"/>
      <c r="I58" s="1307"/>
      <c r="J58" s="1307"/>
      <c r="K58" s="564"/>
    </row>
    <row r="59" spans="2:11" ht="12.65" customHeight="1" x14ac:dyDescent="0.25">
      <c r="B59" s="1285"/>
      <c r="C59" s="1299"/>
      <c r="D59" s="1283"/>
      <c r="E59" s="1289"/>
      <c r="F59" s="1283"/>
      <c r="G59" s="1283"/>
      <c r="H59" s="1283"/>
      <c r="I59" s="1283"/>
      <c r="J59" s="1283"/>
      <c r="K59" s="564"/>
    </row>
    <row r="60" spans="2:11" ht="12.65" customHeight="1" x14ac:dyDescent="0.25">
      <c r="B60" s="1287" t="s">
        <v>416</v>
      </c>
      <c r="C60" s="1299"/>
      <c r="D60" s="1283"/>
      <c r="E60" s="1289"/>
      <c r="F60" s="1283"/>
      <c r="G60" s="1283"/>
      <c r="H60" s="1283"/>
      <c r="I60" s="1283"/>
      <c r="J60" s="1283"/>
      <c r="K60" s="564"/>
    </row>
    <row r="61" spans="2:11" ht="12.65" customHeight="1" x14ac:dyDescent="0.25">
      <c r="B61" s="1357" t="s">
        <v>1264</v>
      </c>
      <c r="C61" s="1360">
        <f>5000*CO2_PipeLength*(VLOOKUP(ref_year,Tbl_PlantCostIndexes,2)/VLOOKUP(1999,Tbl_PlantCostIndexes,2))</f>
        <v>693420.37890424987</v>
      </c>
      <c r="D61" s="1361" t="str">
        <f>ref_year&amp;"$/year"</f>
        <v>2016$/year</v>
      </c>
      <c r="E61" s="1290" t="s">
        <v>1281</v>
      </c>
      <c r="F61" s="1283"/>
      <c r="G61" s="1283"/>
      <c r="H61" s="1283"/>
      <c r="I61" s="1283"/>
      <c r="J61" s="1283"/>
      <c r="K61" s="564"/>
    </row>
    <row r="62" spans="2:11" ht="12.65" customHeight="1" x14ac:dyDescent="0.25">
      <c r="B62" s="1285"/>
      <c r="C62" s="1283"/>
      <c r="D62" s="1283"/>
      <c r="E62" s="1289"/>
      <c r="F62" s="1283"/>
      <c r="G62" s="1283"/>
      <c r="H62" s="1283"/>
      <c r="I62" s="1283"/>
      <c r="J62" s="1283"/>
      <c r="K62" s="564"/>
    </row>
    <row r="63" spans="2:11" ht="12.65" customHeight="1" x14ac:dyDescent="0.25">
      <c r="B63" s="1285"/>
      <c r="C63" s="1283"/>
      <c r="D63" s="1283"/>
      <c r="E63" s="1289"/>
      <c r="F63" s="1283"/>
      <c r="G63" s="1283"/>
      <c r="H63" s="1283"/>
      <c r="I63" s="1283"/>
      <c r="J63" s="1283"/>
      <c r="K63" s="564"/>
    </row>
    <row r="64" spans="2:11" ht="13.9" customHeight="1" x14ac:dyDescent="0.25">
      <c r="B64" s="32" t="s">
        <v>1205</v>
      </c>
      <c r="C64" s="1283"/>
      <c r="D64" s="1283"/>
      <c r="E64" s="1289"/>
      <c r="F64" s="1283"/>
      <c r="G64" s="1283"/>
      <c r="H64" s="1283"/>
      <c r="I64" s="1283"/>
      <c r="J64" s="1283"/>
      <c r="K64" s="564"/>
    </row>
    <row r="65" spans="2:11" ht="12.65" customHeight="1" x14ac:dyDescent="0.25">
      <c r="B65" s="1287" t="s">
        <v>83</v>
      </c>
      <c r="C65" s="1283"/>
      <c r="D65" s="1283"/>
      <c r="E65" s="1289"/>
      <c r="F65" s="1283"/>
      <c r="G65" s="1283"/>
      <c r="H65" s="1283"/>
      <c r="I65" s="1283"/>
      <c r="J65" s="1283"/>
      <c r="K65" s="564"/>
    </row>
    <row r="66" spans="2:11" ht="12.65" customHeight="1" x14ac:dyDescent="0.25">
      <c r="B66" s="1357" t="s">
        <v>1211</v>
      </c>
      <c r="C66" s="1362">
        <f>CO2_Pin_psia</f>
        <v>14.7</v>
      </c>
      <c r="D66" s="1361" t="s">
        <v>1213</v>
      </c>
      <c r="E66" s="1289"/>
      <c r="F66" s="1283"/>
      <c r="G66" s="1283"/>
      <c r="H66" s="1283"/>
      <c r="I66" s="1283"/>
      <c r="J66" s="1283"/>
      <c r="K66" s="564"/>
    </row>
    <row r="67" spans="2:11" ht="12.65" customHeight="1" x14ac:dyDescent="0.25">
      <c r="B67" s="1357" t="s">
        <v>1212</v>
      </c>
      <c r="C67" s="1362">
        <f>15*MPa_to_psi</f>
        <v>2175.5700000000002</v>
      </c>
      <c r="D67" s="1361" t="s">
        <v>1213</v>
      </c>
      <c r="E67" s="1289"/>
      <c r="F67" s="1283"/>
      <c r="G67" s="1283"/>
      <c r="H67" s="1283"/>
      <c r="I67" s="1283"/>
      <c r="J67" s="1283"/>
      <c r="K67" s="564"/>
    </row>
    <row r="68" spans="2:11" ht="15.5" x14ac:dyDescent="0.25">
      <c r="B68" s="1357" t="s">
        <v>1214</v>
      </c>
      <c r="C68" s="1362">
        <f ca="1">(1000*1000000*0.001/ (24*3600))*(CO2_flowrate/cap_factor*(C67-C66)/MPa_to_psi)/(C41*Pump_Eff)</f>
        <v>0</v>
      </c>
      <c r="D68" s="1363" t="s">
        <v>414</v>
      </c>
      <c r="E68" s="1290" t="s">
        <v>1274</v>
      </c>
      <c r="F68" s="1283"/>
      <c r="G68" s="1283"/>
      <c r="H68" s="1283"/>
      <c r="I68" s="1283"/>
      <c r="J68" s="1283"/>
      <c r="K68" s="564"/>
    </row>
    <row r="69" spans="2:11" ht="12.65" customHeight="1" x14ac:dyDescent="0.25">
      <c r="B69" s="1357" t="s">
        <v>1260</v>
      </c>
      <c r="C69" s="1360">
        <f>70000*VLOOKUP(ref_year,Tbl_PlantCostIndexes,2)/VLOOKUP(2005,Tbl_PlantCostIndexes,2)</f>
        <v>80988.893635198634</v>
      </c>
      <c r="D69" s="1361" t="str">
        <f>ref_year&amp;"$"</f>
        <v>2016$</v>
      </c>
      <c r="E69" s="1290" t="s">
        <v>1275</v>
      </c>
      <c r="F69" s="1283"/>
      <c r="G69" s="1283"/>
      <c r="H69" s="1283"/>
      <c r="I69" s="1283"/>
      <c r="J69" s="1283"/>
      <c r="K69" s="564"/>
    </row>
    <row r="70" spans="2:11" ht="12.65" customHeight="1" x14ac:dyDescent="0.25">
      <c r="B70" s="1357" t="s">
        <v>1261</v>
      </c>
      <c r="C70" s="1360">
        <f ca="1">1110*C68*VLOOKUP(ref_year,Tbl_PlantCostIndexes,2)/VLOOKUP(2005,Tbl_PlantCostIndexes,2)</f>
        <v>0</v>
      </c>
      <c r="D70" s="1361" t="str">
        <f>ref_year&amp;"$"</f>
        <v>2016$</v>
      </c>
      <c r="E70" s="1290" t="s">
        <v>1273</v>
      </c>
      <c r="F70" s="1283"/>
      <c r="G70" s="1283"/>
      <c r="H70" s="1283"/>
      <c r="I70" s="1283"/>
      <c r="J70" s="1283"/>
      <c r="K70" s="564"/>
    </row>
    <row r="71" spans="2:11" ht="12.65" customHeight="1" x14ac:dyDescent="0.4">
      <c r="B71" s="1357" t="s">
        <v>1270</v>
      </c>
      <c r="C71" s="1360">
        <f ca="1">SUM(C69:C70)</f>
        <v>80988.893635198634</v>
      </c>
      <c r="D71" s="1361" t="str">
        <f>ref_year&amp;"$"</f>
        <v>2016$</v>
      </c>
      <c r="E71" s="1336" t="s">
        <v>1272</v>
      </c>
      <c r="F71" s="1307"/>
      <c r="G71" s="1307"/>
      <c r="H71" s="1307"/>
      <c r="I71" s="1307"/>
      <c r="J71" s="1307"/>
      <c r="K71" s="564"/>
    </row>
    <row r="72" spans="2:11" ht="12.65" customHeight="1" x14ac:dyDescent="0.25">
      <c r="B72" s="1286"/>
      <c r="C72" s="1292"/>
      <c r="D72" s="1291"/>
      <c r="E72" s="1289"/>
      <c r="F72" s="1283"/>
      <c r="G72" s="1283"/>
      <c r="H72" s="1283"/>
      <c r="I72" s="1283"/>
      <c r="J72" s="1283"/>
      <c r="K72" s="564"/>
    </row>
    <row r="73" spans="2:11" ht="12.65" customHeight="1" x14ac:dyDescent="0.25">
      <c r="B73" s="1287" t="s">
        <v>1217</v>
      </c>
      <c r="C73" s="1283"/>
      <c r="D73" s="1291"/>
      <c r="E73" s="1289"/>
      <c r="F73" s="1283"/>
      <c r="G73" s="1283"/>
      <c r="H73" s="1283"/>
      <c r="I73" s="1283"/>
      <c r="J73" s="1283"/>
      <c r="K73" s="564"/>
    </row>
    <row r="74" spans="2:11" ht="12.65" customHeight="1" x14ac:dyDescent="0.25">
      <c r="B74" s="1357" t="s">
        <v>1219</v>
      </c>
      <c r="C74" s="1360">
        <f ca="1">CO2_eCost*pump_power*cap_factor*24*365*n_CO2_pumps</f>
        <v>0</v>
      </c>
      <c r="D74" s="1364" t="str">
        <f>startup_year&amp;"$/year"</f>
        <v>2015$/year</v>
      </c>
      <c r="E74" s="1295" t="s">
        <v>1218</v>
      </c>
      <c r="F74" s="1283"/>
      <c r="G74" s="1283"/>
      <c r="H74" s="1283"/>
      <c r="I74" s="1283"/>
      <c r="J74" s="1283"/>
      <c r="K74" s="564"/>
    </row>
    <row r="75" spans="2:11" ht="12.65" customHeight="1" x14ac:dyDescent="0.25">
      <c r="B75" s="1357" t="s">
        <v>1258</v>
      </c>
      <c r="C75" s="1365">
        <f ca="1">pump_power*cap_factor*24*365*n_CO2_pumps/output_kgyear</f>
        <v>0</v>
      </c>
      <c r="D75" s="1366" t="s">
        <v>1259</v>
      </c>
      <c r="E75" s="1307"/>
      <c r="F75" s="1307"/>
      <c r="G75" s="1307"/>
      <c r="H75" s="1307"/>
      <c r="I75" s="1307"/>
      <c r="J75" s="1307"/>
      <c r="K75" s="564"/>
    </row>
    <row r="76" spans="2:11" ht="12.65" customHeight="1" x14ac:dyDescent="0.25">
      <c r="B76" s="1285"/>
      <c r="C76" s="1283"/>
      <c r="D76" s="1283"/>
      <c r="E76" s="1283"/>
      <c r="F76" s="1283"/>
      <c r="G76" s="1283"/>
      <c r="H76" s="1283"/>
      <c r="I76" s="1283"/>
      <c r="J76" s="1283"/>
      <c r="K76" s="564"/>
    </row>
    <row r="77" spans="2:11" ht="12.65" customHeight="1" x14ac:dyDescent="0.25">
      <c r="B77" s="1287" t="s">
        <v>416</v>
      </c>
      <c r="C77" s="1284"/>
      <c r="D77" s="1284"/>
      <c r="E77" s="1284"/>
      <c r="F77" s="1284"/>
      <c r="G77" s="1284"/>
      <c r="H77" s="1284"/>
      <c r="I77" s="1284"/>
      <c r="J77" s="1284"/>
      <c r="K77" s="564"/>
    </row>
    <row r="78" spans="2:11" ht="12.65" customHeight="1" x14ac:dyDescent="0.25">
      <c r="B78" s="1357" t="s">
        <v>1262</v>
      </c>
      <c r="C78" s="1367">
        <f ca="1">C71*CO2_MaintFactor</f>
        <v>3239.5557454079453</v>
      </c>
      <c r="D78" s="1361" t="str">
        <f>ref_year&amp;"$/year"</f>
        <v>2016$/year</v>
      </c>
      <c r="E78" s="1284"/>
      <c r="F78" s="1284"/>
      <c r="G78" s="1284"/>
      <c r="H78" s="1284"/>
      <c r="I78" s="1284"/>
      <c r="J78" s="1284"/>
      <c r="K78" s="564"/>
    </row>
    <row r="79" spans="2:11" ht="12.65" customHeight="1" x14ac:dyDescent="0.25">
      <c r="B79" s="1285"/>
      <c r="C79" s="1284"/>
      <c r="D79" s="1284"/>
      <c r="E79" s="1284"/>
      <c r="F79" s="1284"/>
      <c r="G79" s="1284"/>
      <c r="H79" s="1284"/>
      <c r="I79" s="1284"/>
      <c r="J79" s="1284"/>
      <c r="K79" s="564"/>
    </row>
    <row r="80" spans="2:11" ht="15" customHeight="1" x14ac:dyDescent="0.25">
      <c r="B80" s="32" t="s">
        <v>1208</v>
      </c>
      <c r="C80" s="1283"/>
      <c r="D80" s="1283"/>
      <c r="E80" s="1283"/>
      <c r="F80" s="1283"/>
      <c r="G80" s="1283"/>
      <c r="H80" s="1283"/>
      <c r="I80" s="1283"/>
      <c r="J80" s="1283"/>
      <c r="K80" s="564"/>
    </row>
    <row r="81" spans="2:13" ht="12.65" customHeight="1" x14ac:dyDescent="0.25">
      <c r="B81" s="1287" t="s">
        <v>83</v>
      </c>
      <c r="C81" s="1283"/>
      <c r="D81" s="1283"/>
      <c r="E81" s="1283"/>
      <c r="F81" s="1283"/>
      <c r="G81" s="1283"/>
      <c r="H81" s="1283"/>
      <c r="I81" s="1283"/>
      <c r="J81" s="1283"/>
      <c r="K81" s="564"/>
    </row>
    <row r="82" spans="2:13" ht="12.65" customHeight="1" x14ac:dyDescent="0.25">
      <c r="B82" s="1357" t="s">
        <v>1209</v>
      </c>
      <c r="C82" s="1360">
        <f ca="1">IF(C35="yes",701600*(CO2_flowrate_GTpY/3.2)^Scaling_Factor_Exponent*(VLOOKUP(ref_year,Tbl_PlantCostIndexes,2)/VLOOKUP(2000,Tbl_PlantCostIndexes,2)),0)</f>
        <v>0</v>
      </c>
      <c r="D82" s="1361" t="str">
        <f>ref_year&amp;"$"</f>
        <v>2016$</v>
      </c>
      <c r="E82" s="1290" t="s">
        <v>1276</v>
      </c>
      <c r="F82" s="1283"/>
      <c r="G82" s="1283"/>
      <c r="H82" s="1283"/>
      <c r="I82" s="1283"/>
      <c r="J82" s="1283"/>
      <c r="K82" s="564"/>
    </row>
    <row r="83" spans="2:13" ht="12.65" customHeight="1" x14ac:dyDescent="0.25">
      <c r="B83" s="1357" t="s">
        <v>1263</v>
      </c>
      <c r="C83" s="1360">
        <f ca="1">IF(C34="yes",94000*(CO2_flowrate_GTpY/3.2)^Scaling_Factor_Exponent*(VLOOKUP(ref_year,Tbl_PlantCostIndexes,2)/VLOOKUP(2000,Tbl_PlantCostIndexes,2)),0)</f>
        <v>0</v>
      </c>
      <c r="D83" s="1361" t="str">
        <f>ref_year&amp;"$"</f>
        <v>2016$</v>
      </c>
      <c r="E83" s="1290" t="s">
        <v>1276</v>
      </c>
      <c r="F83" s="1283"/>
      <c r="G83" s="1283"/>
      <c r="H83" s="1283"/>
      <c r="I83" s="1283"/>
      <c r="J83" s="1283"/>
      <c r="K83" s="564"/>
    </row>
    <row r="84" spans="2:13" ht="12.65" customHeight="1" x14ac:dyDescent="0.25">
      <c r="B84" s="1286"/>
      <c r="C84" s="1283"/>
      <c r="D84" s="1283"/>
      <c r="E84" s="1283"/>
      <c r="F84" s="1283"/>
      <c r="G84" s="1283"/>
      <c r="H84" s="1283"/>
      <c r="I84" s="1283"/>
      <c r="J84" s="1283"/>
      <c r="K84" s="564"/>
    </row>
    <row r="85" spans="2:13" ht="12.65" customHeight="1" x14ac:dyDescent="0.25">
      <c r="B85" s="1287" t="s">
        <v>416</v>
      </c>
      <c r="C85" s="1284"/>
      <c r="D85" s="1284"/>
      <c r="E85" s="1284"/>
      <c r="F85" s="1284"/>
      <c r="G85" s="1284"/>
      <c r="H85" s="1284"/>
      <c r="I85" s="1284"/>
      <c r="J85" s="1284"/>
      <c r="K85" s="564"/>
    </row>
    <row r="86" spans="2:13" ht="12.65" customHeight="1" x14ac:dyDescent="0.25">
      <c r="B86" s="1357" t="s">
        <v>1262</v>
      </c>
      <c r="C86" s="1360">
        <f ca="1">SUM(C82:C83)*CO2_MaintFactor</f>
        <v>0</v>
      </c>
      <c r="D86" s="1361" t="str">
        <f>ref_year&amp;"$/year"</f>
        <v>2016$/year</v>
      </c>
      <c r="E86" s="1307"/>
      <c r="F86" s="1307"/>
      <c r="G86" s="1307"/>
      <c r="H86" s="1307"/>
      <c r="I86" s="1307"/>
      <c r="J86" s="1307"/>
      <c r="K86" s="564"/>
    </row>
    <row r="87" spans="2:13" s="1283" customFormat="1" ht="12.65" customHeight="1" thickBot="1" x14ac:dyDescent="0.3">
      <c r="B87" s="1296"/>
      <c r="C87" s="565"/>
      <c r="D87" s="565"/>
      <c r="E87" s="565"/>
      <c r="F87" s="565"/>
      <c r="G87" s="565"/>
      <c r="H87" s="565"/>
      <c r="I87" s="565"/>
      <c r="J87" s="565"/>
      <c r="K87" s="566"/>
    </row>
    <row r="88" spans="2:13" s="1284" customFormat="1" ht="12.65" customHeight="1" thickTop="1" thickBot="1" x14ac:dyDescent="0.3">
      <c r="B88" s="1288"/>
    </row>
    <row r="89" spans="2:13" s="1284" customFormat="1" ht="21" customHeight="1" thickTop="1" x14ac:dyDescent="0.25">
      <c r="B89" s="553" t="s">
        <v>1228</v>
      </c>
      <c r="C89" s="562"/>
      <c r="D89" s="562"/>
      <c r="E89" s="562"/>
      <c r="F89" s="562"/>
      <c r="G89" s="562"/>
      <c r="H89" s="562"/>
      <c r="I89" s="562"/>
      <c r="J89" s="562"/>
      <c r="K89" s="563"/>
    </row>
    <row r="90" spans="2:13" s="1284" customFormat="1" ht="12.65" customHeight="1" x14ac:dyDescent="0.25">
      <c r="B90" s="32" t="s">
        <v>1233</v>
      </c>
      <c r="C90" s="1307"/>
      <c r="D90" s="1333" t="s">
        <v>1048</v>
      </c>
      <c r="E90" s="1329" t="s">
        <v>1248</v>
      </c>
      <c r="F90" s="1307"/>
      <c r="G90" s="1307"/>
      <c r="H90" s="1307"/>
      <c r="I90" s="1307"/>
      <c r="J90" s="1307"/>
      <c r="K90" s="564"/>
      <c r="L90" s="1307"/>
      <c r="M90" s="1307"/>
    </row>
    <row r="91" spans="2:13" s="1293" customFormat="1" hidden="1" x14ac:dyDescent="0.25">
      <c r="B91" s="1286" t="s">
        <v>1231</v>
      </c>
      <c r="C91" s="567">
        <f>VLOOKUP(2005,DeflatorTable,2)/VLOOKUP(2008,DeflatorTable,2)</f>
        <v>0.92676070528967247</v>
      </c>
      <c r="D91" s="1307"/>
      <c r="E91" s="1307"/>
      <c r="F91" s="1307"/>
      <c r="G91" s="1307"/>
      <c r="H91" s="1307"/>
      <c r="I91" s="1307"/>
      <c r="J91" s="1307"/>
      <c r="K91" s="564"/>
      <c r="L91" s="1307"/>
      <c r="M91" s="1307"/>
    </row>
    <row r="92" spans="2:13" s="1284" customFormat="1" ht="12.65" customHeight="1" x14ac:dyDescent="0.25">
      <c r="B92" s="1287" t="str">
        <f>"Capital Costs by Stage (Annual Cost of "&amp;plant_life&amp;" year project in "&amp;ref_year&amp;"$)"</f>
        <v>Capital Costs by Stage (Annual Cost of 40 year project in 2016$)</v>
      </c>
      <c r="C92" s="1307"/>
      <c r="D92" s="1307"/>
      <c r="E92" s="1290" t="s">
        <v>1284</v>
      </c>
      <c r="F92" s="1307"/>
      <c r="G92" s="1307"/>
      <c r="H92" s="1307"/>
      <c r="I92" s="1307"/>
      <c r="J92" s="1307"/>
      <c r="K92" s="564"/>
      <c r="L92" s="1307"/>
      <c r="M92" s="1307"/>
    </row>
    <row r="93" spans="2:13" s="1284" customFormat="1" ht="12.65" customHeight="1" x14ac:dyDescent="0.25">
      <c r="B93" s="1357" t="s">
        <v>1224</v>
      </c>
      <c r="C93" s="1360">
        <f>94000*VLOOKUP(ref_year,Tbl_labor_indexes,2)/VLOOKUP(2008,Tbl_labor_indexes,2)</f>
        <v>109497.94871794869</v>
      </c>
      <c r="D93" s="1361" t="str">
        <f>ref_year&amp;"$"</f>
        <v>2016$</v>
      </c>
      <c r="F93" s="1307"/>
      <c r="G93" s="1307"/>
      <c r="H93" s="1307"/>
      <c r="I93" s="1307"/>
      <c r="J93" s="1307"/>
      <c r="K93" s="564"/>
      <c r="L93" s="1307"/>
      <c r="M93" s="1307"/>
    </row>
    <row r="94" spans="2:13" s="1284" customFormat="1" ht="12.65" customHeight="1" x14ac:dyDescent="0.25">
      <c r="B94" s="1357" t="s">
        <v>1225</v>
      </c>
      <c r="C94" s="1360">
        <f ca="1">(-16600*CO2_flowrate_GTpY^2+53500*CO2_flowrate_GTpY+20300)*1000*VLOOKUP(ref_year,Tbl_labor_indexes,2)/VLOOKUP(2008,Tbl_labor_indexes,2)</f>
        <v>23646897.435897429</v>
      </c>
      <c r="D94" s="1361" t="str">
        <f>ref_year&amp;"$"</f>
        <v>2016$</v>
      </c>
      <c r="E94" s="1307"/>
      <c r="F94" s="1307"/>
      <c r="G94" s="1307"/>
      <c r="H94" s="1307"/>
      <c r="I94" s="1307"/>
      <c r="J94" s="1307"/>
      <c r="K94" s="564"/>
      <c r="L94" s="1307"/>
      <c r="M94" s="1307"/>
    </row>
    <row r="95" spans="2:13" s="1284" customFormat="1" ht="12.65" customHeight="1" x14ac:dyDescent="0.25">
      <c r="B95" s="1357" t="s">
        <v>169</v>
      </c>
      <c r="C95" s="1360">
        <f ca="1" xml:space="preserve"> (-400*CO2_flowrate_GTpY^2 + 2200*CO2_flowrate_GTpY + 13800)*1000*VLOOKUP(ref_year,Tbl_labor_indexes,2)/VLOOKUP(2008,Tbl_labor_indexes,2)</f>
        <v>16075230.769230762</v>
      </c>
      <c r="D95" s="1361" t="str">
        <f>ref_year&amp;"$"</f>
        <v>2016$</v>
      </c>
      <c r="E95" s="1307"/>
      <c r="F95" s="1307"/>
      <c r="G95" s="1307"/>
      <c r="H95" s="1307"/>
      <c r="I95" s="1307"/>
      <c r="J95" s="1307"/>
      <c r="K95" s="564"/>
      <c r="L95" s="1307"/>
      <c r="M95" s="1307"/>
    </row>
    <row r="96" spans="2:13" s="1307" customFormat="1" ht="12.65" customHeight="1" x14ac:dyDescent="0.25">
      <c r="B96" s="1286"/>
      <c r="C96" s="1305"/>
      <c r="K96" s="564"/>
    </row>
    <row r="97" spans="2:13" s="1307" customFormat="1" ht="12.65" customHeight="1" x14ac:dyDescent="0.25">
      <c r="B97" s="1287" t="s">
        <v>1256</v>
      </c>
      <c r="C97" s="1305"/>
      <c r="E97" s="1290"/>
      <c r="K97" s="564"/>
    </row>
    <row r="98" spans="2:13" s="1284" customFormat="1" ht="12.65" customHeight="1" x14ac:dyDescent="0.25">
      <c r="B98" s="1357" t="s">
        <v>1282</v>
      </c>
      <c r="C98" s="1360">
        <f ca="1">(-36000*CO2_flowrate_GTpY^2+224000*CO2_flowrate_GTpY+47000)*1000*(VLOOKUP(ref_year,Tbl_labor_indexes,2)/VLOOKUP(2008,Tbl_labor_indexes,2))/plant_life</f>
        <v>1368724.3589743585</v>
      </c>
      <c r="D98" s="1361" t="str">
        <f>ref_year&amp;"$/year"</f>
        <v>2016$/year</v>
      </c>
      <c r="E98" s="1307"/>
      <c r="F98" s="1307"/>
      <c r="G98" s="1307"/>
      <c r="H98" s="1307"/>
      <c r="I98" s="1307"/>
      <c r="J98" s="1307"/>
      <c r="K98" s="564"/>
      <c r="L98" s="1307"/>
      <c r="M98" s="1307"/>
    </row>
    <row r="99" spans="2:13" s="1284" customFormat="1" ht="12.65" customHeight="1" x14ac:dyDescent="0.25">
      <c r="B99" s="1357" t="s">
        <v>1227</v>
      </c>
      <c r="C99" s="1360">
        <f ca="1">(-18000*CO2_flowrate_GTpY^2 + 183000*CO2_flowrate_GTpY+ 40000)*1000*(VLOOKUP(ref_year,Tbl_labor_indexes,2)/VLOOKUP(2008,Tbl_labor_indexes,2))/plant_life</f>
        <v>1164871.7948717945</v>
      </c>
      <c r="D99" s="1361" t="str">
        <f>ref_year&amp;"$/year"</f>
        <v>2016$/year</v>
      </c>
      <c r="E99" s="1307"/>
      <c r="F99" s="1307"/>
      <c r="G99" s="1307"/>
      <c r="H99" s="1307"/>
      <c r="I99" s="1307"/>
      <c r="J99" s="1307"/>
      <c r="K99" s="564"/>
      <c r="L99" s="1307"/>
      <c r="M99" s="1307"/>
    </row>
    <row r="100" spans="2:13" s="1307" customFormat="1" ht="12.65" customHeight="1" x14ac:dyDescent="0.25">
      <c r="B100" s="1357" t="s">
        <v>1283</v>
      </c>
      <c r="C100" s="1378">
        <f>+IF(CO2_Capture_Efficiency,SUM(C98:C99),0)</f>
        <v>0</v>
      </c>
      <c r="D100" s="1361" t="str">
        <f>ref_year&amp;"$/year"</f>
        <v>2016$/year</v>
      </c>
      <c r="K100" s="564"/>
    </row>
    <row r="101" spans="2:13" s="1284" customFormat="1" ht="12.65" customHeight="1" x14ac:dyDescent="0.25">
      <c r="B101" s="1287"/>
      <c r="C101" s="1305"/>
      <c r="D101" s="1307"/>
      <c r="E101" s="1307"/>
      <c r="F101" s="1307"/>
      <c r="G101" s="1307"/>
      <c r="H101" s="1307"/>
      <c r="I101" s="1307"/>
      <c r="J101" s="1307"/>
      <c r="K101" s="564"/>
      <c r="L101" s="1307"/>
      <c r="M101" s="1307"/>
    </row>
    <row r="102" spans="2:13" s="1284" customFormat="1" ht="12.65" customHeight="1" x14ac:dyDescent="0.25">
      <c r="B102" s="1287" t="s">
        <v>1229</v>
      </c>
      <c r="C102" s="1305"/>
      <c r="D102" s="1307"/>
      <c r="E102" s="1290"/>
      <c r="F102" s="1307"/>
      <c r="G102" s="1307"/>
      <c r="H102" s="1307"/>
      <c r="I102" s="1307"/>
      <c r="J102" s="1307"/>
      <c r="K102" s="564"/>
      <c r="L102" s="1307"/>
      <c r="M102" s="1307"/>
    </row>
    <row r="103" spans="2:13" s="1283" customFormat="1" ht="12.65" customHeight="1" x14ac:dyDescent="0.25">
      <c r="B103" s="1357" t="s">
        <v>1224</v>
      </c>
      <c r="C103" s="1360">
        <f>0*(VLOOKUP(ref_year,Tbl_labor_indexes,2)/VLOOKUP(2008,Tbl_labor_indexes,2))</f>
        <v>0</v>
      </c>
      <c r="D103" s="1361" t="str">
        <f>ref_year&amp;"$/year"</f>
        <v>2016$/year</v>
      </c>
      <c r="E103" s="1307"/>
      <c r="F103" s="1307"/>
      <c r="G103" s="1307"/>
      <c r="H103" s="1307"/>
      <c r="I103" s="1307"/>
      <c r="J103" s="1307"/>
      <c r="K103" s="564"/>
      <c r="L103" s="1307"/>
      <c r="M103" s="1307"/>
    </row>
    <row r="104" spans="2:13" s="1284" customFormat="1" ht="12.65" customHeight="1" x14ac:dyDescent="0.25">
      <c r="B104" s="1357" t="s">
        <v>1225</v>
      </c>
      <c r="C104" s="1360">
        <f>395000*(VLOOKUP(ref_year,Tbl_labor_indexes,2)/VLOOKUP(2008,Tbl_labor_indexes,2))/plant_life</f>
        <v>11503.108974358973</v>
      </c>
      <c r="D104" s="1361" t="str">
        <f>ref_year&amp;"$/year"</f>
        <v>2016$/year</v>
      </c>
      <c r="E104" s="1307"/>
      <c r="F104" s="1307"/>
      <c r="G104" s="1307"/>
      <c r="H104" s="1307"/>
      <c r="I104" s="1307"/>
      <c r="J104" s="1307"/>
      <c r="K104" s="564"/>
      <c r="L104" s="1307"/>
      <c r="M104" s="1307"/>
    </row>
    <row r="105" spans="2:13" s="1284" customFormat="1" ht="12.65" customHeight="1" x14ac:dyDescent="0.25">
      <c r="B105" s="1357" t="s">
        <v>169</v>
      </c>
      <c r="C105" s="1360">
        <f>100000*(VLOOKUP(ref_year,Tbl_labor_indexes,2)/VLOOKUP(2008,Tbl_labor_indexes,2))/plant_life</f>
        <v>2912.1794871794864</v>
      </c>
      <c r="D105" s="1361" t="str">
        <f>ref_year&amp;"$/year"</f>
        <v>2016$/year</v>
      </c>
      <c r="E105" s="1307"/>
      <c r="F105" s="1307"/>
      <c r="G105" s="1307"/>
      <c r="H105" s="1307"/>
      <c r="I105" s="1307"/>
      <c r="J105" s="1307"/>
      <c r="K105" s="564"/>
      <c r="L105" s="1307"/>
      <c r="M105" s="1307"/>
    </row>
    <row r="106" spans="2:13" s="1284" customFormat="1" ht="12.65" customHeight="1" x14ac:dyDescent="0.25">
      <c r="B106" s="1357" t="s">
        <v>1226</v>
      </c>
      <c r="C106" s="1360">
        <f ca="1" xml:space="preserve"> (-30000*CO2_flowrate_GTpY^2 + 143000*CO2_flowrate_GTpY + 41000)*1000*(VLOOKUP(ref_year,Tbl_labor_indexes,2)/VLOOKUP(2008,Tbl_labor_indexes,2))/plant_life</f>
        <v>1193993.5897435895</v>
      </c>
      <c r="D106" s="1361" t="str">
        <f>ref_year&amp;"$/year"</f>
        <v>2016$/year</v>
      </c>
      <c r="E106" s="1307"/>
      <c r="F106" s="1307"/>
      <c r="G106" s="1307"/>
      <c r="H106" s="1307"/>
      <c r="I106" s="1307"/>
      <c r="J106" s="1307"/>
      <c r="K106" s="564"/>
      <c r="L106" s="1307"/>
      <c r="M106" s="1307"/>
    </row>
    <row r="107" spans="2:13" s="1284" customFormat="1" ht="12.65" customHeight="1" x14ac:dyDescent="0.25">
      <c r="B107" s="1357" t="s">
        <v>1227</v>
      </c>
      <c r="C107" s="1360">
        <f ca="1">(111200*CO2_flowrate_GTpY+27733.33)*1000*(VLOOKUP(ref_year,Tbl_labor_indexes,2)/VLOOKUP(2008,Tbl_labor_indexes,2))/plant_life</f>
        <v>807644.34737179463</v>
      </c>
      <c r="D107" s="1361" t="str">
        <f>ref_year&amp;"$/year"</f>
        <v>2016$/year</v>
      </c>
      <c r="E107" s="1307"/>
      <c r="F107" s="1307"/>
      <c r="G107" s="1307"/>
      <c r="H107" s="1307"/>
      <c r="I107" s="1307"/>
      <c r="J107" s="1307"/>
      <c r="K107" s="564"/>
      <c r="L107" s="1307"/>
      <c r="M107" s="1307"/>
    </row>
    <row r="108" spans="2:13" s="1284" customFormat="1" ht="12.65" customHeight="1" thickBot="1" x14ac:dyDescent="0.3">
      <c r="B108" s="1296"/>
      <c r="C108" s="565"/>
      <c r="D108" s="565"/>
      <c r="E108" s="565"/>
      <c r="F108" s="565"/>
      <c r="G108" s="565"/>
      <c r="H108" s="565"/>
      <c r="I108" s="565"/>
      <c r="J108" s="565"/>
      <c r="K108" s="566"/>
      <c r="L108" s="1307"/>
      <c r="M108" s="1307"/>
    </row>
    <row r="109" spans="2:13" s="1284" customFormat="1" ht="12.65" customHeight="1" thickTop="1" x14ac:dyDescent="0.25">
      <c r="B109" s="1288"/>
      <c r="C109" s="1306"/>
      <c r="D109" s="1289"/>
      <c r="L109" s="1307"/>
      <c r="M109" s="1307"/>
    </row>
    <row r="110" spans="2:13" x14ac:dyDescent="0.25">
      <c r="L110" s="1307"/>
      <c r="M110" s="1307"/>
    </row>
    <row r="111" spans="2:13" x14ac:dyDescent="0.25">
      <c r="L111" s="1307"/>
      <c r="M111" s="1307"/>
    </row>
  </sheetData>
  <mergeCells count="48">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 ref="E33:F33"/>
    <mergeCell ref="H46:J46"/>
    <mergeCell ref="H38:I38"/>
    <mergeCell ref="H40:I40"/>
    <mergeCell ref="H35:I35"/>
    <mergeCell ref="H39:I39"/>
    <mergeCell ref="H34:I3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47:F47"/>
    <mergeCell ref="H48:J48"/>
    <mergeCell ref="H45:J45"/>
    <mergeCell ref="E48:F48"/>
    <mergeCell ref="H41:I41"/>
    <mergeCell ref="H43:I43"/>
    <mergeCell ref="H47:J47"/>
    <mergeCell ref="E41:F41"/>
    <mergeCell ref="E46:F46"/>
    <mergeCell ref="E44:F44"/>
  </mergeCells>
  <phoneticPr fontId="2"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568" r:id="rId4" name="chk_CO2_Pipeline_Temp">
          <controlPr defaultSize="0" autoLine="0" r:id="rId5">
            <anchor moveWithCells="1">
              <from>
                <xdr:col>3</xdr:col>
                <xdr:colOff>247650</xdr:colOff>
                <xdr:row>38</xdr:row>
                <xdr:rowOff>165100</xdr:rowOff>
              </from>
              <to>
                <xdr:col>3</xdr:col>
                <xdr:colOff>1327150</xdr:colOff>
                <xdr:row>40</xdr:row>
                <xdr:rowOff>31750</xdr:rowOff>
              </to>
            </anchor>
          </controlPr>
        </control>
      </mc:Choice>
      <mc:Fallback>
        <control shapeId="17568" r:id="rId4" name="chk_CO2_Pipeline_Temp"/>
      </mc:Fallback>
    </mc:AlternateContent>
    <mc:AlternateContent xmlns:mc="http://schemas.openxmlformats.org/markup-compatibility/2006">
      <mc:Choice Requires="x14">
        <control shapeId="17567" r:id="rId6" name="chk_CO2_PipeElevation">
          <controlPr defaultSize="0" autoLine="0" r:id="rId7">
            <anchor moveWithCells="1">
              <from>
                <xdr:col>3</xdr:col>
                <xdr:colOff>241300</xdr:colOff>
                <xdr:row>35</xdr:row>
                <xdr:rowOff>165100</xdr:rowOff>
              </from>
              <to>
                <xdr:col>3</xdr:col>
                <xdr:colOff>1314450</xdr:colOff>
                <xdr:row>37</xdr:row>
                <xdr:rowOff>19050</xdr:rowOff>
              </to>
            </anchor>
          </controlPr>
        </control>
      </mc:Choice>
      <mc:Fallback>
        <control shapeId="17567" r:id="rId6" name="chk_CO2_PipeElevation"/>
      </mc:Fallback>
    </mc:AlternateContent>
    <mc:AlternateContent xmlns:mc="http://schemas.openxmlformats.org/markup-compatibility/2006">
      <mc:Choice Requires="x14">
        <control shapeId="17566" r:id="rId8" name="chk_CO2_PipeLength">
          <controlPr defaultSize="0" autoLine="0" r:id="rId9">
            <anchor moveWithCells="1">
              <from>
                <xdr:col>3</xdr:col>
                <xdr:colOff>241300</xdr:colOff>
                <xdr:row>34</xdr:row>
                <xdr:rowOff>152400</xdr:rowOff>
              </from>
              <to>
                <xdr:col>3</xdr:col>
                <xdr:colOff>1314450</xdr:colOff>
                <xdr:row>36</xdr:row>
                <xdr:rowOff>12700</xdr:rowOff>
              </to>
            </anchor>
          </controlPr>
        </control>
      </mc:Choice>
      <mc:Fallback>
        <control shapeId="17566" r:id="rId8" name="chk_CO2_PipeLength"/>
      </mc:Fallback>
    </mc:AlternateContent>
    <mc:AlternateContent xmlns:mc="http://schemas.openxmlformats.org/markup-compatibility/2006">
      <mc:Choice Requires="x14">
        <control shapeId="17565" r:id="rId10" name="chk_CO2_SurgeTank">
          <controlPr defaultSize="0" autoLine="0" r:id="rId11">
            <anchor moveWithCells="1">
              <from>
                <xdr:col>3</xdr:col>
                <xdr:colOff>241300</xdr:colOff>
                <xdr:row>33</xdr:row>
                <xdr:rowOff>152400</xdr:rowOff>
              </from>
              <to>
                <xdr:col>3</xdr:col>
                <xdr:colOff>1314450</xdr:colOff>
                <xdr:row>35</xdr:row>
                <xdr:rowOff>12700</xdr:rowOff>
              </to>
            </anchor>
          </controlPr>
        </control>
      </mc:Choice>
      <mc:Fallback>
        <control shapeId="17565" r:id="rId10" name="chk_CO2_SurgeTank"/>
      </mc:Fallback>
    </mc:AlternateContent>
    <mc:AlternateContent xmlns:mc="http://schemas.openxmlformats.org/markup-compatibility/2006">
      <mc:Choice Requires="x14">
        <control shapeId="17563" r:id="rId12" name="chk_CO2_ControlSystem">
          <controlPr defaultSize="0" autoLine="0" r:id="rId13">
            <anchor moveWithCells="1">
              <from>
                <xdr:col>3</xdr:col>
                <xdr:colOff>241300</xdr:colOff>
                <xdr:row>32</xdr:row>
                <xdr:rowOff>165100</xdr:rowOff>
              </from>
              <to>
                <xdr:col>3</xdr:col>
                <xdr:colOff>1314450</xdr:colOff>
                <xdr:row>34</xdr:row>
                <xdr:rowOff>19050</xdr:rowOff>
              </to>
            </anchor>
          </controlPr>
        </control>
      </mc:Choice>
      <mc:Fallback>
        <control shapeId="17563" r:id="rId12" name="chk_CO2_ControlSystem"/>
      </mc:Fallback>
    </mc:AlternateContent>
    <mc:AlternateContent xmlns:mc="http://schemas.openxmlformats.org/markup-compatibility/2006">
      <mc:Choice Requires="x14">
        <control shapeId="17562" r:id="rId14" name="chk_CO2_Pump_Eff">
          <controlPr defaultSize="0" autoLine="0" r:id="rId15">
            <anchor moveWithCells="1">
              <from>
                <xdr:col>3</xdr:col>
                <xdr:colOff>241300</xdr:colOff>
                <xdr:row>31</xdr:row>
                <xdr:rowOff>336550</xdr:rowOff>
              </from>
              <to>
                <xdr:col>3</xdr:col>
                <xdr:colOff>1314450</xdr:colOff>
                <xdr:row>33</xdr:row>
                <xdr:rowOff>19050</xdr:rowOff>
              </to>
            </anchor>
          </controlPr>
        </control>
      </mc:Choice>
      <mc:Fallback>
        <control shapeId="17562" r:id="rId14" name="chk_CO2_Pump_Eff"/>
      </mc:Fallback>
    </mc:AlternateContent>
    <mc:AlternateContent xmlns:mc="http://schemas.openxmlformats.org/markup-compatibility/2006">
      <mc:Choice Requires="x14">
        <control shapeId="17561" r:id="rId16" name="chk_n_CO2_pumps">
          <controlPr defaultSize="0" autoLine="0" r:id="rId17">
            <anchor moveWithCells="1">
              <from>
                <xdr:col>3</xdr:col>
                <xdr:colOff>241300</xdr:colOff>
                <xdr:row>31</xdr:row>
                <xdr:rowOff>69850</xdr:rowOff>
              </from>
              <to>
                <xdr:col>3</xdr:col>
                <xdr:colOff>1314450</xdr:colOff>
                <xdr:row>31</xdr:row>
                <xdr:rowOff>285750</xdr:rowOff>
              </to>
            </anchor>
          </controlPr>
        </control>
      </mc:Choice>
      <mc:Fallback>
        <control shapeId="17561" r:id="rId16" name="chk_n_CO2_pumps"/>
      </mc:Fallback>
    </mc:AlternateContent>
    <mc:AlternateContent xmlns:mc="http://schemas.openxmlformats.org/markup-compatibility/2006">
      <mc:Choice Requires="x14">
        <control shapeId="17452" r:id="rId18" name="chk_CO2_Capture_Efficiency">
          <controlPr defaultSize="0" autoLine="0" r:id="rId19">
            <anchor moveWithCells="1">
              <from>
                <xdr:col>3</xdr:col>
                <xdr:colOff>247650</xdr:colOff>
                <xdr:row>28</xdr:row>
                <xdr:rowOff>171450</xdr:rowOff>
              </from>
              <to>
                <xdr:col>3</xdr:col>
                <xdr:colOff>1327150</xdr:colOff>
                <xdr:row>30</xdr:row>
                <xdr:rowOff>31750</xdr:rowOff>
              </to>
            </anchor>
          </controlPr>
        </control>
      </mc:Choice>
      <mc:Fallback>
        <control shapeId="17452" r:id="rId18" name="chk_CO2_Capture_Efficiency"/>
      </mc:Fallback>
    </mc:AlternateContent>
    <mc:AlternateContent xmlns:mc="http://schemas.openxmlformats.org/markup-compatibility/2006">
      <mc:Choice Requires="x14">
        <control shapeId="17453" r:id="rId20" name="chk_CO2_MaintFactor">
          <controlPr defaultSize="0" autoLine="0" r:id="rId21">
            <anchor moveWithCells="1">
              <from>
                <xdr:col>3</xdr:col>
                <xdr:colOff>247650</xdr:colOff>
                <xdr:row>43</xdr:row>
                <xdr:rowOff>0</xdr:rowOff>
              </from>
              <to>
                <xdr:col>3</xdr:col>
                <xdr:colOff>1327150</xdr:colOff>
                <xdr:row>44</xdr:row>
                <xdr:rowOff>31750</xdr:rowOff>
              </to>
            </anchor>
          </controlPr>
        </control>
      </mc:Choice>
      <mc:Fallback>
        <control shapeId="17453" r:id="rId20" name="chk_CO2_MaintFactor"/>
      </mc:Fallback>
    </mc:AlternateContent>
    <mc:AlternateContent xmlns:mc="http://schemas.openxmlformats.org/markup-compatibility/2006">
      <mc:Choice Requires="x14">
        <control shapeId="17497" r:id="rId22" name="chk_CO2_Pin_psia">
          <controlPr defaultSize="0" autoLine="0" r:id="rId23">
            <anchor moveWithCells="1">
              <from>
                <xdr:col>3</xdr:col>
                <xdr:colOff>247650</xdr:colOff>
                <xdr:row>30</xdr:row>
                <xdr:rowOff>69850</xdr:rowOff>
              </from>
              <to>
                <xdr:col>3</xdr:col>
                <xdr:colOff>1327150</xdr:colOff>
                <xdr:row>30</xdr:row>
                <xdr:rowOff>285750</xdr:rowOff>
              </to>
            </anchor>
          </controlPr>
        </control>
      </mc:Choice>
      <mc:Fallback>
        <control shapeId="17497" r:id="rId22" name="chk_CO2_Pin_psia"/>
      </mc:Fallback>
    </mc:AlternateContent>
    <mc:AlternateContent xmlns:mc="http://schemas.openxmlformats.org/markup-compatibility/2006">
      <mc:Choice Requires="x14">
        <control shapeId="17509" r:id="rId24" name="chk_CO2_credit">
          <controlPr defaultSize="0" autoLine="0" r:id="rId25">
            <anchor moveWithCells="1">
              <from>
                <xdr:col>3</xdr:col>
                <xdr:colOff>247650</xdr:colOff>
                <xdr:row>41</xdr:row>
                <xdr:rowOff>171450</xdr:rowOff>
              </from>
              <to>
                <xdr:col>4</xdr:col>
                <xdr:colOff>76200</xdr:colOff>
                <xdr:row>43</xdr:row>
                <xdr:rowOff>31750</xdr:rowOff>
              </to>
            </anchor>
          </controlPr>
        </control>
      </mc:Choice>
      <mc:Fallback>
        <control shapeId="17509" r:id="rId24" name="chk_CO2_credit"/>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election activeCell="B109" sqref="B109"/>
    </sheetView>
  </sheetViews>
  <sheetFormatPr defaultRowHeight="12.5" x14ac:dyDescent="0.25"/>
  <cols>
    <col min="2" max="2" width="28.7265625" customWidth="1"/>
    <col min="3" max="3" width="25.26953125" customWidth="1"/>
    <col min="4" max="4" width="22.7265625" customWidth="1"/>
    <col min="5" max="5" width="22.1796875" customWidth="1"/>
    <col min="6" max="6" width="20.26953125" customWidth="1"/>
    <col min="7" max="7" width="18.54296875" customWidth="1"/>
    <col min="8" max="8" width="15.7265625" customWidth="1"/>
    <col min="9" max="9" width="16.26953125" customWidth="1"/>
  </cols>
  <sheetData>
    <row r="1" spans="2:9" ht="13" thickBot="1" x14ac:dyDescent="0.3"/>
    <row r="2" spans="2:9" ht="16" thickTop="1" x14ac:dyDescent="0.35">
      <c r="B2" s="730" t="s">
        <v>1066</v>
      </c>
      <c r="C2" s="731"/>
    </row>
    <row r="3" spans="2:9" x14ac:dyDescent="0.25">
      <c r="B3" s="732" t="s">
        <v>79</v>
      </c>
      <c r="C3" s="690"/>
    </row>
    <row r="4" spans="2:9" x14ac:dyDescent="0.25">
      <c r="B4" s="732" t="s">
        <v>918</v>
      </c>
      <c r="C4" s="690"/>
    </row>
    <row r="5" spans="2:9" x14ac:dyDescent="0.25">
      <c r="B5" s="732" t="s">
        <v>394</v>
      </c>
      <c r="C5" s="690"/>
    </row>
    <row r="6" spans="2:9" x14ac:dyDescent="0.25">
      <c r="B6" s="732" t="s">
        <v>1067</v>
      </c>
      <c r="C6" s="690"/>
    </row>
    <row r="7" spans="2:9" x14ac:dyDescent="0.25">
      <c r="B7" s="732" t="s">
        <v>402</v>
      </c>
      <c r="C7" s="690"/>
    </row>
    <row r="8" spans="2:9" x14ac:dyDescent="0.25">
      <c r="B8" s="732" t="s">
        <v>535</v>
      </c>
      <c r="C8" s="690"/>
    </row>
    <row r="9" spans="2:9" x14ac:dyDescent="0.25">
      <c r="B9" s="732" t="s">
        <v>1068</v>
      </c>
      <c r="C9" s="690"/>
    </row>
    <row r="10" spans="2:9" ht="13" thickBot="1" x14ac:dyDescent="0.3">
      <c r="B10" s="733" t="s">
        <v>1069</v>
      </c>
      <c r="C10" s="734"/>
    </row>
    <row r="11" spans="2:9" ht="13" thickTop="1" x14ac:dyDescent="0.25"/>
    <row r="12" spans="2:9" ht="25" x14ac:dyDescent="0.5">
      <c r="B12" s="430" t="s">
        <v>391</v>
      </c>
      <c r="C12" s="135"/>
      <c r="D12" s="135"/>
      <c r="E12" s="53"/>
      <c r="F12" s="53"/>
      <c r="G12" s="40"/>
      <c r="H12" s="41"/>
      <c r="I12" s="134"/>
    </row>
    <row r="13" spans="2:9" ht="13" x14ac:dyDescent="0.3">
      <c r="D13" s="135"/>
      <c r="E13" s="136"/>
      <c r="F13" s="53"/>
      <c r="G13" s="40"/>
      <c r="H13" s="41"/>
      <c r="I13" s="134"/>
    </row>
    <row r="14" spans="2:9" ht="22.5" thickBot="1" x14ac:dyDescent="0.7">
      <c r="B14" s="316" t="s">
        <v>392</v>
      </c>
      <c r="D14" s="135"/>
      <c r="E14" s="53"/>
      <c r="F14" s="53"/>
      <c r="G14" s="40"/>
      <c r="H14" s="41"/>
      <c r="I14" s="134"/>
    </row>
    <row r="15" spans="2:9" ht="16" thickBot="1" x14ac:dyDescent="0.4">
      <c r="B15" s="1038" t="s">
        <v>1094</v>
      </c>
      <c r="C15" s="1039">
        <f ca="1">total_cap/(ProcEqpCap+CCSEqpCap)</f>
        <v>1.5706061762722048</v>
      </c>
      <c r="D15" s="135"/>
      <c r="E15" s="53"/>
      <c r="F15" s="53"/>
      <c r="G15" s="40"/>
      <c r="H15" s="41"/>
      <c r="I15" s="134"/>
    </row>
    <row r="16" spans="2:9" ht="13.5" thickBot="1" x14ac:dyDescent="0.3">
      <c r="B16" s="53"/>
      <c r="C16" s="53"/>
      <c r="D16" s="53"/>
      <c r="E16" s="53"/>
      <c r="F16" s="53"/>
      <c r="G16" s="40"/>
      <c r="H16" s="41"/>
      <c r="I16" s="134"/>
    </row>
    <row r="17" spans="2:9" ht="16.5" thickTop="1" thickBot="1" x14ac:dyDescent="0.4">
      <c r="B17" s="49" t="s">
        <v>79</v>
      </c>
      <c r="C17" s="149"/>
      <c r="D17" s="150"/>
      <c r="E17" s="53"/>
      <c r="F17" s="1667" t="str">
        <f>IF(CO2_inUse = "Carbon Sequestration","Approximate Carbon Sequestration Costs*","Carbon Sequestration is not included in this case")</f>
        <v>Approximate Carbon Sequestration Costs*</v>
      </c>
      <c r="G17" s="1668"/>
      <c r="H17" s="1669"/>
      <c r="I17" s="134"/>
    </row>
    <row r="18" spans="2:9" ht="56.5" thickTop="1" x14ac:dyDescent="0.3">
      <c r="B18" s="152" t="s">
        <v>80</v>
      </c>
      <c r="C18" s="56" t="s">
        <v>81</v>
      </c>
      <c r="D18" s="429" t="s">
        <v>82</v>
      </c>
      <c r="E18" s="53"/>
      <c r="F18" s="1274" t="s">
        <v>80</v>
      </c>
      <c r="G18" s="1275" t="s">
        <v>2</v>
      </c>
      <c r="H18" s="1276" t="s">
        <v>3</v>
      </c>
      <c r="I18" s="134"/>
    </row>
    <row r="19" spans="2:9" ht="14" x14ac:dyDescent="0.3">
      <c r="B19" s="628" t="s">
        <v>83</v>
      </c>
      <c r="C19" s="837">
        <f ca="1">'Cash Flow Analysis'!D119</f>
        <v>0.702755582327108</v>
      </c>
      <c r="D19" s="153">
        <f ca="1">'Cash Flow Analysis'!C119</f>
        <v>0.13578695705539728</v>
      </c>
      <c r="E19" s="53"/>
      <c r="F19" s="1277" t="s">
        <v>83</v>
      </c>
      <c r="G19" s="1278">
        <f ca="1">IF(CO2_inUse = "Carbon Sequestration",ROUND((Det_CO2_seq+CO2_aprx_indCap)*CO2_cap_charge_rate/output_kgyear,2),"")</f>
        <v>0</v>
      </c>
      <c r="H19" s="1279" t="e">
        <f ca="1">IF(CO2_inUse = "Carbon Sequestration",CO2_capptonneCO2,"")</f>
        <v>#DIV/0!</v>
      </c>
      <c r="I19" s="134"/>
    </row>
    <row r="20" spans="2:9" ht="14" x14ac:dyDescent="0.3">
      <c r="B20" s="628" t="s">
        <v>84</v>
      </c>
      <c r="C20" s="234">
        <f ca="1">'Cash Flow Analysis'!D120</f>
        <v>3.6102033259842641E-3</v>
      </c>
      <c r="D20" s="154">
        <f ca="1">'Cash Flow Analysis'!C120</f>
        <v>6.9756617565863493E-4</v>
      </c>
      <c r="E20" s="53"/>
      <c r="F20" s="1277" t="s">
        <v>4</v>
      </c>
      <c r="G20" s="1278">
        <f ca="1">IF(CO2_inUse = "Carbon Sequestration",ROUND(Det_CO2_OandMcost/output_kgyear,2),"")</f>
        <v>0</v>
      </c>
      <c r="H20" s="1279" t="e">
        <f ca="1">IF(CO2_inUse = "Carbon Sequestration",CO2_OandMptonneCO2,"")</f>
        <v>#DIV/0!</v>
      </c>
      <c r="I20" s="134"/>
    </row>
    <row r="21" spans="2:9" ht="14" x14ac:dyDescent="0.3">
      <c r="B21" s="628" t="s">
        <v>85</v>
      </c>
      <c r="C21" s="234">
        <f ca="1">'Cash Flow Analysis'!D121</f>
        <v>0.46242636654752056</v>
      </c>
      <c r="D21" s="154">
        <f ca="1">'Cash Flow Analysis'!C121</f>
        <v>8.9350366976443829E-2</v>
      </c>
      <c r="E21" s="53"/>
      <c r="F21" s="1277" t="s">
        <v>5</v>
      </c>
      <c r="G21" s="1278">
        <f ca="1">IF(CO2_inUse = "Carbon Sequestration",ROUND(CO2_eCostpY/output_kgyear,2),"")</f>
        <v>0</v>
      </c>
      <c r="H21" s="1279" t="e">
        <f ca="1">IF(CO2_inUse = "Carbon Sequestration",CO2_energyptonneCO2,"")</f>
        <v>#DIV/0!</v>
      </c>
      <c r="I21" s="134"/>
    </row>
    <row r="22" spans="2:9" ht="14.5" thickBot="1" x14ac:dyDescent="0.35">
      <c r="B22" s="628" t="s">
        <v>1003</v>
      </c>
      <c r="C22" s="234">
        <f ca="1">'Cash Flow Analysis'!D122</f>
        <v>3.9953308062466255</v>
      </c>
      <c r="D22" s="154">
        <f ca="1">'Cash Flow Analysis'!C122</f>
        <v>0.77198079425201249</v>
      </c>
      <c r="E22" s="53"/>
      <c r="F22" s="1280" t="s">
        <v>58</v>
      </c>
      <c r="G22" s="1281">
        <f ca="1">SUM(G19:G21)</f>
        <v>0</v>
      </c>
      <c r="H22" s="1282" t="e">
        <f ca="1">SUM(H19:H21)</f>
        <v>#DIV/0!</v>
      </c>
      <c r="I22" s="134"/>
    </row>
    <row r="23" spans="2:9" ht="27" customHeight="1" thickTop="1" x14ac:dyDescent="0.25">
      <c r="B23" s="628" t="s">
        <v>86</v>
      </c>
      <c r="C23" s="234">
        <f ca="1">'Cash Flow Analysis'!D123</f>
        <v>0</v>
      </c>
      <c r="D23" s="154">
        <f ca="1">'Cash Flow Analysis'!C123</f>
        <v>0</v>
      </c>
      <c r="E23" s="53"/>
      <c r="F23" s="1670" t="s">
        <v>6</v>
      </c>
      <c r="G23" s="1670"/>
      <c r="H23" s="1670"/>
      <c r="I23" s="134"/>
    </row>
    <row r="24" spans="2:9" x14ac:dyDescent="0.25">
      <c r="B24" s="628" t="s">
        <v>87</v>
      </c>
      <c r="C24" s="234">
        <f ca="1">'Cash Flow Analysis'!D124</f>
        <v>0</v>
      </c>
      <c r="D24" s="154">
        <f ca="1">'Cash Flow Analysis'!C124</f>
        <v>0</v>
      </c>
      <c r="E24" s="53"/>
      <c r="F24" s="53"/>
      <c r="I24" s="134"/>
    </row>
    <row r="25" spans="2:9" ht="25" x14ac:dyDescent="0.25">
      <c r="B25" s="629" t="s">
        <v>88</v>
      </c>
      <c r="C25" s="234">
        <f ca="1">'Cash Flow Analysis'!D125</f>
        <v>1.130476720982382E-2</v>
      </c>
      <c r="D25" s="154">
        <f ca="1">'Cash Flow Analysis'!C125</f>
        <v>2.1843155404877358E-3</v>
      </c>
      <c r="E25" s="53"/>
      <c r="F25" s="53"/>
      <c r="I25" s="134"/>
    </row>
    <row r="26" spans="2:9" ht="13.5" thickBot="1" x14ac:dyDescent="0.35">
      <c r="B26" s="630" t="s">
        <v>58</v>
      </c>
      <c r="C26" s="838">
        <f ca="1">SUM(C19:C25)</f>
        <v>5.1754277256570624</v>
      </c>
      <c r="D26" s="569"/>
      <c r="E26" s="53"/>
      <c r="F26" s="53"/>
      <c r="I26" s="134"/>
    </row>
    <row r="27" spans="2:9" ht="13.5" thickTop="1" x14ac:dyDescent="0.25">
      <c r="B27" s="53"/>
      <c r="C27" s="53"/>
      <c r="D27" s="143"/>
      <c r="E27" s="53"/>
      <c r="F27" s="53"/>
      <c r="I27" s="134"/>
    </row>
    <row r="28" spans="2:9" ht="22" x14ac:dyDescent="0.65">
      <c r="B28" s="316" t="s">
        <v>393</v>
      </c>
      <c r="C28" s="53"/>
      <c r="D28" s="41"/>
      <c r="E28" s="53"/>
      <c r="F28" s="53"/>
      <c r="G28" s="53"/>
      <c r="H28" s="53"/>
      <c r="I28" s="134"/>
    </row>
    <row r="29" spans="2:9" ht="13" thickBot="1" x14ac:dyDescent="0.3">
      <c r="I29" s="134"/>
    </row>
    <row r="30" spans="2:9" ht="16.5" thickTop="1" thickBot="1" x14ac:dyDescent="0.4">
      <c r="B30" s="1659" t="s">
        <v>918</v>
      </c>
      <c r="C30" s="1660"/>
      <c r="D30" s="612"/>
      <c r="E30" s="612"/>
      <c r="F30" s="612"/>
      <c r="G30" s="613"/>
      <c r="H30" s="613"/>
      <c r="I30" s="617"/>
    </row>
    <row r="31" spans="2:9" ht="42.5" thickBot="1" x14ac:dyDescent="0.3">
      <c r="B31" s="618" t="s">
        <v>248</v>
      </c>
      <c r="C31" s="619" t="s">
        <v>922</v>
      </c>
      <c r="D31" s="619" t="s">
        <v>917</v>
      </c>
      <c r="E31" s="620" t="s">
        <v>708</v>
      </c>
      <c r="F31" s="620" t="s">
        <v>264</v>
      </c>
      <c r="G31" s="620" t="s">
        <v>916</v>
      </c>
      <c r="H31" s="620" t="s">
        <v>933</v>
      </c>
      <c r="I31" s="621" t="s">
        <v>1192</v>
      </c>
    </row>
    <row r="32" spans="2:9" x14ac:dyDescent="0.25">
      <c r="B32" s="707" t="str">
        <f>IF('Cash Flow Analysis'!$B$131=0,"",'Cash Flow Analysis'!$B$131)</f>
        <v>Industrial Electricity</v>
      </c>
      <c r="C32" s="708">
        <f ca="1">IF($B$32="","",$E$32*$F$32*$H$32)</f>
        <v>0.19547999999999996</v>
      </c>
      <c r="D32" s="708">
        <f ca="1">IF($B32="","",$C32*1000*MJ_to_kWh)</f>
        <v>54.29999999999999</v>
      </c>
      <c r="E32" s="709">
        <f ca="1">IF($B$32&lt;&gt;"",VLOOKUP($B$32,MASTER_PROPERTY_TABLE,MATCH("H2A LHV (GJ/ H2A usage input unit)",key_MPTable,0),FALSE),"")</f>
        <v>3.5999999999999995E-3</v>
      </c>
      <c r="F32" s="709">
        <f>IF('Cash Flow Analysis'!$B$133="","",'Cash Flow Analysis'!$B$133)</f>
        <v>54.3</v>
      </c>
      <c r="G32" s="710" t="str">
        <f ca="1">IF($B$32&lt;&gt;"",VLOOKUP($B$32,MASTER_PROPERTY_TABLE,MATCH("H2A Usage Input Unit/ kg H2",key_MPTable,0),FALSE),"")</f>
        <v>kWh</v>
      </c>
      <c r="H32" s="710">
        <f ca="1">IF($B32="","",IF(VLOOKUP($B32,MASTER_PROPERTY_TABLE,MATCH("Unit System",key_MPTable,0),FALSE)="English",mmBTU_to_GJ,1))</f>
        <v>1</v>
      </c>
      <c r="I32" s="1223">
        <f ca="1">+'Cash Flow Analysis'!$B$233</f>
        <v>7.497683409880869E-2</v>
      </c>
    </row>
    <row r="33" spans="2:9" x14ac:dyDescent="0.25">
      <c r="B33" s="661" t="str">
        <f>IF('Cash Flow Analysis'!$C$131=0,"",'Cash Flow Analysis'!$C$131)</f>
        <v/>
      </c>
      <c r="C33" s="711" t="str">
        <f>IF($B$33="","",$E$33*$F$33*$H$33)</f>
        <v/>
      </c>
      <c r="D33" s="711" t="str">
        <f>IF($B33="","",$C33*1000*MJ_to_kWh)</f>
        <v/>
      </c>
      <c r="E33" s="665" t="str">
        <f>IF($B$33&lt;&gt;"",VLOOKUP($B$33,MASTER_PROPERTY_TABLE,MATCH("H2A LHV (GJ/ H2A usage input unit)",key_MPTable,0),FALSE),"")</f>
        <v/>
      </c>
      <c r="F33" s="665" t="str">
        <f>IF('Cash Flow Analysis'!$C$133="","",'Cash Flow Analysis'!$C$133)</f>
        <v/>
      </c>
      <c r="G33" s="712" t="str">
        <f>IF($B$33&lt;&gt;"",VLOOKUP($B$33,MASTER_PROPERTY_TABLE,MATCH("H2A Usage Input Unit/ kg H2",key_MPTable,0),FALSE),"")</f>
        <v/>
      </c>
      <c r="H33" s="712" t="str">
        <f>IF($B$33="","",IF(VLOOKUP($B$33,MASTER_PROPERTY_TABLE,MATCH("Unit System",key_MPTable,0),FALSE)="English",mmBTU_to_GJ,1))</f>
        <v/>
      </c>
      <c r="I33" s="1224" t="str">
        <f>+'Cash Flow Analysis'!$C$233</f>
        <v/>
      </c>
    </row>
    <row r="34" spans="2:9" x14ac:dyDescent="0.25">
      <c r="B34" s="661" t="str">
        <f>IF('Cash Flow Analysis'!$D$131=0,"",'Cash Flow Analysis'!$D$131)</f>
        <v/>
      </c>
      <c r="C34" s="711" t="str">
        <f>IF($B$34="","",$E$34*$F$34*$H$34)</f>
        <v/>
      </c>
      <c r="D34" s="711" t="str">
        <f>IF($B34="","",$C34*1000*MJ_to_kWh)</f>
        <v/>
      </c>
      <c r="E34" s="665" t="str">
        <f>IF($B$34&lt;&gt;"",VLOOKUP($B$34,MASTER_PROPERTY_TABLE,MATCH("H2A LHV (GJ/ H2A usage input unit)",key_MPTable,0),FALSE),"")</f>
        <v/>
      </c>
      <c r="F34" s="665" t="str">
        <f>IF('Cash Flow Analysis'!$D$133="","",'Cash Flow Analysis'!$D$133)</f>
        <v/>
      </c>
      <c r="G34" s="712" t="str">
        <f>IF($B$34&lt;&gt;"",VLOOKUP($B$34,MASTER_PROPERTY_TABLE,MATCH("H2A Usage Input Unit/ kg H2",key_MPTable,0),FALSE),"")</f>
        <v/>
      </c>
      <c r="H34" s="712" t="str">
        <f>IF($B$34="","",IF(VLOOKUP($B$34,MASTER_PROPERTY_TABLE,MATCH("Unit System",key_MPTable,0),FALSE)="English",mmBTU_to_GJ,1))</f>
        <v/>
      </c>
      <c r="I34" s="1224" t="str">
        <f>+'Cash Flow Analysis'!$D$233</f>
        <v/>
      </c>
    </row>
    <row r="35" spans="2:9" ht="13" thickBot="1" x14ac:dyDescent="0.3">
      <c r="B35" s="714" t="str">
        <f>IF('Cash Flow Analysis'!$E$131=0,"",'Cash Flow Analysis'!$E$131)</f>
        <v/>
      </c>
      <c r="C35" s="715" t="str">
        <f>IF($B$35="","",$E$35*$F$35*$H$35)</f>
        <v/>
      </c>
      <c r="D35" s="715" t="str">
        <f>IF($B35="","",$C35*1000*MJ_to_kWh)</f>
        <v/>
      </c>
      <c r="E35" s="716" t="str">
        <f>IF($B$35&lt;&gt;"",VLOOKUP($B$35,MASTER_PROPERTY_TABLE,MATCH("H2A LHV (GJ/ H2A usage input unit)",key_MPTable,0),FALSE),"")</f>
        <v/>
      </c>
      <c r="F35" s="716" t="str">
        <f>IF('Cash Flow Analysis'!$E$133="","",'Cash Flow Analysis'!$E$133)</f>
        <v/>
      </c>
      <c r="G35" s="717" t="str">
        <f>IF($B$35&lt;&gt;"",VLOOKUP($B$35,MASTER_PROPERTY_TABLE,MATCH("H2A Usage Input Unit/ kg H2",key_MPTable,0),FALSE),"")</f>
        <v/>
      </c>
      <c r="H35" s="717" t="str">
        <f>IF($B$35="","",IF(VLOOKUP($B$35,MASTER_PROPERTY_TABLE,MATCH("Unit System",key_MPTable,0),FALSE)="English",mmBTU_to_GJ,1))</f>
        <v/>
      </c>
      <c r="I35" s="1225" t="str">
        <f>+'Cash Flow Analysis'!$E$233</f>
        <v/>
      </c>
    </row>
    <row r="36" spans="2:9" ht="14" x14ac:dyDescent="0.3">
      <c r="B36" s="718" t="s">
        <v>271</v>
      </c>
      <c r="C36" s="719"/>
      <c r="D36" s="719"/>
      <c r="E36" s="625"/>
      <c r="F36" s="625"/>
      <c r="G36" s="626"/>
      <c r="H36" s="626"/>
      <c r="I36" s="1226"/>
    </row>
    <row r="37" spans="2:9" x14ac:dyDescent="0.25">
      <c r="B37" s="661" t="str">
        <f>IF('Cash Flow Analysis'!$F$131=0,"",'Cash Flow Analysis'!$F$131)</f>
        <v/>
      </c>
      <c r="C37" s="711" t="str">
        <f>IF($B$37="","",$E$37*$F$37*$H$37)</f>
        <v/>
      </c>
      <c r="D37" s="711" t="str">
        <f>IF($B37="","",$C37*1000*MJ_to_kWh)</f>
        <v/>
      </c>
      <c r="E37" s="665" t="str">
        <f>IF($B37&lt;&gt;"",VLOOKUP($B37,MASTER_PROPERTY_TABLE,MATCH("H2A LHV (GJ/ H2A usage input unit)",key_MPTable,0),FALSE),"")</f>
        <v/>
      </c>
      <c r="F37" s="665" t="str">
        <f>IF('Cash Flow Analysis'!$F$133="","",'Cash Flow Analysis'!$F$133)</f>
        <v/>
      </c>
      <c r="G37" s="712" t="str">
        <f>IF($B$37&lt;&gt;"",VLOOKUP($B$37,MASTER_PROPERTY_TABLE,MATCH("H2A Usage Input Unit/ kg H2",key_MPTable,0),FALSE),"")</f>
        <v/>
      </c>
      <c r="H37" s="712" t="str">
        <f>IF($B$37="","",IF(VLOOKUP($B$37,MASTER_PROPERTY_TABLE,MATCH("Unit System",key_MPTable,0),FALSE)="English",mmBTU_to_GJ,1))</f>
        <v/>
      </c>
      <c r="I37" s="1224" t="str">
        <f>+'Cash Flow Analysis'!$F$233</f>
        <v/>
      </c>
    </row>
    <row r="38" spans="2:9" x14ac:dyDescent="0.25">
      <c r="B38" s="661" t="str">
        <f>IF('Cash Flow Analysis'!$G$131=0,"",'Cash Flow Analysis'!$G$131)</f>
        <v/>
      </c>
      <c r="C38" s="711" t="str">
        <f>IF($B$38="","",$E$38*$F$38*$H$38)</f>
        <v/>
      </c>
      <c r="D38" s="711" t="str">
        <f>IF($B38="","",$C38*1000*MJ_to_kWh)</f>
        <v/>
      </c>
      <c r="E38" s="665" t="str">
        <f>IF($B38&lt;&gt;"",VLOOKUP($B38,MASTER_PROPERTY_TABLE,MATCH("H2A LHV (GJ/ H2A usage input unit)",key_MPTable,0),FALSE),"")</f>
        <v/>
      </c>
      <c r="F38" s="665" t="str">
        <f>IF('Cash Flow Analysis'!$G$133="","",'Cash Flow Analysis'!$G$133)</f>
        <v/>
      </c>
      <c r="G38" s="712" t="str">
        <f>IF($B$38&lt;&gt;"",VLOOKUP($B$38,MASTER_PROPERTY_TABLE,MATCH("H2A Usage Input Unit/ kg H2",key_MPTable,0),FALSE),"")</f>
        <v/>
      </c>
      <c r="H38" s="712" t="str">
        <f>IF($B$38="","",IF(VLOOKUP($B$38,MASTER_PROPERTY_TABLE,MATCH("Unit System",key_MPTable,0),FALSE)="English",mmBTU_to_GJ,1))</f>
        <v/>
      </c>
      <c r="I38" s="1224" t="str">
        <f>+'Cash Flow Analysis'!$G$233</f>
        <v/>
      </c>
    </row>
    <row r="39" spans="2:9" x14ac:dyDescent="0.25">
      <c r="B39" s="661" t="str">
        <f>IF('Cash Flow Analysis'!$H$131=0,"",'Cash Flow Analysis'!$H$131)</f>
        <v/>
      </c>
      <c r="C39" s="711" t="str">
        <f>IF($B$39="","",$E$39*$F$39*$H$39)</f>
        <v/>
      </c>
      <c r="D39" s="711" t="str">
        <f>IF($B39="","",$C39*1000*MJ_to_kWh)</f>
        <v/>
      </c>
      <c r="E39" s="665" t="str">
        <f>IF($B39&lt;&gt;"",VLOOKUP($B39,MASTER_PROPERTY_TABLE,MATCH("H2A LHV (GJ/ H2A usage input unit)",key_MPTable,0),FALSE),"")</f>
        <v/>
      </c>
      <c r="F39" s="665" t="str">
        <f>IF('Cash Flow Analysis'!$H$133="","",'Cash Flow Analysis'!$H$133)</f>
        <v/>
      </c>
      <c r="G39" s="712" t="str">
        <f>IF($B$39&lt;&gt;"",VLOOKUP($B$39,MASTER_PROPERTY_TABLE,MATCH("H2A Usage Input Unit/ kg H2",key_MPTable,0),FALSE),"")</f>
        <v/>
      </c>
      <c r="H39" s="712" t="str">
        <f>IF($B$39="","",IF(VLOOKUP($B$39,MASTER_PROPERTY_TABLE,MATCH("Unit System",key_MPTable,0),FALSE)="English",mmBTU_to_GJ,1))</f>
        <v/>
      </c>
      <c r="I39" s="1224" t="str">
        <f>+'Cash Flow Analysis'!$H$233</f>
        <v/>
      </c>
    </row>
    <row r="40" spans="2:9" ht="13" thickBot="1" x14ac:dyDescent="0.3">
      <c r="B40" s="714" t="str">
        <f>IF('Cash Flow Analysis'!$I$131=0,"",'Cash Flow Analysis'!$I$131)</f>
        <v/>
      </c>
      <c r="C40" s="715" t="str">
        <f>IF($B$40="","",$E$40*$F$40*$H$40)</f>
        <v/>
      </c>
      <c r="D40" s="715" t="str">
        <f>IF($B40="","",$C40*1000*MJ_to_kWh)</f>
        <v/>
      </c>
      <c r="E40" s="716" t="str">
        <f>IF($B40&lt;&gt;"",VLOOKUP($B40,MASTER_PROPERTY_TABLE,MATCH("H2A LHV (GJ/ H2A usage input unit)",key_MPTable,0),FALSE),"")</f>
        <v/>
      </c>
      <c r="F40" s="716" t="str">
        <f>IF('Cash Flow Analysis'!$I$133="","",'Cash Flow Analysis'!$I$133)</f>
        <v/>
      </c>
      <c r="G40" s="717" t="str">
        <f>IF($B$40&lt;&gt;"",VLOOKUP($B$40,MASTER_PROPERTY_TABLE,MATCH("H2A Usage Input Unit/ kg H2",key_MPTable,0),FALSE),"")</f>
        <v/>
      </c>
      <c r="H40" s="717" t="str">
        <f>IF($B$40="","",IF(VLOOKUP($B$40,MASTER_PROPERTY_TABLE,MATCH("Unit System",key_MPTable,0),FALSE)="English",mmBTU_to_GJ,1))</f>
        <v/>
      </c>
      <c r="I40" s="1225" t="str">
        <f>+'Cash Flow Analysis'!$I$233</f>
        <v/>
      </c>
    </row>
    <row r="41" spans="2:9" ht="14" x14ac:dyDescent="0.3">
      <c r="B41" s="718" t="s">
        <v>400</v>
      </c>
      <c r="C41" s="719"/>
      <c r="D41" s="719"/>
      <c r="E41" s="625"/>
      <c r="F41" s="625"/>
      <c r="G41" s="626"/>
      <c r="H41" s="626"/>
      <c r="I41" s="627"/>
    </row>
    <row r="42" spans="2:9" ht="13" thickBot="1" x14ac:dyDescent="0.3">
      <c r="B42" s="614" t="str">
        <f ca="1">IF('Cash Flow Analysis'!$J$131=0,"",'Cash Flow Analysis'!$J$131)</f>
        <v/>
      </c>
      <c r="C42" s="683" t="str">
        <f ca="1">IF($B$42="","",$E$42*$F$42*$H$42)</f>
        <v/>
      </c>
      <c r="D42" s="683" t="str">
        <f ca="1">IF($B42="","",$C42*1000*MJ_to_kWh)</f>
        <v/>
      </c>
      <c r="E42" s="624" t="str">
        <f ca="1">IF($B42&lt;&gt;"",VLOOKUP($B42,MASTER_PROPERTY_TABLE,MATCH("H2A LHV (GJ/ H2A usage input unit)",key_MPTable,0),FALSE),"")</f>
        <v/>
      </c>
      <c r="F42" s="624">
        <f ca="1">CO2_CashFlow_eUse</f>
        <v>0</v>
      </c>
      <c r="G42" s="622" t="str">
        <f ca="1">IF($B$42&lt;&gt;"",VLOOKUP($B$42,MASTER_PROPERTY_TABLE,MATCH("H2A Usage Input Unit/ kg H2",key_MPTable,0),FALSE),"")</f>
        <v/>
      </c>
      <c r="H42" s="622" t="str">
        <f ca="1">IF($B42="","",IF(VLOOKUP($B42,MASTER_PROPERTY_TABLE,MATCH("Unit System",key_MPTable,0),FALSE)="English",mmBTU_to_GJ,1))</f>
        <v/>
      </c>
      <c r="I42" s="623"/>
    </row>
    <row r="43" spans="2:9" ht="43" thickTop="1" thickBot="1" x14ac:dyDescent="0.35">
      <c r="B43" s="702"/>
      <c r="C43" s="703" t="s">
        <v>923</v>
      </c>
      <c r="D43" s="704" t="s">
        <v>1000</v>
      </c>
      <c r="E43" s="705" t="s">
        <v>708</v>
      </c>
      <c r="F43" s="703" t="s">
        <v>915</v>
      </c>
      <c r="G43" s="705" t="s">
        <v>916</v>
      </c>
      <c r="H43" s="705" t="s">
        <v>933</v>
      </c>
      <c r="I43" s="706"/>
    </row>
    <row r="44" spans="2:9" ht="13" x14ac:dyDescent="0.3">
      <c r="B44" s="615" t="s">
        <v>924</v>
      </c>
      <c r="C44" s="683">
        <f>kgH2_to_GJ</f>
        <v>0.12021163829516093</v>
      </c>
      <c r="D44" s="683">
        <f>IF($B44="","",$C44*1000*MJ_to_kWh)</f>
        <v>33.392121748655818</v>
      </c>
      <c r="E44" s="624">
        <f>kgH2_to_GJ</f>
        <v>0.12021163829516093</v>
      </c>
      <c r="F44" s="624">
        <v>1</v>
      </c>
      <c r="G44" s="622" t="s">
        <v>268</v>
      </c>
      <c r="H44" s="622">
        <v>1</v>
      </c>
      <c r="I44" s="623"/>
    </row>
    <row r="45" spans="2:9" ht="13.5" thickBot="1" x14ac:dyDescent="0.35">
      <c r="B45" s="615"/>
      <c r="C45" s="684"/>
      <c r="D45" s="684"/>
      <c r="E45" s="624"/>
      <c r="F45" s="624"/>
      <c r="G45" s="622"/>
      <c r="H45" s="622"/>
      <c r="I45" s="623"/>
    </row>
    <row r="46" spans="2:9" ht="14" x14ac:dyDescent="0.3">
      <c r="B46" s="718" t="s">
        <v>919</v>
      </c>
      <c r="C46" s="719"/>
      <c r="D46" s="719"/>
      <c r="E46" s="625"/>
      <c r="F46" s="625"/>
      <c r="G46" s="626"/>
      <c r="H46" s="626"/>
      <c r="I46" s="627"/>
    </row>
    <row r="47" spans="2:9" x14ac:dyDescent="0.25">
      <c r="B47" s="661" t="str">
        <f>IF('Cash Flow Analysis'!$K$131=0,"",'Cash Flow Analysis'!$K$131)</f>
        <v/>
      </c>
      <c r="C47" s="711" t="str">
        <f>IF($B$47="","",$E$47*$F$47*$H$47)</f>
        <v/>
      </c>
      <c r="D47" s="711" t="str">
        <f>IF($B47="","",$C47*1000*MJ_to_kWh)</f>
        <v/>
      </c>
      <c r="E47" s="665" t="str">
        <f>IF($B47&lt;&gt;"",VLOOKUP($B47,MASTER_PROPERTY_TABLE,MATCH("H2A LHV (GJ/ H2A usage input unit)",key_MPTable,0),FALSE),"")</f>
        <v/>
      </c>
      <c r="F47" s="665" t="str">
        <f>IF('Cash Flow Analysis'!$K$133="","",'Cash Flow Analysis'!$K$133)</f>
        <v/>
      </c>
      <c r="G47" s="712" t="str">
        <f>IF($B$47&lt;&gt;"",VLOOKUP($B$47,MASTER_PROPERTY_TABLE,MATCH("H2A Usage Input Unit/ kg H2",key_MPTable,0),FALSE),"")</f>
        <v/>
      </c>
      <c r="H47" s="712" t="str">
        <f>IF($B$47="","",IF(VLOOKUP($B$47,MASTER_PROPERTY_TABLE,MATCH("Unit System",key_MPTable,0),FALSE)="English",mmBTU_to_GJ,1))</f>
        <v/>
      </c>
      <c r="I47" s="713" t="str">
        <f>+'Cash Flow Analysis'!$K$233</f>
        <v/>
      </c>
    </row>
    <row r="48" spans="2:9" x14ac:dyDescent="0.25">
      <c r="B48" s="661" t="str">
        <f>IF('Cash Flow Analysis'!$L$131=0,"",'Cash Flow Analysis'!$L$131)</f>
        <v/>
      </c>
      <c r="C48" s="711" t="str">
        <f>IF($B$48="","",$E$48*$F$48*$H$48)</f>
        <v/>
      </c>
      <c r="D48" s="711" t="str">
        <f>IF($B48="","",$C48*1000*MJ_to_kWh)</f>
        <v/>
      </c>
      <c r="E48" s="665" t="str">
        <f>IF($B48&lt;&gt;"",VLOOKUP($B48,MASTER_PROPERTY_TABLE,MATCH("H2A LHV (GJ/ H2A usage input unit)",key_MPTable,0),FALSE),"")</f>
        <v/>
      </c>
      <c r="F48" s="665" t="str">
        <f>IF('Cash Flow Analysis'!$L$133="","",'Cash Flow Analysis'!$L$133)</f>
        <v/>
      </c>
      <c r="G48" s="712" t="str">
        <f>IF($B$48&lt;&gt;"",VLOOKUP($B$48,MASTER_PROPERTY_TABLE,MATCH("H2A Usage Input Unit/ kg H2",key_MPTable,0),FALSE),"")</f>
        <v/>
      </c>
      <c r="H48" s="712" t="str">
        <f>IF($B$48="","",IF(VLOOKUP($B$48,MASTER_PROPERTY_TABLE,MATCH("Unit System",key_MPTable,0),FALSE)="English",mmBTU_to_GJ,1))</f>
        <v/>
      </c>
      <c r="I48" s="713" t="str">
        <f>+'Cash Flow Analysis'!$L$233</f>
        <v/>
      </c>
    </row>
    <row r="49" spans="2:9" x14ac:dyDescent="0.25">
      <c r="B49" s="661" t="str">
        <f>IF('Cash Flow Analysis'!$M$131=0,"",'Cash Flow Analysis'!$M$131)</f>
        <v/>
      </c>
      <c r="C49" s="711" t="str">
        <f>IF($B$49="","",$E$49*$F$49*$H$49)</f>
        <v/>
      </c>
      <c r="D49" s="711" t="str">
        <f>IF($B49="","",$C49*1000*MJ_to_kWh)</f>
        <v/>
      </c>
      <c r="E49" s="665" t="str">
        <f>IF($B49&lt;&gt;"",VLOOKUP($B49,MASTER_PROPERTY_TABLE,MATCH("H2A LHV (GJ/ H2A usage input unit)",key_MPTable,0),FALSE),"")</f>
        <v/>
      </c>
      <c r="F49" s="665" t="str">
        <f>IF('Cash Flow Analysis'!$M$133="","",'Cash Flow Analysis'!$M$133)</f>
        <v/>
      </c>
      <c r="G49" s="712" t="str">
        <f>IF($B$49&lt;&gt;"",VLOOKUP($B$49,MASTER_PROPERTY_TABLE,MATCH("H2A Usage Input Unit/ kg H2",key_MPTable,0),FALSE),"")</f>
        <v/>
      </c>
      <c r="H49" s="712" t="str">
        <f>IF($B$49="","",IF(VLOOKUP($B$49,MASTER_PROPERTY_TABLE,MATCH("Unit System",key_MPTable,0),FALSE)="English",mmBTU_to_GJ,1))</f>
        <v/>
      </c>
      <c r="I49" s="713" t="str">
        <f>+'Cash Flow Analysis'!$M$233</f>
        <v/>
      </c>
    </row>
    <row r="50" spans="2:9" ht="13" thickBot="1" x14ac:dyDescent="0.3">
      <c r="B50" s="662" t="str">
        <f>IF('Cash Flow Analysis'!$N$131=0,"",'Cash Flow Analysis'!$N$131)</f>
        <v/>
      </c>
      <c r="C50" s="720" t="str">
        <f>IF($B$50="","",$E$50*$F$50*$H$50)</f>
        <v/>
      </c>
      <c r="D50" s="720" t="str">
        <f>IF($B50="","",$C50*1000*MJ_to_kWh)</f>
        <v/>
      </c>
      <c r="E50" s="676" t="str">
        <f>IF($B50&lt;&gt;"",VLOOKUP($B50,MASTER_PROPERTY_TABLE,MATCH("H2A LHV (GJ/ H2A usage input unit)",key_MPTable,0),FALSE),"")</f>
        <v/>
      </c>
      <c r="F50" s="676" t="str">
        <f>IF('Cash Flow Analysis'!$N$133="","",'Cash Flow Analysis'!$N$133)</f>
        <v/>
      </c>
      <c r="G50" s="721" t="str">
        <f>IF($B$50&lt;&gt;"",VLOOKUP($B$50,MASTER_PROPERTY_TABLE,MATCH("H2A Usage Input Unit/ kg H2",key_MPTable,0),FALSE),"")</f>
        <v/>
      </c>
      <c r="H50" s="721" t="str">
        <f>IF($B$50="","",IF(VLOOKUP($B$50,MASTER_PROPERTY_TABLE,MATCH("Unit System",key_MPTable,0),FALSE)="English",mmBTU_to_GJ,1))</f>
        <v/>
      </c>
      <c r="I50" s="722" t="str">
        <f>+'Cash Flow Analysis'!$N$233</f>
        <v/>
      </c>
    </row>
    <row r="51" spans="2:9" ht="13.5" thickTop="1" thickBot="1" x14ac:dyDescent="0.3"/>
    <row r="52" spans="2:9" ht="16" thickBot="1" x14ac:dyDescent="0.4">
      <c r="B52" s="1671" t="s">
        <v>394</v>
      </c>
      <c r="C52" s="1672"/>
      <c r="D52" s="312">
        <f ca="1">(C56+C57)/(C53+C54+C55)</f>
        <v>0.61495620163270392</v>
      </c>
      <c r="F52" s="28"/>
    </row>
    <row r="53" spans="2:9" ht="25" x14ac:dyDescent="0.25">
      <c r="B53" s="570" t="s">
        <v>597</v>
      </c>
      <c r="C53" s="571">
        <f ca="1">SUM(C32:C35)</f>
        <v>0.19547999999999996</v>
      </c>
      <c r="D53" s="572"/>
    </row>
    <row r="54" spans="2:9" x14ac:dyDescent="0.25">
      <c r="B54" s="573" t="s">
        <v>598</v>
      </c>
      <c r="C54" s="574">
        <f>SUM(C37:C40)</f>
        <v>0</v>
      </c>
      <c r="D54" s="575"/>
    </row>
    <row r="55" spans="2:9" ht="25" x14ac:dyDescent="0.25">
      <c r="B55" s="573" t="s">
        <v>395</v>
      </c>
      <c r="C55" s="574">
        <f ca="1">IF(C42="",0,C42)</f>
        <v>0</v>
      </c>
      <c r="D55" s="575"/>
    </row>
    <row r="56" spans="2:9" x14ac:dyDescent="0.25">
      <c r="B56" s="573" t="s">
        <v>599</v>
      </c>
      <c r="C56" s="574">
        <f>C44</f>
        <v>0.12021163829516093</v>
      </c>
      <c r="D56" s="575"/>
    </row>
    <row r="57" spans="2:9" ht="25.5" thickBot="1" x14ac:dyDescent="0.3">
      <c r="B57" s="576" t="s">
        <v>600</v>
      </c>
      <c r="C57" s="577">
        <f>SUM(C47:C50)</f>
        <v>0</v>
      </c>
      <c r="D57" s="578"/>
    </row>
    <row r="58" spans="2:9" ht="13" thickBot="1" x14ac:dyDescent="0.3"/>
    <row r="59" spans="2:9" ht="16.5" thickTop="1" thickBot="1" x14ac:dyDescent="0.4">
      <c r="B59" s="1659" t="s">
        <v>396</v>
      </c>
      <c r="C59" s="1660"/>
      <c r="D59" s="612"/>
      <c r="E59" s="631"/>
    </row>
    <row r="60" spans="2:9" ht="13" x14ac:dyDescent="0.3">
      <c r="B60" s="615" t="s">
        <v>248</v>
      </c>
      <c r="C60" s="579" t="s">
        <v>397</v>
      </c>
      <c r="D60" s="579" t="s">
        <v>398</v>
      </c>
      <c r="E60" s="632" t="s">
        <v>399</v>
      </c>
    </row>
    <row r="61" spans="2:9" x14ac:dyDescent="0.25">
      <c r="B61" s="614" t="str">
        <f>B32</f>
        <v>Industrial Electricity</v>
      </c>
      <c r="C61" s="679">
        <f ca="1">IF($B61="","",$C32/1000000*VLOOKUP($B61,Tbl_Emissions,3,FALSE))</f>
        <v>0.3493227599999999</v>
      </c>
      <c r="D61" s="679">
        <f ca="1">IF($B61="","",$C32/1000000*VLOOKUP($B61,Tbl_Emissions,4,FALSE))</f>
        <v>0.26782931999999993</v>
      </c>
      <c r="E61" s="680">
        <f ca="1">IF($B61="","",$C32/1000000*VLOOKUP($B61,Tbl_Emissions,5,FALSE))</f>
        <v>4.127885999999999E-3</v>
      </c>
    </row>
    <row r="62" spans="2:9" x14ac:dyDescent="0.25">
      <c r="B62" s="614" t="str">
        <f>B33</f>
        <v/>
      </c>
      <c r="C62" s="679" t="str">
        <f>IF($B62="","",$C33/1000000*VLOOKUP($B62,Tbl_Emissions,3,FALSE))</f>
        <v/>
      </c>
      <c r="D62" s="679" t="str">
        <f>IF($B62="","",$C33/1000000*VLOOKUP($B62,Tbl_Emissions,4,FALSE))</f>
        <v/>
      </c>
      <c r="E62" s="680" t="str">
        <f>IF($B62="","",$C33/1000000*VLOOKUP($B62,Tbl_Emissions,5,FALSE))</f>
        <v/>
      </c>
    </row>
    <row r="63" spans="2:9" x14ac:dyDescent="0.25">
      <c r="B63" s="614" t="str">
        <f>B34</f>
        <v/>
      </c>
      <c r="C63" s="679" t="str">
        <f>IF($B63="","",$C34/1000000*VLOOKUP($B63,Tbl_Emissions,3,FALSE))</f>
        <v/>
      </c>
      <c r="D63" s="679" t="str">
        <f>IF($B63="","",$C34/1000000*VLOOKUP($B63,Tbl_Emissions,4,FALSE))</f>
        <v/>
      </c>
      <c r="E63" s="680" t="str">
        <f>IF($B63="","",$C34/1000000*VLOOKUP($B63,Tbl_Emissions,5,FALSE))</f>
        <v/>
      </c>
    </row>
    <row r="64" spans="2:9" x14ac:dyDescent="0.25">
      <c r="B64" s="614" t="str">
        <f>B35</f>
        <v/>
      </c>
      <c r="C64" s="679" t="str">
        <f>IF($B64="","",$C35/1000000*VLOOKUP($B64,Tbl_Emissions,3,FALSE))</f>
        <v/>
      </c>
      <c r="D64" s="679" t="str">
        <f>IF($B64="","",$C35/1000000*VLOOKUP($B64,Tbl_Emissions,4,FALSE))</f>
        <v/>
      </c>
      <c r="E64" s="680" t="str">
        <f>IF($B64="","",$C35/1000000*VLOOKUP($B64,Tbl_Emissions,5,FALSE))</f>
        <v/>
      </c>
    </row>
    <row r="65" spans="2:7" ht="13" x14ac:dyDescent="0.3">
      <c r="B65" s="615" t="s">
        <v>271</v>
      </c>
      <c r="C65" s="723"/>
      <c r="D65" s="723"/>
      <c r="E65" s="724"/>
    </row>
    <row r="66" spans="2:7" x14ac:dyDescent="0.25">
      <c r="B66" s="614" t="str">
        <f>B37</f>
        <v/>
      </c>
      <c r="C66" s="679" t="str">
        <f>IF($B66="","",$C37/1000000*VLOOKUP($B66,Tbl_Emissions,3,FALSE))</f>
        <v/>
      </c>
      <c r="D66" s="679" t="str">
        <f>IF($B66="","",$C37/1000000*VLOOKUP($B66,Tbl_Emissions,4,FALSE))</f>
        <v/>
      </c>
      <c r="E66" s="680" t="str">
        <f>IF($B66="","",$C37/1000000*VLOOKUP($B66,Tbl_Emissions,5,FALSE))</f>
        <v/>
      </c>
    </row>
    <row r="67" spans="2:7" x14ac:dyDescent="0.25">
      <c r="B67" s="614" t="str">
        <f>B38</f>
        <v/>
      </c>
      <c r="C67" s="679" t="str">
        <f>IF($B67="","",$C38/1000000*VLOOKUP($B67,Tbl_Emissions,3,FALSE))</f>
        <v/>
      </c>
      <c r="D67" s="679" t="str">
        <f>IF($B67="","",$C38/1000000*VLOOKUP($B67,Tbl_Emissions,4,FALSE))</f>
        <v/>
      </c>
      <c r="E67" s="680" t="str">
        <f>IF($B67="","",$C38/1000000*VLOOKUP($B67,Tbl_Emissions,5,FALSE))</f>
        <v/>
      </c>
    </row>
    <row r="68" spans="2:7" x14ac:dyDescent="0.25">
      <c r="B68" s="614" t="str">
        <f>B39</f>
        <v/>
      </c>
      <c r="C68" s="679" t="str">
        <f>IF($B68="","",$C39/1000000*VLOOKUP($B68,Tbl_Emissions,3,FALSE))</f>
        <v/>
      </c>
      <c r="D68" s="679" t="str">
        <f>IF($B68="","",$C39/1000000*VLOOKUP($B68,Tbl_Emissions,4,FALSE))</f>
        <v/>
      </c>
      <c r="E68" s="680" t="str">
        <f>IF($B68="","",$C39/1000000*VLOOKUP($B68,Tbl_Emissions,5,FALSE))</f>
        <v/>
      </c>
    </row>
    <row r="69" spans="2:7" x14ac:dyDescent="0.25">
      <c r="B69" s="614" t="str">
        <f>B40</f>
        <v/>
      </c>
      <c r="C69" s="679" t="str">
        <f>IF($B69="","",$C40/1000000*VLOOKUP($B69,Tbl_Emissions,3,FALSE))</f>
        <v/>
      </c>
      <c r="D69" s="679" t="str">
        <f>IF($B69="","",$C40/1000000*VLOOKUP($B69,Tbl_Emissions,4,FALSE))</f>
        <v/>
      </c>
      <c r="E69" s="680" t="str">
        <f>IF($B69="","",$C40/1000000*VLOOKUP($B69,Tbl_Emissions,5,FALSE))</f>
        <v/>
      </c>
    </row>
    <row r="70" spans="2:7" ht="13" x14ac:dyDescent="0.3">
      <c r="B70" s="725" t="s">
        <v>400</v>
      </c>
      <c r="C70" s="723"/>
      <c r="D70" s="723"/>
      <c r="E70" s="724"/>
    </row>
    <row r="71" spans="2:7" ht="13" thickBot="1" x14ac:dyDescent="0.3">
      <c r="B71" s="616" t="str">
        <f ca="1">B42</f>
        <v/>
      </c>
      <c r="C71" s="681" t="str">
        <f ca="1">IF($B71="","",$C42/1000000*VLOOKUP($B71,Tbl_Emissions,3,FALSE))</f>
        <v/>
      </c>
      <c r="D71" s="681" t="str">
        <f ca="1">IF($B71="","",$C42/1000000*VLOOKUP($B71,Tbl_Emissions,4,FALSE))</f>
        <v/>
      </c>
      <c r="E71" s="682" t="str">
        <f ca="1">IF($B71="","",$C42/1000000*VLOOKUP($B71,Tbl_Emissions,5,FALSE))</f>
        <v/>
      </c>
    </row>
    <row r="72" spans="2:7" ht="13" thickTop="1" x14ac:dyDescent="0.25"/>
    <row r="74" spans="2:7" ht="22" x14ac:dyDescent="0.65">
      <c r="B74" s="316" t="s">
        <v>401</v>
      </c>
    </row>
    <row r="75" spans="2:7" ht="13" thickBot="1" x14ac:dyDescent="0.3"/>
    <row r="76" spans="2:7" ht="16.5" thickTop="1" thickBot="1" x14ac:dyDescent="0.4">
      <c r="B76" s="685" t="s">
        <v>402</v>
      </c>
      <c r="C76" s="686"/>
      <c r="D76" s="687" t="s">
        <v>403</v>
      </c>
      <c r="E76" s="688" t="s">
        <v>404</v>
      </c>
      <c r="F76" s="688" t="s">
        <v>405</v>
      </c>
      <c r="G76" s="689" t="s">
        <v>406</v>
      </c>
    </row>
    <row r="77" spans="2:7" x14ac:dyDescent="0.25">
      <c r="B77" s="1663" t="s">
        <v>539</v>
      </c>
      <c r="C77" s="1664"/>
      <c r="D77" s="691">
        <f ca="1">C121</f>
        <v>27.390874799999992</v>
      </c>
      <c r="E77" s="695">
        <f ca="1">D121</f>
        <v>4.1552618879999989E-2</v>
      </c>
      <c r="F77" s="695">
        <f ca="1">E121</f>
        <v>4.0069924800000001E-4</v>
      </c>
      <c r="G77" s="696">
        <f ca="1">F121</f>
        <v>28.549098647903993</v>
      </c>
    </row>
    <row r="78" spans="2:7" x14ac:dyDescent="0.25">
      <c r="B78" s="1661" t="s">
        <v>538</v>
      </c>
      <c r="C78" s="1662"/>
      <c r="D78" s="692">
        <f ca="1">D89</f>
        <v>0</v>
      </c>
      <c r="E78" s="697">
        <f ca="1">E89</f>
        <v>0</v>
      </c>
      <c r="F78" s="697">
        <f ca="1">F89</f>
        <v>0</v>
      </c>
      <c r="G78" s="698">
        <f ca="1">G89</f>
        <v>0</v>
      </c>
    </row>
    <row r="79" spans="2:7" x14ac:dyDescent="0.25">
      <c r="B79" s="1661"/>
      <c r="C79" s="1662"/>
      <c r="D79" s="693"/>
      <c r="E79" s="524"/>
      <c r="F79" s="524"/>
      <c r="G79" s="699"/>
    </row>
    <row r="80" spans="2:7" ht="13" thickBot="1" x14ac:dyDescent="0.3">
      <c r="B80" s="1665" t="s">
        <v>540</v>
      </c>
      <c r="C80" s="1666"/>
      <c r="D80" s="694">
        <f ca="1">SUM(D77:D79)</f>
        <v>27.390874799999992</v>
      </c>
      <c r="E80" s="700">
        <f ca="1">SUM(E77:E79)</f>
        <v>4.1552618879999989E-2</v>
      </c>
      <c r="F80" s="700">
        <f ca="1">SUM(F77:F79)</f>
        <v>4.0069924800000001E-4</v>
      </c>
      <c r="G80" s="701">
        <f ca="1">SUM(G77:G79)</f>
        <v>28.549098647903993</v>
      </c>
    </row>
    <row r="81" spans="2:7" ht="13.5" thickTop="1" thickBot="1" x14ac:dyDescent="0.3"/>
    <row r="82" spans="2:7" ht="16.5" thickTop="1" thickBot="1" x14ac:dyDescent="0.4">
      <c r="B82" s="427" t="s">
        <v>535</v>
      </c>
      <c r="C82" s="428"/>
      <c r="D82" s="649" t="s">
        <v>403</v>
      </c>
      <c r="E82" s="650" t="s">
        <v>404</v>
      </c>
      <c r="F82" s="650" t="s">
        <v>405</v>
      </c>
      <c r="G82" s="651" t="s">
        <v>406</v>
      </c>
    </row>
    <row r="83" spans="2:7" x14ac:dyDescent="0.25">
      <c r="B83" s="1663" t="s">
        <v>235</v>
      </c>
      <c r="C83" s="1664"/>
      <c r="D83" s="652">
        <f ca="1">SUM(C95:C105)</f>
        <v>0</v>
      </c>
      <c r="E83" s="652">
        <f ca="1">SUM(D95:D105)</f>
        <v>0</v>
      </c>
      <c r="F83" s="652">
        <f ca="1">SUM(E95:E105)</f>
        <v>0</v>
      </c>
      <c r="G83" s="653">
        <f ca="1">SUM(F95:F105)</f>
        <v>0</v>
      </c>
    </row>
    <row r="84" spans="2:7" x14ac:dyDescent="0.25">
      <c r="B84" s="1661" t="s">
        <v>236</v>
      </c>
      <c r="C84" s="1662"/>
      <c r="D84" s="654">
        <f ca="1">ROUND(D83*output_kgyear/1000,-2)</f>
        <v>0</v>
      </c>
      <c r="E84" s="654">
        <f ca="1">ROUND(E83*output_kgyear/1000,-2)</f>
        <v>0</v>
      </c>
      <c r="F84" s="654">
        <f ca="1">ROUND(F83*output_kgyear/1000,-2)</f>
        <v>0</v>
      </c>
      <c r="G84" s="655">
        <f ca="1">ROUND(G83*output_kgyear/1000,-2)</f>
        <v>0</v>
      </c>
    </row>
    <row r="85" spans="2:7" x14ac:dyDescent="0.25">
      <c r="B85" s="1661" t="s">
        <v>237</v>
      </c>
      <c r="C85" s="1662"/>
      <c r="D85" s="656">
        <f ca="1">SUM(C95:C98)</f>
        <v>0</v>
      </c>
      <c r="E85" s="656">
        <f ca="1">SUM(D95:D98)</f>
        <v>0</v>
      </c>
      <c r="F85" s="656">
        <f ca="1">SUM(E95:E98)</f>
        <v>0</v>
      </c>
      <c r="G85" s="657">
        <f ca="1">SUM(F95:F98)</f>
        <v>0</v>
      </c>
    </row>
    <row r="86" spans="2:7" x14ac:dyDescent="0.25">
      <c r="B86" s="1661" t="s">
        <v>238</v>
      </c>
      <c r="C86" s="1662"/>
      <c r="D86" s="654">
        <f ca="1">ROUND(D85*output_kgyear/1000,-2)</f>
        <v>0</v>
      </c>
      <c r="E86" s="654">
        <f ca="1">ROUND(E85*output_kgyear/1000,-2)</f>
        <v>0</v>
      </c>
      <c r="F86" s="654">
        <f ca="1">ROUND(F85*output_kgyear/1000,-2)</f>
        <v>0</v>
      </c>
      <c r="G86" s="655">
        <f ca="1">ROUND(G85*output_kgyear/1000,-2)</f>
        <v>0</v>
      </c>
    </row>
    <row r="87" spans="2:7" x14ac:dyDescent="0.25">
      <c r="B87" s="773" t="s">
        <v>240</v>
      </c>
      <c r="C87" s="774"/>
      <c r="D87" s="823">
        <f ca="1">IF(CO2_CashFlow_eUse&gt;0,D85*CO2_Capture_Efficiency,0)</f>
        <v>0</v>
      </c>
      <c r="E87" s="654"/>
      <c r="F87" s="654"/>
      <c r="G87" s="824"/>
    </row>
    <row r="88" spans="2:7" x14ac:dyDescent="0.25">
      <c r="B88" s="1661" t="s">
        <v>241</v>
      </c>
      <c r="C88" s="1662"/>
      <c r="D88" s="654">
        <f ca="1">ROUND(D87*output_kgyear/1000,-2)</f>
        <v>0</v>
      </c>
      <c r="E88" s="654"/>
      <c r="F88" s="654"/>
      <c r="G88" s="655"/>
    </row>
    <row r="89" spans="2:7" x14ac:dyDescent="0.25">
      <c r="B89" s="1661" t="s">
        <v>239</v>
      </c>
      <c r="C89" s="1662"/>
      <c r="D89" s="823">
        <f ca="1">D83-D87</f>
        <v>0</v>
      </c>
      <c r="E89" s="654">
        <f ca="1">E83-E87</f>
        <v>0</v>
      </c>
      <c r="F89" s="654">
        <f ca="1">F83-F87</f>
        <v>0</v>
      </c>
      <c r="G89" s="824">
        <f ca="1">D89*GHG_CO2_factor + E89*GHG_CH4_factor + F89*GHG_N2O_factor</f>
        <v>0</v>
      </c>
    </row>
    <row r="90" spans="2:7" ht="13" thickBot="1" x14ac:dyDescent="0.3">
      <c r="B90" s="1665" t="s">
        <v>1058</v>
      </c>
      <c r="C90" s="1666"/>
      <c r="D90" s="658">
        <f ca="1">ROUND(D89*output_kgyear/1000,-2)</f>
        <v>0</v>
      </c>
      <c r="E90" s="658">
        <f ca="1">ROUND(E89*output_kgyear/1000,-2)</f>
        <v>0</v>
      </c>
      <c r="F90" s="658">
        <f ca="1">ROUND(F89*output_kgyear/1000,-2)</f>
        <v>0</v>
      </c>
      <c r="G90" s="659">
        <f ca="1">ROUND(G89*output_kgyear/1000,-2)</f>
        <v>0</v>
      </c>
    </row>
    <row r="91" spans="2:7" ht="13" thickTop="1" x14ac:dyDescent="0.25">
      <c r="B91" t="s">
        <v>242</v>
      </c>
    </row>
    <row r="92" spans="2:7" ht="13" thickBot="1" x14ac:dyDescent="0.3"/>
    <row r="93" spans="2:7" ht="16.5" thickTop="1" thickBot="1" x14ac:dyDescent="0.4">
      <c r="B93" s="1659" t="s">
        <v>536</v>
      </c>
      <c r="C93" s="1660"/>
      <c r="D93" s="612"/>
      <c r="E93" s="612"/>
      <c r="F93" s="631"/>
    </row>
    <row r="94" spans="2:7" ht="13" x14ac:dyDescent="0.3">
      <c r="B94" s="660" t="s">
        <v>248</v>
      </c>
      <c r="C94" s="663" t="s">
        <v>403</v>
      </c>
      <c r="D94" s="663" t="s">
        <v>404</v>
      </c>
      <c r="E94" s="663" t="s">
        <v>405</v>
      </c>
      <c r="F94" s="664" t="s">
        <v>406</v>
      </c>
    </row>
    <row r="95" spans="2:7" x14ac:dyDescent="0.25">
      <c r="B95" s="661" t="str">
        <f>B32</f>
        <v>Industrial Electricity</v>
      </c>
      <c r="C95" s="665">
        <f ca="1">IF($B95="","",VLOOKUP($B95,MASTER_PROPERTY_TABLE,MATCH("CO2 Emissions Factor (kg CO2 produced/GJ feed)",key_MPTable,0),FALSE)*$E32*$F32)</f>
        <v>0</v>
      </c>
      <c r="D95" s="670">
        <f ca="1">IF($B95="","",VLOOKUP($B95,MASTER_PROPERTY_TABLE,MATCH("CH4 Emissions Factor (kg CH4 produced/GJ or mmBtu feed)",key_MPTable,0),FALSE)*$E32*$F32)</f>
        <v>0</v>
      </c>
      <c r="E95" s="670">
        <f ca="1">IF($B95="","",VLOOKUP($B95,MASTER_PROPERTY_TABLE,MATCH("N2O Emissions Factor (kg N2O produced/GJ or mmBtu feed)",key_MPTable,0),FALSE)*$E32*$F32)</f>
        <v>0</v>
      </c>
      <c r="F95" s="673">
        <f ca="1">IF($B95="","",$C95*GHG_CO2_factor+$D95*GHG_CH4_factor+$E95*GHG_N2O_factor)</f>
        <v>0</v>
      </c>
    </row>
    <row r="96" spans="2:7" x14ac:dyDescent="0.25">
      <c r="B96" s="661" t="str">
        <f>B33</f>
        <v/>
      </c>
      <c r="C96" s="665" t="str">
        <f>IF($B96="","",VLOOKUP($B96,MASTER_PROPERTY_TABLE,MATCH("CO2 Emissions Factor (kg CO2 produced/GJ feed)",key_MPTable,0),FALSE)*$E33*$F33)</f>
        <v/>
      </c>
      <c r="D96" s="670" t="str">
        <f>IF($B96="","",VLOOKUP($B96,MASTER_PROPERTY_TABLE,MATCH("CH4 Emissions Factor (kg CH4 produced/GJ or mmBtu feed)",key_MPTable,0),FALSE)*$E33*$F33)</f>
        <v/>
      </c>
      <c r="E96" s="670" t="str">
        <f>IF($B96="","",VLOOKUP($B96,MASTER_PROPERTY_TABLE,MATCH("N2O Emissions Factor (kg N2O produced/GJ or mmBtu feed)",key_MPTable,0),FALSE)*$E33*$F33)</f>
        <v/>
      </c>
      <c r="F96" s="673" t="str">
        <f>IF($B96="","",$C96*GHG_CO2_factor+$D96*GHG_CH4_factor+$E96*GHG_N2O_factor)</f>
        <v/>
      </c>
    </row>
    <row r="97" spans="2:6" x14ac:dyDescent="0.25">
      <c r="B97" s="661" t="str">
        <f>B34</f>
        <v/>
      </c>
      <c r="C97" s="665" t="str">
        <f>IF($B97="","",VLOOKUP($B97,MASTER_PROPERTY_TABLE,MATCH("CO2 Emissions Factor (kg CO2 produced/GJ feed)",key_MPTable,0),FALSE)*$E34*$F34)</f>
        <v/>
      </c>
      <c r="D97" s="670" t="str">
        <f>IF($B97="","",VLOOKUP($B97,MASTER_PROPERTY_TABLE,MATCH("CH4 Emissions Factor (kg CH4 produced/GJ or mmBtu feed)",key_MPTable,0),FALSE)*$E34*$F34)</f>
        <v/>
      </c>
      <c r="E97" s="670" t="str">
        <f>IF($B97="","",VLOOKUP($B97,MASTER_PROPERTY_TABLE,MATCH("N2O Emissions Factor (kg N2O produced/GJ or mmBtu feed)",key_MPTable,0),FALSE)*$E34*$F34)</f>
        <v/>
      </c>
      <c r="F97" s="673" t="str">
        <f>IF($B97="","",$C97*GHG_CO2_factor+$D97*GHG_CH4_factor+$E97*GHG_N2O_factor)</f>
        <v/>
      </c>
    </row>
    <row r="98" spans="2:6" x14ac:dyDescent="0.25">
      <c r="B98" s="661" t="str">
        <f>B35</f>
        <v/>
      </c>
      <c r="C98" s="665" t="str">
        <f>IF($B98="","",VLOOKUP($B98,MASTER_PROPERTY_TABLE,MATCH("CO2 Emissions Factor (kg CO2 produced/GJ feed)",key_MPTable,0),FALSE)*$E35*$F35)</f>
        <v/>
      </c>
      <c r="D98" s="670" t="str">
        <f>IF($B98="","",VLOOKUP($B98,MASTER_PROPERTY_TABLE,MATCH("CH4 Emissions Factor (kg CH4 produced/GJ or mmBtu feed)",key_MPTable,0),FALSE)*$E35*$F35)</f>
        <v/>
      </c>
      <c r="E98" s="670" t="str">
        <f>IF($B98="","",VLOOKUP($B98,MASTER_PROPERTY_TABLE,MATCH("N2O Emissions Factor (kg N2O produced/GJ or mmBtu feed)",key_MPTable,0),FALSE)*$E35*$F35)</f>
        <v/>
      </c>
      <c r="F98" s="673" t="str">
        <f>IF($B98="","",$C98*GHG_CO2_factor+$D98*GHG_CH4_factor+$E98*GHG_N2O_factor)</f>
        <v/>
      </c>
    </row>
    <row r="99" spans="2:6" ht="13" x14ac:dyDescent="0.3">
      <c r="B99" s="726" t="s">
        <v>271</v>
      </c>
      <c r="C99" s="727"/>
      <c r="D99" s="728"/>
      <c r="E99" s="728"/>
      <c r="F99" s="729"/>
    </row>
    <row r="100" spans="2:6" x14ac:dyDescent="0.25">
      <c r="B100" s="661" t="str">
        <f>B37</f>
        <v/>
      </c>
      <c r="C100" s="665" t="str">
        <f>IF($B100="","",VLOOKUP($B100,MASTER_PROPERTY_TABLE,MATCH("CO2 Emissions Factor (kg CO2 produced/GJ feed)",key_MPTable,0),FALSE)*$E37*$F37)</f>
        <v/>
      </c>
      <c r="D100" s="670" t="str">
        <f>IF($B100="","",VLOOKUP($B100,MASTER_PROPERTY_TABLE,MATCH("CH4 Emissions Factor (kg CH4 produced/GJ or mmBtu feed)",key_MPTable,0),FALSE)*$E37*$F37)</f>
        <v/>
      </c>
      <c r="E100" s="670" t="str">
        <f>IF($B100="","",VLOOKUP($B100,MASTER_PROPERTY_TABLE,MATCH("N2O Emissions Factor (kg N2O produced/GJ or mmBtu feed)",key_MPTable,0),FALSE)*$E37*$F37)</f>
        <v/>
      </c>
      <c r="F100" s="673" t="str">
        <f>IF($B100="","",$C100*GHG_CO2_factor+$D100*GHG_CH4_factor+$E100*GHG_N2O_factor)</f>
        <v/>
      </c>
    </row>
    <row r="101" spans="2:6" x14ac:dyDescent="0.25">
      <c r="B101" s="661" t="str">
        <f>B38</f>
        <v/>
      </c>
      <c r="C101" s="665" t="str">
        <f>IF($B101="","",VLOOKUP($B101,MASTER_PROPERTY_TABLE,MATCH("CO2 Emissions Factor (kg CO2 produced/GJ feed)",key_MPTable,0),FALSE)*$E38*$F38)</f>
        <v/>
      </c>
      <c r="D101" s="670" t="str">
        <f>IF($B101="","",VLOOKUP($B101,MASTER_PROPERTY_TABLE,MATCH("CH4 Emissions Factor (kg CH4 produced/GJ or mmBtu feed)",key_MPTable,0),FALSE)*$E38*$F38)</f>
        <v/>
      </c>
      <c r="E101" s="670" t="str">
        <f>IF($B101="","",VLOOKUP($B101,MASTER_PROPERTY_TABLE,MATCH("N2O Emissions Factor (kg N2O produced/GJ or mmBtu feed)",key_MPTable,0),FALSE)*$E38*$F38)</f>
        <v/>
      </c>
      <c r="F101" s="673" t="str">
        <f>IF($B101="","",$C101*GHG_CO2_factor+$D101*GHG_CH4_factor+$E101*GHG_N2O_factor)</f>
        <v/>
      </c>
    </row>
    <row r="102" spans="2:6" x14ac:dyDescent="0.25">
      <c r="B102" s="661" t="str">
        <f>B39</f>
        <v/>
      </c>
      <c r="C102" s="665" t="str">
        <f>IF($B102="","",VLOOKUP($B102,MASTER_PROPERTY_TABLE,MATCH("CO2 Emissions Factor (kg CO2 produced/GJ feed)",key_MPTable,0),FALSE)*$E39*$F39)</f>
        <v/>
      </c>
      <c r="D102" s="670" t="str">
        <f>IF($B102="","",VLOOKUP($B102,MASTER_PROPERTY_TABLE,MATCH("CH4 Emissions Factor (kg CH4 produced/GJ or mmBtu feed)",key_MPTable,0),FALSE)*$E39*$F39)</f>
        <v/>
      </c>
      <c r="E102" s="670" t="str">
        <f>IF($B102="","",VLOOKUP($B102,MASTER_PROPERTY_TABLE,MATCH("N2O Emissions Factor (kg N2O produced/GJ or mmBtu feed)",key_MPTable,0),FALSE)*$E39*$F39)</f>
        <v/>
      </c>
      <c r="F102" s="673" t="str">
        <f>IF($B102="","",$C102*GHG_CO2_factor+$D102*GHG_CH4_factor+$E102*GHG_N2O_factor)</f>
        <v/>
      </c>
    </row>
    <row r="103" spans="2:6" x14ac:dyDescent="0.25">
      <c r="B103" s="661" t="str">
        <f>B40</f>
        <v/>
      </c>
      <c r="C103" s="665" t="str">
        <f>IF($B103="","",VLOOKUP($B103,MASTER_PROPERTY_TABLE,MATCH("CO2 Emissions Factor (kg CO2 produced/GJ feed)",key_MPTable,0),FALSE)*$E40*$F40)</f>
        <v/>
      </c>
      <c r="D103" s="670" t="str">
        <f>IF($B103="","",VLOOKUP($B103,MASTER_PROPERTY_TABLE,MATCH("CH4 Emissions Factor (kg CH4 produced/GJ or mmBtu feed)",key_MPTable,0),FALSE)*$E40*$F40)</f>
        <v/>
      </c>
      <c r="E103" s="670" t="str">
        <f>IF($B103="","",VLOOKUP($B103,MASTER_PROPERTY_TABLE,MATCH("N2O Emissions Factor (kg N2O produced/GJ or mmBtu feed)",key_MPTable,0),FALSE)*$E40*$F40)</f>
        <v/>
      </c>
      <c r="F103" s="673" t="str">
        <f>IF($B103="","",$C103*GHG_CO2_factor+$D103*GHG_CH4_factor+$E103*GHG_N2O_factor)</f>
        <v/>
      </c>
    </row>
    <row r="104" spans="2:6" ht="13" x14ac:dyDescent="0.3">
      <c r="B104" s="726" t="s">
        <v>400</v>
      </c>
      <c r="C104" s="727"/>
      <c r="D104" s="728"/>
      <c r="E104" s="728"/>
      <c r="F104" s="729"/>
    </row>
    <row r="105" spans="2:6" ht="13" thickBot="1" x14ac:dyDescent="0.3">
      <c r="B105" s="662" t="str">
        <f ca="1">B42</f>
        <v/>
      </c>
      <c r="C105" s="676" t="str">
        <f ca="1">IF($B105="","",VLOOKUP($B105,MASTER_PROPERTY_TABLE,MATCH("CO2 Emissions Factor (kg CO2 produced/GJ feed)",key_MPTable,0),FALSE)*$E42*$F42)</f>
        <v/>
      </c>
      <c r="D105" s="677" t="str">
        <f ca="1">IF($B105="","",VLOOKUP($B105,MASTER_PROPERTY_TABLE,MATCH("CH4 Emissions Factor (kg CH4 produced/GJ or mmBtu feed)",key_MPTable,0),FALSE)*$E42*$F42)</f>
        <v/>
      </c>
      <c r="E105" s="677" t="str">
        <f ca="1">IF($B105="","",VLOOKUP($B105,MASTER_PROPERTY_TABLE,MATCH("N2O Emissions Factor (kg N2O produced/GJ or mmBtu feed)",key_MPTable,0),FALSE)*$E42*$F42)</f>
        <v/>
      </c>
      <c r="F105" s="678" t="str">
        <f ca="1">IF($B105="","",$C105*GHG_CO2_factor+$D105*GHG_CH4_factor+$E105*GHG_N2O_factor)</f>
        <v/>
      </c>
    </row>
    <row r="106" spans="2:6" ht="13" thickTop="1" x14ac:dyDescent="0.25"/>
    <row r="107" spans="2:6" ht="13" thickBot="1" x14ac:dyDescent="0.3"/>
    <row r="108" spans="2:6" ht="16.5" thickTop="1" thickBot="1" x14ac:dyDescent="0.4">
      <c r="B108" s="1659" t="s">
        <v>1343</v>
      </c>
      <c r="C108" s="1660"/>
      <c r="D108" s="612"/>
      <c r="E108" s="612"/>
      <c r="F108" s="631"/>
    </row>
    <row r="109" spans="2:6" ht="13" x14ac:dyDescent="0.3">
      <c r="B109" s="660" t="s">
        <v>248</v>
      </c>
      <c r="C109" s="663" t="s">
        <v>403</v>
      </c>
      <c r="D109" s="663" t="s">
        <v>404</v>
      </c>
      <c r="E109" s="663" t="s">
        <v>405</v>
      </c>
      <c r="F109" s="664" t="s">
        <v>406</v>
      </c>
    </row>
    <row r="110" spans="2:6" x14ac:dyDescent="0.25">
      <c r="B110" s="661" t="str">
        <f>B32</f>
        <v>Industrial Electricity</v>
      </c>
      <c r="C110" s="665">
        <f ca="1">IF($B110="","",$C32*VLOOKUP($B110,Tbl_Emissions,6,FALSE))</f>
        <v>27.390874799999992</v>
      </c>
      <c r="D110" s="670">
        <f ca="1">IF($B110="","",$C32*VLOOKUP($B110,Tbl_Emissions,7,FALSE))</f>
        <v>4.1552618879999989E-2</v>
      </c>
      <c r="E110" s="670">
        <f ca="1">IF($B110="","",$C32*VLOOKUP($B110,Tbl_Emissions,8,FALSE))</f>
        <v>4.0069924800000001E-4</v>
      </c>
      <c r="F110" s="673">
        <f ca="1">IF($B110="","",$C110*GHG_CO2_factor+$D110*GHG_CH4_factor+$E110*GHG_N2O_factor)</f>
        <v>28.549098647903993</v>
      </c>
    </row>
    <row r="111" spans="2:6" x14ac:dyDescent="0.25">
      <c r="B111" s="661" t="str">
        <f>B33</f>
        <v/>
      </c>
      <c r="C111" s="665" t="str">
        <f>IF($B111="","",$C33*VLOOKUP($B111,Tbl_Emissions,6,FALSE))</f>
        <v/>
      </c>
      <c r="D111" s="670" t="str">
        <f>IF($B111="","",$C33*VLOOKUP($B111,Tbl_Emissions,7,FALSE))</f>
        <v/>
      </c>
      <c r="E111" s="670" t="str">
        <f>IF($B111="","",$C33*VLOOKUP($B111,Tbl_Emissions,8,FALSE))</f>
        <v/>
      </c>
      <c r="F111" s="673" t="str">
        <f>IF($B111="","",$C111*GHG_CO2_factor+$D111*GHG_CH4_factor+$E111*GHG_N2O_factor)</f>
        <v/>
      </c>
    </row>
    <row r="112" spans="2:6" x14ac:dyDescent="0.25">
      <c r="B112" s="661" t="str">
        <f>B34</f>
        <v/>
      </c>
      <c r="C112" s="665" t="str">
        <f>IF($B112="","",$C34*VLOOKUP($B112,Tbl_Emissions,6,FALSE))</f>
        <v/>
      </c>
      <c r="D112" s="670" t="str">
        <f>IF($B112="","",$C34*VLOOKUP($B112,Tbl_Emissions,7,FALSE))</f>
        <v/>
      </c>
      <c r="E112" s="670" t="str">
        <f>IF($B112="","",$C34*VLOOKUP($B112,Tbl_Emissions,8,FALSE))</f>
        <v/>
      </c>
      <c r="F112" s="673" t="str">
        <f>IF($B112="","",$C112*GHG_CO2_factor+$D112*GHG_CH4_factor+$E112*GHG_N2O_factor)</f>
        <v/>
      </c>
    </row>
    <row r="113" spans="2:6" x14ac:dyDescent="0.25">
      <c r="B113" s="661" t="str">
        <f>B35</f>
        <v/>
      </c>
      <c r="C113" s="665" t="str">
        <f>IF($B113="","",$C35*VLOOKUP($B113,Tbl_Emissions,6,FALSE))</f>
        <v/>
      </c>
      <c r="D113" s="670" t="str">
        <f>IF($B113="","",$C35*VLOOKUP($B113,Tbl_Emissions,7,FALSE))</f>
        <v/>
      </c>
      <c r="E113" s="670" t="str">
        <f>IF($B113="","",$C35*VLOOKUP($B113,Tbl_Emissions,8,FALSE))</f>
        <v/>
      </c>
      <c r="F113" s="673" t="str">
        <f>IF($B113="","",$C113*GHG_CO2_factor+$D113*GHG_CH4_factor+$E113*GHG_N2O_factor)</f>
        <v/>
      </c>
    </row>
    <row r="114" spans="2:6" ht="13" x14ac:dyDescent="0.3">
      <c r="B114" s="726" t="s">
        <v>271</v>
      </c>
      <c r="C114" s="727"/>
      <c r="D114" s="728"/>
      <c r="E114" s="728"/>
      <c r="F114" s="729"/>
    </row>
    <row r="115" spans="2:6" x14ac:dyDescent="0.25">
      <c r="B115" s="661" t="str">
        <f>B37</f>
        <v/>
      </c>
      <c r="C115" s="665" t="str">
        <f>IF($B115="","",$C37*VLOOKUP($B115,Tbl_Emissions,6,FALSE))</f>
        <v/>
      </c>
      <c r="D115" s="670" t="str">
        <f>IF($B115="","",$C37*VLOOKUP($B115,Tbl_Emissions,7,FALSE))</f>
        <v/>
      </c>
      <c r="E115" s="670" t="str">
        <f>IF($B115="","",$C37*VLOOKUP($B115,Tbl_Emissions,8,FALSE))</f>
        <v/>
      </c>
      <c r="F115" s="673" t="str">
        <f>IF($B115="","",$C115*GHG_CO2_factor+$D115*GHG_CH4_factor+$E115*GHG_N2O_factor)</f>
        <v/>
      </c>
    </row>
    <row r="116" spans="2:6" x14ac:dyDescent="0.25">
      <c r="B116" s="661" t="str">
        <f>B38</f>
        <v/>
      </c>
      <c r="C116" s="665" t="str">
        <f>IF($B116="","",$C38*VLOOKUP($B116,Tbl_Emissions,6,FALSE))</f>
        <v/>
      </c>
      <c r="D116" s="670" t="str">
        <f>IF($B116="","",$C38*VLOOKUP($B116,Tbl_Emissions,7,FALSE))</f>
        <v/>
      </c>
      <c r="E116" s="670" t="str">
        <f>IF($B116="","",$C38*VLOOKUP($B116,Tbl_Emissions,8,FALSE))</f>
        <v/>
      </c>
      <c r="F116" s="673" t="str">
        <f>IF($B116="","",$C116*GHG_CO2_factor+$D116*GHG_CH4_factor+$E116*GHG_N2O_factor)</f>
        <v/>
      </c>
    </row>
    <row r="117" spans="2:6" x14ac:dyDescent="0.25">
      <c r="B117" s="661" t="str">
        <f>B39</f>
        <v/>
      </c>
      <c r="C117" s="665" t="str">
        <f>IF($B117="","",$C39*VLOOKUP($B117,Tbl_Emissions,6,FALSE))</f>
        <v/>
      </c>
      <c r="D117" s="670" t="str">
        <f>IF($B117="","",$C39*VLOOKUP($B117,Tbl_Emissions,7,FALSE))</f>
        <v/>
      </c>
      <c r="E117" s="670" t="str">
        <f>IF($B117="","",$C39*VLOOKUP($B117,Tbl_Emissions,8,FALSE))</f>
        <v/>
      </c>
      <c r="F117" s="673" t="str">
        <f>IF($B117="","",$C117*GHG_CO2_factor+$D117*GHG_CH4_factor+$E117*GHG_N2O_factor)</f>
        <v/>
      </c>
    </row>
    <row r="118" spans="2:6" x14ac:dyDescent="0.25">
      <c r="B118" s="661" t="str">
        <f>B40</f>
        <v/>
      </c>
      <c r="C118" s="665" t="str">
        <f>IF($B118="","",$C40*VLOOKUP($B118,Tbl_Emissions,6,FALSE))</f>
        <v/>
      </c>
      <c r="D118" s="670" t="str">
        <f>IF($B118="","",$C40*VLOOKUP($B118,Tbl_Emissions,7,FALSE))</f>
        <v/>
      </c>
      <c r="E118" s="670" t="str">
        <f>IF($B118="","",$C40*VLOOKUP($B118,Tbl_Emissions,8,FALSE))</f>
        <v/>
      </c>
      <c r="F118" s="673" t="str">
        <f>IF($B118="","",$C118*GHG_CO2_factor+$D118*GHG_CH4_factor+$E118*GHG_N2O_factor)</f>
        <v/>
      </c>
    </row>
    <row r="119" spans="2:6" ht="13" x14ac:dyDescent="0.3">
      <c r="B119" s="726" t="s">
        <v>400</v>
      </c>
      <c r="C119" s="727"/>
      <c r="D119" s="728"/>
      <c r="E119" s="728"/>
      <c r="F119" s="729"/>
    </row>
    <row r="120" spans="2:6" ht="13" thickBot="1" x14ac:dyDescent="0.3">
      <c r="B120" s="666" t="str">
        <f ca="1">B42</f>
        <v/>
      </c>
      <c r="C120" s="668" t="str">
        <f ca="1">IF($B120="","",$C42*VLOOKUP($B120,Tbl_Emissions,6,FALSE))</f>
        <v/>
      </c>
      <c r="D120" s="671" t="str">
        <f ca="1">IF($B120="","",$C42*VLOOKUP($B120,Tbl_Emissions,7,FALSE))</f>
        <v/>
      </c>
      <c r="E120" s="671" t="str">
        <f ca="1">IF($B120="","",$C42*VLOOKUP($B120,Tbl_Emissions,8,FALSE))</f>
        <v/>
      </c>
      <c r="F120" s="674" t="str">
        <f ca="1">IF($B120="","",$C120*GHG_CO2_factor+$D120*GHG_CH4_factor+$E120*GHG_N2O_factor)</f>
        <v/>
      </c>
    </row>
    <row r="121" spans="2:6" ht="13.5" thickBot="1" x14ac:dyDescent="0.35">
      <c r="B121" s="667" t="s">
        <v>541</v>
      </c>
      <c r="C121" s="669">
        <f ca="1">SUM(C110:C120)</f>
        <v>27.390874799999992</v>
      </c>
      <c r="D121" s="672">
        <f ca="1">SUM(D110:D120)</f>
        <v>4.1552618879999989E-2</v>
      </c>
      <c r="E121" s="672">
        <f ca="1">SUM(E110:E120)</f>
        <v>4.0069924800000001E-4</v>
      </c>
      <c r="F121" s="675">
        <f ca="1">SUM(F110:F120)</f>
        <v>28.549098647903993</v>
      </c>
    </row>
    <row r="122" spans="2:6" ht="13" thickTop="1" x14ac:dyDescent="0.25"/>
  </sheetData>
  <mergeCells count="18">
    <mergeCell ref="F17:H17"/>
    <mergeCell ref="F23:H23"/>
    <mergeCell ref="B30:C30"/>
    <mergeCell ref="B52:C52"/>
    <mergeCell ref="B93:C93"/>
    <mergeCell ref="B108:C108"/>
    <mergeCell ref="B86:C86"/>
    <mergeCell ref="B59:C59"/>
    <mergeCell ref="B77:C77"/>
    <mergeCell ref="B78:C78"/>
    <mergeCell ref="B79:C79"/>
    <mergeCell ref="B80:C80"/>
    <mergeCell ref="B90:C90"/>
    <mergeCell ref="B88:C88"/>
    <mergeCell ref="B83:C83"/>
    <mergeCell ref="B84:C84"/>
    <mergeCell ref="B85:C85"/>
    <mergeCell ref="B89:C89"/>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G36" sqref="G36"/>
    </sheetView>
  </sheetViews>
  <sheetFormatPr defaultRowHeight="12.5" x14ac:dyDescent="0.25"/>
  <cols>
    <col min="1" max="1" width="7.1796875" customWidth="1"/>
    <col min="2" max="2" width="35.54296875" customWidth="1"/>
    <col min="3" max="3" width="15.7265625" customWidth="1"/>
    <col min="4" max="6" width="20.7265625" customWidth="1"/>
    <col min="7" max="8" width="16.26953125" customWidth="1"/>
    <col min="9" max="9" width="16" bestFit="1" customWidth="1"/>
    <col min="10" max="15" width="12.26953125" customWidth="1"/>
    <col min="16" max="16" width="17.453125" bestFit="1" customWidth="1"/>
    <col min="17" max="22" width="12.26953125" customWidth="1"/>
    <col min="23" max="23" width="18.453125" customWidth="1"/>
    <col min="24" max="24" width="12.26953125" customWidth="1"/>
  </cols>
  <sheetData>
    <row r="1" spans="1:73" x14ac:dyDescent="0.25">
      <c r="A1" s="1093"/>
      <c r="B1" s="1093"/>
      <c r="C1" s="1094"/>
      <c r="D1" s="1093"/>
      <c r="E1" s="1093"/>
      <c r="F1" s="1094"/>
      <c r="G1" s="1094"/>
      <c r="H1" s="1093"/>
      <c r="I1" s="1093"/>
      <c r="J1" s="1093"/>
      <c r="K1" s="1093"/>
      <c r="L1" s="1093"/>
      <c r="M1" s="1093"/>
      <c r="N1" s="1093"/>
      <c r="O1" s="1093"/>
      <c r="P1" s="1093"/>
      <c r="Q1" s="1093"/>
      <c r="R1" s="1093"/>
      <c r="S1" s="1093"/>
      <c r="T1" s="1093"/>
      <c r="U1" s="1093"/>
      <c r="V1" s="1093"/>
      <c r="W1" s="1093"/>
      <c r="X1" s="1093"/>
      <c r="Y1" s="1093"/>
      <c r="Z1" s="1093"/>
      <c r="AA1" s="1093"/>
      <c r="AB1" s="1093"/>
      <c r="AC1" s="1093"/>
      <c r="AD1" s="1093"/>
      <c r="AE1" s="1093"/>
      <c r="AF1" s="1093"/>
      <c r="AG1" s="1093"/>
      <c r="AH1" s="1093"/>
      <c r="AI1" s="1093"/>
      <c r="AJ1" s="1093"/>
      <c r="AK1" s="1093"/>
      <c r="AL1" s="1093"/>
      <c r="AM1" s="1093"/>
      <c r="AN1" s="1093"/>
      <c r="AO1" s="1093"/>
      <c r="AP1" s="1093"/>
      <c r="AQ1" s="1093"/>
      <c r="AR1" s="1093"/>
      <c r="AS1" s="1093"/>
      <c r="AT1" s="1093"/>
      <c r="AU1" s="1093"/>
      <c r="AV1" s="1093"/>
      <c r="AW1" s="1093"/>
      <c r="AX1" s="1093"/>
      <c r="AY1" s="1093"/>
      <c r="AZ1" s="1093"/>
      <c r="BA1" s="1093"/>
      <c r="BB1" s="1093"/>
      <c r="BC1" s="1093"/>
      <c r="BD1" s="1093"/>
      <c r="BE1" s="1093"/>
      <c r="BF1" s="1093"/>
      <c r="BG1" s="1093"/>
      <c r="BH1" s="1093"/>
      <c r="BI1" s="1093"/>
      <c r="BJ1" s="1093"/>
      <c r="BK1" s="1093"/>
      <c r="BL1" s="1093"/>
      <c r="BM1" s="1093"/>
      <c r="BN1" s="1093"/>
      <c r="BO1" s="1093"/>
      <c r="BP1" s="1093"/>
      <c r="BQ1" s="1093"/>
      <c r="BR1" s="1093"/>
      <c r="BS1" s="1093"/>
      <c r="BT1" s="1093"/>
      <c r="BU1" s="1093"/>
    </row>
    <row r="2" spans="1:73" ht="26" x14ac:dyDescent="0.3">
      <c r="A2" s="1093"/>
      <c r="B2" s="1104" t="s">
        <v>1135</v>
      </c>
      <c r="C2" s="1104" t="s">
        <v>1134</v>
      </c>
      <c r="D2" s="1104" t="s">
        <v>1201</v>
      </c>
      <c r="E2" s="1104" t="s">
        <v>1202</v>
      </c>
      <c r="F2" s="1104" t="s">
        <v>1138</v>
      </c>
      <c r="G2" s="1104" t="s">
        <v>1139</v>
      </c>
      <c r="H2" s="1104" t="s">
        <v>1140</v>
      </c>
      <c r="I2" s="1104" t="s">
        <v>1141</v>
      </c>
      <c r="J2" s="1094"/>
      <c r="K2" s="1094"/>
      <c r="L2" s="1093"/>
      <c r="M2" s="1093"/>
      <c r="N2" s="1093"/>
      <c r="O2" s="1093"/>
      <c r="P2" s="1093"/>
      <c r="Q2" s="1093"/>
      <c r="R2" s="1093"/>
      <c r="S2" s="1093"/>
      <c r="T2" s="1093"/>
      <c r="U2" s="1093"/>
      <c r="V2" s="1093"/>
      <c r="W2" s="1093"/>
      <c r="X2" s="1093"/>
      <c r="Y2" s="1093"/>
      <c r="Z2" s="1093"/>
      <c r="AA2" s="1093"/>
      <c r="AB2" s="1093"/>
      <c r="AC2" s="1093"/>
      <c r="AD2" s="1093"/>
      <c r="AE2" s="1093"/>
      <c r="AF2" s="1093"/>
      <c r="AG2" s="1093"/>
      <c r="AH2" s="1093"/>
      <c r="AI2" s="1093"/>
      <c r="AJ2" s="1093"/>
      <c r="AK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93"/>
      <c r="BH2" s="1093"/>
      <c r="BI2" s="1093"/>
      <c r="BJ2" s="1093"/>
      <c r="BK2" s="1093"/>
      <c r="BL2" s="1093"/>
      <c r="BM2" s="1093"/>
      <c r="BN2" s="1093"/>
      <c r="BO2" s="1093"/>
      <c r="BP2" s="1093"/>
      <c r="BQ2" s="1093"/>
      <c r="BR2" s="1093"/>
      <c r="BS2" s="1093"/>
      <c r="BT2" s="1093"/>
      <c r="BU2" s="1093"/>
    </row>
    <row r="3" spans="1:73" x14ac:dyDescent="0.25">
      <c r="A3" s="1093"/>
      <c r="B3" s="1096" t="s">
        <v>1175</v>
      </c>
      <c r="C3" s="1100">
        <f ca="1">+cap_factor</f>
        <v>0.97</v>
      </c>
      <c r="D3" s="1099">
        <v>0.05</v>
      </c>
      <c r="E3" s="1099">
        <v>0.05</v>
      </c>
      <c r="F3" s="1109">
        <f>1+D3</f>
        <v>1.05</v>
      </c>
      <c r="G3" s="1106">
        <f>1-E3</f>
        <v>0.95</v>
      </c>
      <c r="H3" s="1098">
        <f t="shared" ref="H3:H9" ca="1" si="0">+C3*F3</f>
        <v>1.0185</v>
      </c>
      <c r="I3" s="1098">
        <f t="shared" ref="I3:I9" ca="1" si="1">+C3*G3</f>
        <v>0.92149999999999999</v>
      </c>
      <c r="J3" s="1447"/>
      <c r="K3" s="1447"/>
      <c r="L3" s="1093"/>
      <c r="M3" s="1093"/>
      <c r="N3" s="1093"/>
      <c r="O3" s="1093"/>
      <c r="P3" s="1093"/>
      <c r="Q3" s="1093"/>
      <c r="R3" s="1093"/>
      <c r="S3" s="1093"/>
      <c r="T3" s="1093"/>
      <c r="U3" s="1093"/>
      <c r="V3" s="1093"/>
      <c r="W3" s="1093"/>
      <c r="X3" s="1093"/>
      <c r="Y3" s="1093"/>
      <c r="Z3" s="1093"/>
      <c r="AA3" s="1093"/>
      <c r="AB3" s="1093"/>
      <c r="AC3" s="1093"/>
      <c r="AD3" s="1093"/>
      <c r="AE3" s="1093"/>
      <c r="AF3" s="1093"/>
      <c r="AG3" s="1093"/>
      <c r="AH3" s="1093"/>
      <c r="AI3" s="1093"/>
      <c r="AJ3" s="1093"/>
      <c r="AK3" s="1093"/>
      <c r="AL3" s="1093"/>
      <c r="AM3" s="1093"/>
      <c r="AN3" s="1093"/>
      <c r="AO3" s="1093"/>
      <c r="AP3" s="1093"/>
      <c r="AQ3" s="1093"/>
      <c r="AR3" s="1093"/>
      <c r="AS3" s="1093"/>
      <c r="AT3" s="1093"/>
      <c r="AU3" s="1093"/>
      <c r="AV3" s="1093"/>
      <c r="AW3" s="1093"/>
      <c r="AX3" s="1093"/>
      <c r="AY3" s="1093"/>
      <c r="AZ3" s="1093"/>
      <c r="BA3" s="1093"/>
      <c r="BB3" s="1093"/>
      <c r="BC3" s="1093"/>
      <c r="BD3" s="1093"/>
      <c r="BE3" s="1093"/>
      <c r="BF3" s="1093"/>
      <c r="BG3" s="1093"/>
      <c r="BH3" s="1093"/>
      <c r="BI3" s="1093"/>
      <c r="BJ3" s="1093"/>
      <c r="BK3" s="1093"/>
      <c r="BL3" s="1093"/>
      <c r="BM3" s="1093"/>
      <c r="BN3" s="1093"/>
      <c r="BO3" s="1093"/>
      <c r="BP3" s="1093"/>
      <c r="BQ3" s="1093"/>
      <c r="BR3" s="1093"/>
      <c r="BS3" s="1093"/>
      <c r="BT3" s="1093"/>
      <c r="BU3" s="1093"/>
    </row>
    <row r="4" spans="1:73" x14ac:dyDescent="0.25">
      <c r="A4" s="1093"/>
      <c r="B4" s="1096" t="str">
        <f>+Input_Sheet_Template!B26</f>
        <v>Plant Design Capacity (kg of H2/day)</v>
      </c>
      <c r="C4" s="1101">
        <f ca="1">+design_cap</f>
        <v>50000</v>
      </c>
      <c r="D4" s="1099">
        <v>0.05</v>
      </c>
      <c r="E4" s="1099">
        <v>0.05</v>
      </c>
      <c r="F4" s="1109">
        <f>1+D4</f>
        <v>1.05</v>
      </c>
      <c r="G4" s="1106">
        <f>1-E4</f>
        <v>0.95</v>
      </c>
      <c r="H4" s="1103">
        <f t="shared" ca="1" si="0"/>
        <v>52500</v>
      </c>
      <c r="I4" s="1103">
        <f t="shared" ca="1" si="1"/>
        <v>47500</v>
      </c>
      <c r="J4" s="1447"/>
      <c r="K4" s="1447"/>
      <c r="L4" s="1093"/>
      <c r="M4" s="1093"/>
      <c r="N4" s="1093"/>
      <c r="O4" s="1093"/>
      <c r="P4" s="1093"/>
      <c r="Q4" s="1093"/>
      <c r="R4" s="1093"/>
      <c r="S4" s="1093"/>
      <c r="T4" s="1093"/>
      <c r="U4" s="1093"/>
      <c r="V4" s="1093"/>
      <c r="W4" s="1093"/>
      <c r="X4" s="1093"/>
      <c r="Y4" s="1093"/>
      <c r="Z4" s="1093"/>
      <c r="AA4" s="1093"/>
      <c r="AB4" s="1093"/>
      <c r="AC4" s="1093"/>
      <c r="AD4" s="1093"/>
      <c r="AE4" s="1093"/>
      <c r="AF4" s="1093"/>
      <c r="AG4" s="1093"/>
      <c r="AH4" s="1093"/>
      <c r="AI4" s="1093"/>
      <c r="AJ4" s="1093"/>
      <c r="AK4" s="1093"/>
      <c r="AL4" s="1093"/>
      <c r="AM4" s="1093"/>
      <c r="AN4" s="1093"/>
      <c r="AO4" s="1093"/>
      <c r="AP4" s="1093"/>
      <c r="AQ4" s="1093"/>
      <c r="AR4" s="1093"/>
      <c r="AS4" s="1093"/>
      <c r="AT4" s="1093"/>
      <c r="AU4" s="1093"/>
      <c r="AV4" s="1093"/>
      <c r="AW4" s="1093"/>
      <c r="AX4" s="1093"/>
      <c r="AY4" s="1093"/>
      <c r="AZ4" s="1093"/>
      <c r="BA4" s="1093"/>
      <c r="BB4" s="1093"/>
      <c r="BC4" s="1093"/>
      <c r="BD4" s="1093"/>
      <c r="BE4" s="1093"/>
      <c r="BF4" s="1093"/>
      <c r="BG4" s="1093"/>
      <c r="BH4" s="1093"/>
      <c r="BI4" s="1093"/>
      <c r="BJ4" s="1093"/>
      <c r="BK4" s="1093"/>
      <c r="BL4" s="1093"/>
      <c r="BM4" s="1093"/>
      <c r="BN4" s="1093"/>
      <c r="BO4" s="1093"/>
      <c r="BP4" s="1093"/>
      <c r="BQ4" s="1093"/>
      <c r="BR4" s="1093"/>
      <c r="BS4" s="1093"/>
      <c r="BT4" s="1093"/>
      <c r="BU4" s="1093"/>
    </row>
    <row r="5" spans="1:73" x14ac:dyDescent="0.25">
      <c r="A5" s="1093"/>
      <c r="B5" s="1096" t="s">
        <v>1176</v>
      </c>
      <c r="C5" s="1100">
        <f ca="1">+real_irr</f>
        <v>0.08</v>
      </c>
      <c r="D5" s="1099">
        <v>0.05</v>
      </c>
      <c r="E5" s="1099">
        <v>0.05</v>
      </c>
      <c r="F5" s="1109">
        <f>1-D5</f>
        <v>0.95</v>
      </c>
      <c r="G5" s="1106">
        <f>1+E5</f>
        <v>1.05</v>
      </c>
      <c r="H5" s="1098">
        <f t="shared" ca="1" si="0"/>
        <v>7.5999999999999998E-2</v>
      </c>
      <c r="I5" s="1098">
        <f t="shared" ca="1" si="1"/>
        <v>8.4000000000000005E-2</v>
      </c>
      <c r="J5" s="1447"/>
      <c r="K5" s="1447"/>
      <c r="L5" s="1093"/>
      <c r="M5" s="1093"/>
      <c r="N5" s="1093"/>
      <c r="O5" s="1093"/>
      <c r="P5" s="1093"/>
      <c r="Q5" s="1093"/>
      <c r="R5" s="1093"/>
      <c r="S5" s="1093"/>
      <c r="T5" s="1093"/>
      <c r="U5" s="1093"/>
      <c r="V5" s="1093"/>
      <c r="W5" s="1093"/>
      <c r="X5" s="1093"/>
      <c r="Y5" s="1093"/>
      <c r="Z5" s="1093"/>
      <c r="AA5" s="1093"/>
      <c r="AB5" s="1093"/>
      <c r="AC5" s="1093"/>
      <c r="AD5" s="1093"/>
      <c r="AE5" s="1093"/>
      <c r="AF5" s="1093"/>
      <c r="AG5" s="1093"/>
      <c r="AH5" s="1093"/>
      <c r="AI5" s="1093"/>
      <c r="AJ5" s="1093"/>
      <c r="AK5" s="1093"/>
      <c r="AL5" s="1093"/>
      <c r="AM5" s="1093"/>
      <c r="AN5" s="1093"/>
      <c r="AO5" s="1093"/>
      <c r="AP5" s="1093"/>
      <c r="AQ5" s="1093"/>
      <c r="AR5" s="1093"/>
      <c r="AS5" s="1093"/>
      <c r="AT5" s="1093"/>
      <c r="AU5" s="1093"/>
      <c r="AV5" s="1093"/>
      <c r="AW5" s="1093"/>
      <c r="AX5" s="1093"/>
      <c r="AY5" s="1093"/>
      <c r="AZ5" s="1093"/>
      <c r="BA5" s="1093"/>
      <c r="BB5" s="1093"/>
      <c r="BC5" s="1093"/>
      <c r="BD5" s="1093"/>
      <c r="BE5" s="1093"/>
      <c r="BF5" s="1093"/>
      <c r="BG5" s="1093"/>
      <c r="BH5" s="1093"/>
      <c r="BI5" s="1093"/>
      <c r="BJ5" s="1093"/>
      <c r="BK5" s="1093"/>
      <c r="BL5" s="1093"/>
      <c r="BM5" s="1093"/>
      <c r="BN5" s="1093"/>
      <c r="BO5" s="1093"/>
      <c r="BP5" s="1093"/>
      <c r="BQ5" s="1093"/>
      <c r="BR5" s="1093"/>
      <c r="BS5" s="1093"/>
      <c r="BT5" s="1093"/>
      <c r="BU5" s="1093"/>
    </row>
    <row r="6" spans="1:73" x14ac:dyDescent="0.25">
      <c r="A6" s="1093"/>
      <c r="B6" s="1096" t="s">
        <v>1185</v>
      </c>
      <c r="C6" s="1196">
        <v>1</v>
      </c>
      <c r="D6" s="1099">
        <v>0.05</v>
      </c>
      <c r="E6" s="1099">
        <v>0.05</v>
      </c>
      <c r="F6" s="1109">
        <f>1-D6</f>
        <v>0.95</v>
      </c>
      <c r="G6" s="1106">
        <f t="shared" ref="G6:G9" si="2">1+E6</f>
        <v>1.05</v>
      </c>
      <c r="H6" s="1192">
        <f t="shared" si="0"/>
        <v>0.95</v>
      </c>
      <c r="I6" s="1192">
        <f t="shared" si="1"/>
        <v>1.05</v>
      </c>
      <c r="J6" s="1447"/>
      <c r="K6" s="1447"/>
      <c r="L6" s="1093"/>
      <c r="M6" s="1093"/>
      <c r="N6" s="1093"/>
      <c r="O6" s="1093"/>
      <c r="P6" s="1093"/>
      <c r="Q6" s="1093"/>
      <c r="R6" s="1093"/>
      <c r="S6" s="1093"/>
      <c r="T6" s="1093"/>
      <c r="U6" s="1093"/>
      <c r="V6" s="1093"/>
      <c r="W6" s="1093"/>
      <c r="X6" s="1093"/>
      <c r="Y6" s="1093"/>
      <c r="Z6" s="1093"/>
      <c r="AA6" s="1093"/>
      <c r="AB6" s="1093"/>
      <c r="AC6" s="1093"/>
      <c r="AD6" s="1093"/>
      <c r="AE6" s="1093"/>
      <c r="AF6" s="1093"/>
      <c r="AG6" s="1093"/>
      <c r="AH6" s="1093"/>
      <c r="AI6" s="1093"/>
      <c r="AJ6" s="1093"/>
      <c r="AK6" s="1093"/>
      <c r="AL6" s="1093"/>
      <c r="AM6" s="1093"/>
      <c r="AN6" s="1093"/>
      <c r="AO6" s="1093"/>
      <c r="AP6" s="1093"/>
      <c r="AQ6" s="1093"/>
      <c r="AR6" s="1093"/>
      <c r="AS6" s="1093"/>
      <c r="AT6" s="1093"/>
      <c r="AU6" s="1093"/>
      <c r="AV6" s="1093"/>
      <c r="AW6" s="1093"/>
      <c r="AX6" s="1093"/>
      <c r="AY6" s="1093"/>
      <c r="AZ6" s="1093"/>
      <c r="BA6" s="1093"/>
      <c r="BB6" s="1093"/>
      <c r="BC6" s="1093"/>
      <c r="BD6" s="1093"/>
      <c r="BE6" s="1093"/>
      <c r="BF6" s="1093"/>
      <c r="BG6" s="1093"/>
      <c r="BH6" s="1093"/>
      <c r="BI6" s="1093"/>
      <c r="BJ6" s="1093"/>
      <c r="BK6" s="1093"/>
      <c r="BL6" s="1093"/>
      <c r="BM6" s="1093"/>
      <c r="BN6" s="1093"/>
      <c r="BO6" s="1093"/>
      <c r="BP6" s="1093"/>
      <c r="BQ6" s="1093"/>
      <c r="BR6" s="1093"/>
      <c r="BS6" s="1093"/>
      <c r="BT6" s="1093"/>
      <c r="BU6" s="1093"/>
    </row>
    <row r="7" spans="1:73" x14ac:dyDescent="0.25">
      <c r="A7" s="1093"/>
      <c r="B7" s="1096" t="s">
        <v>1186</v>
      </c>
      <c r="C7" s="1196">
        <v>1</v>
      </c>
      <c r="D7" s="1099">
        <v>0.05</v>
      </c>
      <c r="E7" s="1099">
        <v>0.05</v>
      </c>
      <c r="F7" s="1109">
        <f>1-D7</f>
        <v>0.95</v>
      </c>
      <c r="G7" s="1106">
        <f t="shared" si="2"/>
        <v>1.05</v>
      </c>
      <c r="H7" s="1192">
        <f t="shared" si="0"/>
        <v>0.95</v>
      </c>
      <c r="I7" s="1192">
        <f t="shared" si="1"/>
        <v>1.05</v>
      </c>
      <c r="J7" s="1447"/>
      <c r="K7" s="1447"/>
      <c r="L7" s="1093"/>
      <c r="M7" s="1093"/>
      <c r="N7" s="1093"/>
      <c r="O7" s="1093"/>
      <c r="P7" s="1093"/>
      <c r="Q7" s="1093"/>
      <c r="R7" s="1093"/>
      <c r="S7" s="1093"/>
      <c r="T7" s="1093"/>
      <c r="U7" s="1093"/>
      <c r="V7" s="1093"/>
      <c r="W7" s="1093"/>
      <c r="X7" s="1093"/>
      <c r="Y7" s="1093"/>
      <c r="Z7" s="1093"/>
      <c r="AA7" s="1093"/>
      <c r="AB7" s="1093"/>
      <c r="AC7" s="1093"/>
      <c r="AD7" s="1093"/>
      <c r="AE7" s="1093"/>
      <c r="AF7" s="1093"/>
      <c r="AG7" s="1093"/>
      <c r="AH7" s="1093"/>
      <c r="AI7" s="1093"/>
      <c r="AJ7" s="1093"/>
      <c r="AK7" s="1093"/>
      <c r="AL7" s="1093"/>
      <c r="AM7" s="1093"/>
      <c r="AN7" s="1093"/>
      <c r="AO7" s="1093"/>
      <c r="AP7" s="1093"/>
      <c r="AQ7" s="1093"/>
      <c r="AR7" s="1093"/>
      <c r="AS7" s="1093"/>
      <c r="AT7" s="1093"/>
      <c r="AU7" s="1093"/>
      <c r="AV7" s="1093"/>
      <c r="AW7" s="1093"/>
      <c r="AX7" s="1093"/>
      <c r="AY7" s="1093"/>
      <c r="AZ7" s="1093"/>
      <c r="BA7" s="1093"/>
      <c r="BB7" s="1093"/>
      <c r="BC7" s="1093"/>
      <c r="BD7" s="1093"/>
      <c r="BE7" s="1093"/>
      <c r="BF7" s="1093"/>
      <c r="BG7" s="1093"/>
      <c r="BH7" s="1093"/>
      <c r="BI7" s="1093"/>
      <c r="BJ7" s="1093"/>
      <c r="BK7" s="1093"/>
      <c r="BL7" s="1093"/>
      <c r="BM7" s="1093"/>
      <c r="BN7" s="1093"/>
      <c r="BO7" s="1093"/>
      <c r="BP7" s="1093"/>
      <c r="BQ7" s="1093"/>
      <c r="BR7" s="1093"/>
      <c r="BS7" s="1093"/>
      <c r="BT7" s="1093"/>
      <c r="BU7" s="1093"/>
    </row>
    <row r="8" spans="1:73" x14ac:dyDescent="0.25">
      <c r="A8" s="1093"/>
      <c r="B8" s="1096" t="s">
        <v>117</v>
      </c>
      <c r="C8" s="1101">
        <f ca="1">+total_cap</f>
        <v>165837229.08155745</v>
      </c>
      <c r="D8" s="1099">
        <v>0.05</v>
      </c>
      <c r="E8" s="1099">
        <v>0.05</v>
      </c>
      <c r="F8" s="1109">
        <f>1-D8</f>
        <v>0.95</v>
      </c>
      <c r="G8" s="1106">
        <f t="shared" si="2"/>
        <v>1.05</v>
      </c>
      <c r="H8" s="1103">
        <f t="shared" ca="1" si="0"/>
        <v>157545367.62747958</v>
      </c>
      <c r="I8" s="1103">
        <f t="shared" ca="1" si="1"/>
        <v>174129090.53563532</v>
      </c>
      <c r="J8" s="1447"/>
      <c r="K8" s="1447"/>
      <c r="L8" s="1093"/>
      <c r="M8" s="1093"/>
      <c r="N8" s="1093"/>
      <c r="O8" s="1093"/>
      <c r="P8" s="1093"/>
      <c r="Q8" s="1093"/>
      <c r="R8" s="1093"/>
      <c r="S8" s="1093"/>
      <c r="T8" s="1093"/>
      <c r="U8" s="1093"/>
      <c r="V8" s="1093"/>
      <c r="W8" s="1093"/>
      <c r="X8" s="1093"/>
      <c r="Y8" s="1093"/>
      <c r="Z8" s="1093"/>
      <c r="AA8" s="1093"/>
      <c r="AB8" s="1093"/>
      <c r="AC8" s="1093"/>
      <c r="AD8" s="1093"/>
      <c r="AE8" s="1093"/>
      <c r="AF8" s="1093"/>
      <c r="AG8" s="1093"/>
      <c r="AH8" s="1093"/>
      <c r="AI8" s="1093"/>
      <c r="AJ8" s="1093"/>
      <c r="AK8" s="1093"/>
      <c r="AL8" s="1093"/>
      <c r="AM8" s="1093"/>
      <c r="AN8" s="1093"/>
      <c r="AO8" s="1093"/>
      <c r="AP8" s="1093"/>
      <c r="AQ8" s="1093"/>
      <c r="AR8" s="1093"/>
      <c r="AS8" s="1093"/>
      <c r="AT8" s="1093"/>
      <c r="AU8" s="1093"/>
      <c r="AV8" s="1093"/>
      <c r="AW8" s="1093"/>
      <c r="AX8" s="1093"/>
      <c r="AY8" s="1093"/>
      <c r="AZ8" s="1093"/>
      <c r="BA8" s="1093"/>
      <c r="BB8" s="1093"/>
      <c r="BC8" s="1093"/>
      <c r="BD8" s="1093"/>
      <c r="BE8" s="1093"/>
      <c r="BF8" s="1093"/>
      <c r="BG8" s="1093"/>
      <c r="BH8" s="1093"/>
      <c r="BI8" s="1093"/>
      <c r="BJ8" s="1093"/>
      <c r="BK8" s="1093"/>
      <c r="BL8" s="1093"/>
      <c r="BM8" s="1093"/>
      <c r="BN8" s="1093"/>
      <c r="BO8" s="1093"/>
      <c r="BP8" s="1093"/>
      <c r="BQ8" s="1093"/>
      <c r="BR8" s="1093"/>
      <c r="BS8" s="1093"/>
      <c r="BT8" s="1093"/>
      <c r="BU8" s="1093"/>
    </row>
    <row r="9" spans="1:73" x14ac:dyDescent="0.25">
      <c r="A9" s="1093"/>
      <c r="B9" s="1096" t="s">
        <v>634</v>
      </c>
      <c r="C9" s="1101">
        <f ca="1">+fixed</f>
        <v>8186102.7538074777</v>
      </c>
      <c r="D9" s="1099">
        <v>0.05</v>
      </c>
      <c r="E9" s="1099">
        <v>0.05</v>
      </c>
      <c r="F9" s="1109">
        <f>1-D9</f>
        <v>0.95</v>
      </c>
      <c r="G9" s="1106">
        <f t="shared" si="2"/>
        <v>1.05</v>
      </c>
      <c r="H9" s="1103">
        <f t="shared" ca="1" si="0"/>
        <v>7776797.616117103</v>
      </c>
      <c r="I9" s="1103">
        <f t="shared" ca="1" si="1"/>
        <v>8595407.8914978523</v>
      </c>
      <c r="J9" s="1447"/>
      <c r="K9" s="1447"/>
      <c r="L9" s="1093"/>
      <c r="M9" s="1093"/>
      <c r="N9" s="1093"/>
      <c r="O9" s="1093"/>
      <c r="P9" s="1093"/>
      <c r="Q9" s="1093"/>
      <c r="R9" s="1093"/>
      <c r="S9" s="1093"/>
      <c r="T9" s="1093"/>
      <c r="U9" s="1093"/>
      <c r="V9" s="1093"/>
      <c r="W9" s="1093"/>
      <c r="X9" s="1093"/>
      <c r="Y9" s="1093"/>
      <c r="Z9" s="1093"/>
      <c r="AA9" s="1093"/>
      <c r="AB9" s="1093"/>
      <c r="AC9" s="1093"/>
      <c r="AD9" s="1093"/>
      <c r="AE9" s="1093"/>
      <c r="AF9" s="1093"/>
      <c r="AG9" s="1093"/>
      <c r="AH9" s="1093"/>
      <c r="AI9" s="1093"/>
      <c r="AJ9" s="1093"/>
      <c r="AK9" s="1093"/>
      <c r="AL9" s="1093"/>
      <c r="AM9" s="1093"/>
      <c r="AN9" s="1093"/>
      <c r="AO9" s="1093"/>
      <c r="AP9" s="1093"/>
      <c r="AQ9" s="1093"/>
      <c r="AR9" s="1093"/>
      <c r="AS9" s="1093"/>
      <c r="AT9" s="1093"/>
      <c r="AU9" s="1093"/>
      <c r="AV9" s="1093"/>
      <c r="AW9" s="1093"/>
      <c r="AX9" s="1093"/>
      <c r="AY9" s="1093"/>
      <c r="AZ9" s="1093"/>
      <c r="BA9" s="1093"/>
      <c r="BB9" s="1093"/>
      <c r="BC9" s="1093"/>
      <c r="BD9" s="1093"/>
      <c r="BE9" s="1093"/>
      <c r="BF9" s="1093"/>
      <c r="BG9" s="1093"/>
      <c r="BH9" s="1093"/>
      <c r="BI9" s="1093"/>
      <c r="BJ9" s="1093"/>
      <c r="BK9" s="1093"/>
      <c r="BL9" s="1093"/>
      <c r="BM9" s="1093"/>
      <c r="BN9" s="1093"/>
      <c r="BO9" s="1093"/>
      <c r="BP9" s="1093"/>
      <c r="BQ9" s="1093"/>
      <c r="BR9" s="1093"/>
      <c r="BS9" s="1093"/>
      <c r="BT9" s="1093"/>
      <c r="BU9" s="1093"/>
    </row>
    <row r="10" spans="1:73" x14ac:dyDescent="0.25">
      <c r="A10" s="1093"/>
      <c r="B10" s="1093"/>
      <c r="C10" s="1093"/>
      <c r="D10" s="1093"/>
      <c r="E10" s="1093"/>
      <c r="F10" s="1093"/>
      <c r="G10" s="1093"/>
      <c r="H10" s="1093"/>
      <c r="I10" s="1093"/>
      <c r="J10" s="1093"/>
      <c r="K10" s="1093"/>
      <c r="L10" s="1093"/>
      <c r="M10" s="1093"/>
      <c r="N10" s="1093"/>
      <c r="O10" s="1093"/>
      <c r="P10" s="1093"/>
      <c r="Q10" s="1093"/>
      <c r="R10" s="1093"/>
      <c r="S10" s="1093"/>
      <c r="T10" s="1093"/>
      <c r="U10" s="1093"/>
      <c r="V10" s="1093"/>
      <c r="W10" s="1093"/>
      <c r="X10" s="1093"/>
      <c r="Y10" s="1093"/>
      <c r="Z10" s="1093"/>
      <c r="AA10" s="1093"/>
      <c r="AB10" s="1093"/>
      <c r="AC10" s="1093"/>
      <c r="AD10" s="1093"/>
      <c r="AE10" s="1093"/>
      <c r="AF10" s="1093"/>
      <c r="AG10" s="1093"/>
      <c r="AH10" s="1093"/>
      <c r="AI10" s="1093"/>
      <c r="AJ10" s="1093"/>
      <c r="AK10" s="1093"/>
      <c r="AL10" s="1093"/>
      <c r="AM10" s="1093"/>
      <c r="AN10" s="1093"/>
      <c r="AO10" s="1093"/>
      <c r="AP10" s="1093"/>
      <c r="AQ10" s="1093"/>
      <c r="AR10" s="1093"/>
      <c r="AS10" s="1093"/>
      <c r="AT10" s="1093"/>
      <c r="AU10" s="1093"/>
      <c r="AV10" s="1093"/>
      <c r="AW10" s="1093"/>
      <c r="AX10" s="1093"/>
      <c r="AY10" s="1093"/>
      <c r="AZ10" s="1093"/>
      <c r="BA10" s="1093"/>
      <c r="BB10" s="1093"/>
      <c r="BC10" s="1093"/>
      <c r="BD10" s="1093"/>
      <c r="BE10" s="1093"/>
      <c r="BF10" s="1093"/>
      <c r="BG10" s="1093"/>
      <c r="BH10" s="1093"/>
      <c r="BI10" s="1093"/>
      <c r="BJ10" s="1093"/>
      <c r="BK10" s="1093"/>
      <c r="BL10" s="1093"/>
      <c r="BM10" s="1093"/>
      <c r="BN10" s="1093"/>
      <c r="BO10" s="1093"/>
      <c r="BP10" s="1093"/>
      <c r="BQ10" s="1093"/>
      <c r="BR10" s="1093"/>
      <c r="BS10" s="1093"/>
      <c r="BT10" s="1093"/>
      <c r="BU10" s="1093"/>
    </row>
    <row r="11" spans="1:73" x14ac:dyDescent="0.25">
      <c r="A11" s="1093"/>
      <c r="B11" s="1673" t="s">
        <v>1301</v>
      </c>
      <c r="C11" s="1673"/>
      <c r="D11" s="1099" t="s">
        <v>23</v>
      </c>
      <c r="E11" s="1459" t="str">
        <f>IF(RunRiskAnalysis="Yes","          Please click Update Charts and Risk Analysis button before using results below","")</f>
        <v xml:space="preserve">          Please click Update Charts and Risk Analysis button before using results below</v>
      </c>
      <c r="F11" s="1093"/>
      <c r="H11" s="1093"/>
      <c r="I11" s="1093"/>
      <c r="J11" s="1093"/>
      <c r="K11" s="1093"/>
      <c r="L11" s="1093"/>
      <c r="M11" s="1093"/>
      <c r="N11" s="1093"/>
      <c r="O11" s="1093"/>
      <c r="P11" s="1093"/>
      <c r="Q11" s="1093"/>
      <c r="R11" s="1093"/>
      <c r="S11" s="1093"/>
      <c r="T11" s="1093"/>
      <c r="U11" s="1093"/>
      <c r="V11" s="1093"/>
      <c r="W11" s="1093"/>
      <c r="X11" s="1093"/>
      <c r="Y11" s="1093"/>
      <c r="Z11" s="1093"/>
      <c r="AA11" s="1093"/>
      <c r="AB11" s="1093"/>
      <c r="AC11" s="1093"/>
      <c r="AD11" s="1093"/>
      <c r="AE11" s="1093"/>
      <c r="AF11" s="1093"/>
      <c r="AG11" s="1093"/>
      <c r="AH11" s="1093"/>
      <c r="AI11" s="1093"/>
      <c r="AJ11" s="1093"/>
      <c r="AK11" s="1093"/>
      <c r="AL11" s="1093"/>
      <c r="AM11" s="1093"/>
      <c r="AN11" s="1093"/>
      <c r="AO11" s="1093"/>
      <c r="AP11" s="1093"/>
      <c r="AQ11" s="1093"/>
      <c r="AR11" s="1093"/>
      <c r="AS11" s="1093"/>
      <c r="AT11" s="1093"/>
      <c r="AU11" s="1093"/>
      <c r="AV11" s="1093"/>
      <c r="AW11" s="1093"/>
      <c r="AX11" s="1093"/>
      <c r="AY11" s="1093"/>
      <c r="AZ11" s="1093"/>
      <c r="BA11" s="1093"/>
      <c r="BB11" s="1093"/>
      <c r="BC11" s="1093"/>
      <c r="BD11" s="1093"/>
      <c r="BE11" s="1093"/>
      <c r="BF11" s="1093"/>
      <c r="BG11" s="1093"/>
      <c r="BH11" s="1093"/>
      <c r="BI11" s="1093"/>
      <c r="BJ11" s="1093"/>
      <c r="BK11" s="1093"/>
      <c r="BL11" s="1093"/>
      <c r="BM11" s="1093"/>
      <c r="BN11" s="1093"/>
      <c r="BO11" s="1093"/>
      <c r="BP11" s="1093"/>
      <c r="BQ11" s="1093"/>
      <c r="BR11" s="1093"/>
      <c r="BS11" s="1093"/>
      <c r="BT11" s="1093"/>
      <c r="BU11" s="1093"/>
    </row>
    <row r="12" spans="1:73" ht="12.75" customHeight="1" x14ac:dyDescent="0.25">
      <c r="A12" s="1093"/>
      <c r="B12" s="1093"/>
      <c r="C12" s="1093"/>
      <c r="D12" s="1093"/>
      <c r="E12" s="1093"/>
      <c r="F12" s="1093"/>
      <c r="G12" s="1093"/>
      <c r="H12" s="1093"/>
      <c r="I12" s="1093"/>
      <c r="J12" s="1093"/>
      <c r="K12" s="1093"/>
      <c r="L12" s="1093"/>
      <c r="M12" s="1093"/>
      <c r="N12" s="1093"/>
      <c r="P12" s="1673" t="s">
        <v>1319</v>
      </c>
      <c r="Q12" s="1673"/>
      <c r="R12" s="1674" t="s">
        <v>1342</v>
      </c>
      <c r="S12" s="1674"/>
      <c r="T12" s="1674"/>
      <c r="U12" s="1674"/>
      <c r="V12" s="1093"/>
      <c r="W12" s="1093"/>
      <c r="X12" s="1093"/>
      <c r="Y12" s="1093"/>
      <c r="Z12" s="1093"/>
      <c r="AA12" s="1093"/>
      <c r="AB12" s="1093"/>
      <c r="AC12" s="1093"/>
      <c r="AD12" s="1093"/>
      <c r="AE12" s="1093"/>
      <c r="AF12" s="1093"/>
      <c r="AG12" s="1093"/>
      <c r="AH12" s="1093"/>
      <c r="AI12" s="1093"/>
      <c r="AJ12" s="1093"/>
      <c r="AK12" s="1093"/>
      <c r="AL12" s="1093"/>
      <c r="AM12" s="1093"/>
      <c r="AN12" s="1093"/>
      <c r="AO12" s="1093"/>
      <c r="AP12" s="1093"/>
      <c r="AQ12" s="1093"/>
      <c r="AR12" s="1093"/>
      <c r="AS12" s="1093"/>
      <c r="AT12" s="1093"/>
      <c r="AU12" s="1093"/>
      <c r="AV12" s="1093"/>
      <c r="AW12" s="1093"/>
      <c r="AX12" s="1093"/>
      <c r="AY12" s="1093"/>
      <c r="AZ12" s="1093"/>
      <c r="BA12" s="1093"/>
      <c r="BB12" s="1093"/>
      <c r="BC12" s="1093"/>
      <c r="BD12" s="1093"/>
      <c r="BE12" s="1093"/>
      <c r="BF12" s="1093"/>
      <c r="BG12" s="1093"/>
      <c r="BH12" s="1093"/>
      <c r="BI12" s="1093"/>
      <c r="BJ12" s="1093"/>
      <c r="BK12" s="1093"/>
      <c r="BL12" s="1093"/>
      <c r="BM12" s="1093"/>
      <c r="BN12" s="1093"/>
      <c r="BO12" s="1093"/>
      <c r="BP12" s="1093"/>
      <c r="BQ12" s="1093"/>
      <c r="BR12" s="1093"/>
      <c r="BS12" s="1093"/>
      <c r="BT12" s="1093"/>
      <c r="BU12" s="1093"/>
    </row>
    <row r="13" spans="1:73" ht="13"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104" t="s">
        <v>1305</v>
      </c>
      <c r="W13" s="1104" t="s">
        <v>1091</v>
      </c>
      <c r="X13" s="1093"/>
      <c r="Y13" s="1093"/>
      <c r="Z13" s="1093"/>
      <c r="AA13" s="1093"/>
      <c r="AB13" s="1093"/>
      <c r="AC13" s="1093"/>
      <c r="AD13" s="1093"/>
      <c r="AE13" s="1093"/>
      <c r="AF13" s="1093"/>
      <c r="AG13" s="1093"/>
      <c r="AH13" s="1093"/>
      <c r="AI13" s="1093"/>
      <c r="AJ13" s="1093"/>
      <c r="AK13" s="1093"/>
      <c r="AL13" s="1093"/>
      <c r="AM13" s="1093"/>
      <c r="AN13" s="1093"/>
      <c r="AO13" s="1093"/>
      <c r="AP13" s="1093"/>
      <c r="AQ13" s="1093"/>
      <c r="AR13" s="1093"/>
      <c r="AS13" s="1093"/>
      <c r="AT13" s="1093"/>
      <c r="AU13" s="1093"/>
      <c r="AV13" s="1093"/>
      <c r="AW13" s="1093"/>
      <c r="AX13" s="1093"/>
      <c r="AY13" s="1093"/>
      <c r="AZ13" s="1093"/>
      <c r="BA13" s="1093"/>
      <c r="BB13" s="1093"/>
      <c r="BC13" s="1093"/>
      <c r="BD13" s="1093"/>
      <c r="BE13" s="1093"/>
      <c r="BF13" s="1093"/>
      <c r="BG13" s="1093"/>
      <c r="BH13" s="1093"/>
      <c r="BI13" s="1093"/>
      <c r="BJ13" s="1093"/>
      <c r="BK13" s="1093"/>
      <c r="BL13" s="1093"/>
      <c r="BM13" s="1093"/>
      <c r="BN13" s="1093"/>
      <c r="BO13" s="1093"/>
      <c r="BP13" s="1093"/>
      <c r="BQ13" s="1093"/>
      <c r="BR13" s="1093"/>
      <c r="BS13" s="1093"/>
      <c r="BT13" s="1093"/>
      <c r="BU13" s="1093"/>
    </row>
    <row r="14" spans="1:73"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106">
        <v>0</v>
      </c>
      <c r="W14" s="1107">
        <f ca="1">+MIN(OFFSET($B$251:$B$2250,0,$C$194))*$C$198</f>
        <v>4.8989958920951944</v>
      </c>
      <c r="X14" s="1093"/>
      <c r="Y14" s="1093"/>
      <c r="Z14" s="1093"/>
      <c r="AA14" s="1093"/>
      <c r="AB14" s="1093"/>
      <c r="AC14" s="1093"/>
      <c r="AD14" s="1093"/>
      <c r="AE14" s="1093"/>
      <c r="AF14" s="1093"/>
      <c r="AG14" s="1093"/>
      <c r="AH14" s="1093"/>
      <c r="AI14" s="1093"/>
      <c r="AJ14" s="1093"/>
      <c r="AK14" s="1093"/>
      <c r="AL14" s="1093"/>
      <c r="AM14" s="1093"/>
      <c r="AN14" s="1093"/>
      <c r="AO14" s="1093"/>
      <c r="AP14" s="1093"/>
      <c r="AQ14" s="1093"/>
      <c r="AR14" s="1093"/>
      <c r="AS14" s="1093"/>
      <c r="AT14" s="1093"/>
      <c r="AU14" s="1093"/>
      <c r="AV14" s="1093"/>
      <c r="AW14" s="1093"/>
      <c r="AX14" s="1093"/>
      <c r="AY14" s="1093"/>
      <c r="AZ14" s="1093"/>
      <c r="BA14" s="1093"/>
      <c r="BB14" s="1093"/>
      <c r="BC14" s="1093"/>
      <c r="BD14" s="1093"/>
      <c r="BE14" s="1093"/>
      <c r="BF14" s="1093"/>
      <c r="BG14" s="1093"/>
      <c r="BH14" s="1093"/>
      <c r="BI14" s="1093"/>
      <c r="BJ14" s="1093"/>
      <c r="BK14" s="1093"/>
      <c r="BL14" s="1093"/>
      <c r="BM14" s="1093"/>
      <c r="BN14" s="1093"/>
      <c r="BO14" s="1093"/>
      <c r="BP14" s="1093"/>
      <c r="BQ14" s="1093"/>
      <c r="BR14" s="1093"/>
      <c r="BS14" s="1093"/>
      <c r="BT14" s="1093"/>
      <c r="BU14" s="1093"/>
    </row>
    <row r="15" spans="1:73" x14ac:dyDescent="0.25">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457">
        <v>0.05</v>
      </c>
      <c r="W15" s="1458">
        <f t="shared" ref="W15:W33" ca="1" si="3">+PERCENTILE(OFFSET($B$251:$B$2250,0,$C$194),V15)*$C$198</f>
        <v>4.9929739031816363</v>
      </c>
      <c r="X15" s="1093"/>
      <c r="Y15" s="1093"/>
      <c r="Z15" s="1093"/>
      <c r="AA15" s="1093"/>
      <c r="AB15" s="1093"/>
      <c r="AC15" s="1093"/>
      <c r="AD15" s="1093"/>
      <c r="AE15" s="1093"/>
      <c r="AF15" s="1093"/>
      <c r="AG15" s="1093"/>
      <c r="AH15" s="1093"/>
      <c r="AI15" s="1093"/>
      <c r="AJ15" s="1093"/>
      <c r="AK15" s="1093"/>
      <c r="AL15" s="1093"/>
      <c r="AM15" s="1093"/>
      <c r="AN15" s="1093"/>
      <c r="AO15" s="1093"/>
      <c r="AP15" s="1093"/>
      <c r="AQ15" s="1093"/>
      <c r="AR15" s="1093"/>
      <c r="AS15" s="1093"/>
      <c r="AT15" s="1093"/>
      <c r="AU15" s="1093"/>
      <c r="AV15" s="1093"/>
      <c r="AW15" s="1093"/>
      <c r="AX15" s="1093"/>
      <c r="AY15" s="1093"/>
      <c r="AZ15" s="1093"/>
      <c r="BA15" s="1093"/>
      <c r="BB15" s="1093"/>
      <c r="BC15" s="1093"/>
      <c r="BD15" s="1093"/>
      <c r="BE15" s="1093"/>
      <c r="BF15" s="1093"/>
      <c r="BG15" s="1093"/>
      <c r="BH15" s="1093"/>
      <c r="BI15" s="1093"/>
      <c r="BJ15" s="1093"/>
      <c r="BK15" s="1093"/>
      <c r="BL15" s="1093"/>
      <c r="BM15" s="1093"/>
      <c r="BN15" s="1093"/>
      <c r="BO15" s="1093"/>
      <c r="BP15" s="1093"/>
      <c r="BQ15" s="1093"/>
      <c r="BR15" s="1093"/>
      <c r="BS15" s="1093"/>
      <c r="BT15" s="1093"/>
      <c r="BU15" s="1093"/>
    </row>
    <row r="16" spans="1:73" x14ac:dyDescent="0.25">
      <c r="A16" s="1093"/>
      <c r="B16" s="1094"/>
      <c r="C16" s="1093"/>
      <c r="D16" s="1093"/>
      <c r="E16" s="1093"/>
      <c r="F16" s="1093"/>
      <c r="G16" s="1093"/>
      <c r="H16" s="1093"/>
      <c r="I16" s="1093"/>
      <c r="J16" s="1093"/>
      <c r="K16" s="1093"/>
      <c r="L16" s="1093"/>
      <c r="M16" s="1093"/>
      <c r="N16" s="1093"/>
      <c r="O16" s="1093"/>
      <c r="P16" s="1093"/>
      <c r="Q16" s="1093"/>
      <c r="R16" s="1093"/>
      <c r="S16" s="1093"/>
      <c r="T16" s="1093"/>
      <c r="U16" s="1093"/>
      <c r="V16" s="1456">
        <f t="shared" ref="V16:V33" si="4">+V15+0.05</f>
        <v>0.1</v>
      </c>
      <c r="W16" s="1107">
        <f t="shared" ca="1" si="3"/>
        <v>5.0313631498857765</v>
      </c>
      <c r="X16" s="1093"/>
      <c r="Y16" s="1093"/>
      <c r="Z16" s="1093"/>
      <c r="AA16" s="1093"/>
      <c r="AB16" s="1093"/>
      <c r="AC16" s="1093"/>
      <c r="AD16" s="1093"/>
      <c r="AE16" s="1093"/>
      <c r="AF16" s="1093"/>
      <c r="AG16" s="1093"/>
      <c r="AH16" s="1093"/>
      <c r="AI16" s="1093"/>
      <c r="AJ16" s="1093"/>
      <c r="AK16" s="1093"/>
      <c r="AL16" s="1093"/>
      <c r="AM16" s="1093"/>
      <c r="AN16" s="1093"/>
      <c r="AO16" s="1093"/>
      <c r="AP16" s="1093"/>
      <c r="AQ16" s="1093"/>
      <c r="AR16" s="1093"/>
      <c r="AS16" s="1093"/>
      <c r="AT16" s="1093"/>
      <c r="AU16" s="1093"/>
      <c r="AV16" s="1093"/>
      <c r="AW16" s="1093"/>
      <c r="AX16" s="1093"/>
      <c r="AY16" s="1093"/>
      <c r="AZ16" s="1093"/>
      <c r="BA16" s="1093"/>
      <c r="BB16" s="1093"/>
      <c r="BC16" s="1093"/>
      <c r="BD16" s="1093"/>
      <c r="BE16" s="1093"/>
      <c r="BF16" s="1093"/>
      <c r="BG16" s="1093"/>
      <c r="BH16" s="1093"/>
      <c r="BI16" s="1093"/>
      <c r="BJ16" s="1093"/>
      <c r="BK16" s="1093"/>
      <c r="BL16" s="1093"/>
      <c r="BM16" s="1093"/>
      <c r="BN16" s="1093"/>
      <c r="BO16" s="1093"/>
      <c r="BP16" s="1093"/>
      <c r="BQ16" s="1093"/>
      <c r="BR16" s="1093"/>
      <c r="BS16" s="1093"/>
      <c r="BT16" s="1093"/>
      <c r="BU16" s="1093"/>
    </row>
    <row r="17" spans="1:73"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456">
        <f t="shared" si="4"/>
        <v>0.15000000000000002</v>
      </c>
      <c r="W17" s="1107">
        <f t="shared" ca="1" si="3"/>
        <v>5.0553877232994111</v>
      </c>
      <c r="X17" s="1093"/>
      <c r="Y17" s="1093"/>
      <c r="Z17" s="1093"/>
      <c r="AA17" s="1093"/>
      <c r="AB17" s="1093"/>
      <c r="AC17" s="1093"/>
      <c r="AD17" s="1093"/>
      <c r="AE17" s="1093"/>
      <c r="AF17" s="1093"/>
      <c r="AG17" s="1093"/>
      <c r="AH17" s="1093"/>
      <c r="AI17" s="1093"/>
      <c r="AJ17" s="1093"/>
      <c r="AK17" s="1093"/>
      <c r="AL17" s="1093"/>
      <c r="AM17" s="1093"/>
      <c r="AN17" s="1093"/>
      <c r="AO17" s="1093"/>
      <c r="AP17" s="1093"/>
      <c r="AQ17" s="1093"/>
      <c r="AR17" s="1093"/>
      <c r="AS17" s="1093"/>
      <c r="AT17" s="1093"/>
      <c r="AU17" s="1093"/>
      <c r="AV17" s="1093"/>
      <c r="AW17" s="1093"/>
      <c r="AX17" s="1093"/>
      <c r="AY17" s="1093"/>
      <c r="AZ17" s="1093"/>
      <c r="BA17" s="1093"/>
      <c r="BB17" s="1093"/>
      <c r="BC17" s="1093"/>
      <c r="BD17" s="1093"/>
      <c r="BE17" s="1093"/>
      <c r="BF17" s="1093"/>
      <c r="BG17" s="1093"/>
      <c r="BH17" s="1093"/>
      <c r="BI17" s="1093"/>
      <c r="BJ17" s="1093"/>
      <c r="BK17" s="1093"/>
      <c r="BL17" s="1093"/>
      <c r="BM17" s="1093"/>
      <c r="BN17" s="1093"/>
      <c r="BO17" s="1093"/>
      <c r="BP17" s="1093"/>
      <c r="BQ17" s="1093"/>
      <c r="BR17" s="1093"/>
      <c r="BS17" s="1093"/>
      <c r="BT17" s="1093"/>
      <c r="BU17" s="1093"/>
    </row>
    <row r="18" spans="1:73" x14ac:dyDescent="0.25">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456">
        <f t="shared" si="4"/>
        <v>0.2</v>
      </c>
      <c r="W18" s="1107">
        <f t="shared" ca="1" si="3"/>
        <v>5.0809350129549182</v>
      </c>
      <c r="X18" s="1093"/>
      <c r="Y18" s="1093"/>
      <c r="Z18" s="1093"/>
      <c r="AA18" s="1093"/>
      <c r="AB18" s="1093"/>
      <c r="AC18" s="1093"/>
      <c r="AD18" s="1093"/>
      <c r="AE18" s="1093"/>
      <c r="AF18" s="1093"/>
      <c r="AG18" s="1093"/>
      <c r="AH18" s="1093"/>
      <c r="AI18" s="1093"/>
      <c r="AJ18" s="1093"/>
      <c r="AK18" s="1093"/>
      <c r="AL18" s="1093"/>
      <c r="AM18" s="1093"/>
      <c r="AN18" s="1093"/>
      <c r="AO18" s="1093"/>
      <c r="AP18" s="1093"/>
      <c r="AQ18" s="1093"/>
      <c r="AR18" s="1093"/>
      <c r="AS18" s="1093"/>
      <c r="AT18" s="1093"/>
      <c r="AU18" s="1093"/>
      <c r="AV18" s="1093"/>
      <c r="AW18" s="1093"/>
      <c r="AX18" s="1093"/>
      <c r="AY18" s="1093"/>
      <c r="AZ18" s="1093"/>
      <c r="BA18" s="1093"/>
      <c r="BB18" s="1093"/>
      <c r="BC18" s="1093"/>
      <c r="BD18" s="1093"/>
      <c r="BE18" s="1093"/>
      <c r="BF18" s="1093"/>
      <c r="BG18" s="1093"/>
      <c r="BH18" s="1093"/>
      <c r="BI18" s="1093"/>
      <c r="BJ18" s="1093"/>
      <c r="BK18" s="1093"/>
      <c r="BL18" s="1093"/>
      <c r="BM18" s="1093"/>
      <c r="BN18" s="1093"/>
      <c r="BO18" s="1093"/>
      <c r="BP18" s="1093"/>
      <c r="BQ18" s="1093"/>
      <c r="BR18" s="1093"/>
      <c r="BS18" s="1093"/>
      <c r="BT18" s="1093"/>
      <c r="BU18" s="1093"/>
    </row>
    <row r="19" spans="1:73" x14ac:dyDescent="0.25">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456">
        <f t="shared" si="4"/>
        <v>0.25</v>
      </c>
      <c r="W19" s="1107">
        <f t="shared" ca="1" si="3"/>
        <v>5.0984046982596185</v>
      </c>
      <c r="X19" s="1093"/>
      <c r="Y19" s="1093"/>
      <c r="Z19" s="1093"/>
      <c r="AA19" s="1093"/>
      <c r="AB19" s="1093"/>
      <c r="AC19" s="1093"/>
      <c r="AD19" s="1093"/>
      <c r="AE19" s="1093"/>
      <c r="AF19" s="1093"/>
      <c r="AG19" s="1093"/>
      <c r="AH19" s="1093"/>
      <c r="AI19" s="1093"/>
      <c r="AJ19" s="1093"/>
      <c r="AK19" s="1093"/>
      <c r="AL19" s="1093"/>
      <c r="AM19" s="1093"/>
      <c r="AN19" s="1093"/>
      <c r="AO19" s="1093"/>
      <c r="AP19" s="1093"/>
      <c r="AQ19" s="1093"/>
      <c r="AR19" s="1093"/>
      <c r="AS19" s="1093"/>
      <c r="AT19" s="1093"/>
      <c r="AU19" s="1093"/>
      <c r="AV19" s="1093"/>
      <c r="AW19" s="1093"/>
      <c r="AX19" s="1093"/>
      <c r="AY19" s="1093"/>
      <c r="AZ19" s="1093"/>
      <c r="BA19" s="1093"/>
      <c r="BB19" s="1093"/>
      <c r="BC19" s="1093"/>
      <c r="BD19" s="1093"/>
      <c r="BE19" s="1093"/>
      <c r="BF19" s="1093"/>
      <c r="BG19" s="1093"/>
      <c r="BH19" s="1093"/>
      <c r="BI19" s="1093"/>
      <c r="BJ19" s="1093"/>
      <c r="BK19" s="1093"/>
      <c r="BL19" s="1093"/>
      <c r="BM19" s="1093"/>
      <c r="BN19" s="1093"/>
      <c r="BO19" s="1093"/>
      <c r="BP19" s="1093"/>
      <c r="BQ19" s="1093"/>
      <c r="BR19" s="1093"/>
      <c r="BS19" s="1093"/>
      <c r="BT19" s="1093"/>
      <c r="BU19" s="1093"/>
    </row>
    <row r="20" spans="1:73" x14ac:dyDescent="0.25">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456">
        <f t="shared" si="4"/>
        <v>0.3</v>
      </c>
      <c r="W20" s="1107">
        <f t="shared" ca="1" si="3"/>
        <v>5.1161613161799933</v>
      </c>
      <c r="X20" s="1093"/>
      <c r="Y20" s="1093"/>
      <c r="Z20" s="1093"/>
      <c r="AA20" s="1093"/>
      <c r="AB20" s="1093"/>
      <c r="AC20" s="1093"/>
      <c r="AD20" s="1093"/>
      <c r="AE20" s="1093"/>
      <c r="AF20" s="1093"/>
      <c r="AG20" s="1093"/>
      <c r="AH20" s="1093"/>
      <c r="AI20" s="1093"/>
      <c r="AJ20" s="1093"/>
      <c r="AK20" s="1093"/>
      <c r="AL20" s="1093"/>
      <c r="AM20" s="1093"/>
      <c r="AN20" s="1093"/>
      <c r="AO20" s="1093"/>
      <c r="AP20" s="1093"/>
      <c r="AQ20" s="1093"/>
      <c r="AR20" s="1093"/>
      <c r="AS20" s="1093"/>
      <c r="AT20" s="1093"/>
      <c r="AU20" s="1093"/>
      <c r="AV20" s="1093"/>
      <c r="AW20" s="1093"/>
      <c r="AX20" s="1093"/>
      <c r="AY20" s="1093"/>
      <c r="AZ20" s="1093"/>
      <c r="BA20" s="1093"/>
      <c r="BB20" s="1093"/>
      <c r="BC20" s="1093"/>
      <c r="BD20" s="1093"/>
      <c r="BE20" s="1093"/>
      <c r="BF20" s="1093"/>
      <c r="BG20" s="1093"/>
      <c r="BH20" s="1093"/>
      <c r="BI20" s="1093"/>
      <c r="BJ20" s="1093"/>
      <c r="BK20" s="1093"/>
      <c r="BL20" s="1093"/>
      <c r="BM20" s="1093"/>
      <c r="BN20" s="1093"/>
      <c r="BO20" s="1093"/>
      <c r="BP20" s="1093"/>
      <c r="BQ20" s="1093"/>
      <c r="BR20" s="1093"/>
      <c r="BS20" s="1093"/>
      <c r="BT20" s="1093"/>
      <c r="BU20" s="1093"/>
    </row>
    <row r="21" spans="1:73"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456">
        <f t="shared" si="4"/>
        <v>0.35</v>
      </c>
      <c r="W21" s="1107">
        <f t="shared" ca="1" si="3"/>
        <v>5.1347034000705412</v>
      </c>
      <c r="X21" s="1093"/>
      <c r="Y21" s="1093"/>
      <c r="Z21" s="1093"/>
      <c r="AA21" s="1093"/>
      <c r="AB21" s="1093"/>
      <c r="AC21" s="1093"/>
      <c r="AD21" s="1093"/>
      <c r="AE21" s="1093"/>
      <c r="AF21" s="1093"/>
      <c r="AG21" s="1093"/>
      <c r="AH21" s="1093"/>
      <c r="AI21" s="1093"/>
      <c r="AJ21" s="1093"/>
      <c r="AK21" s="1093"/>
      <c r="AL21" s="1093"/>
      <c r="AM21" s="1093"/>
      <c r="AN21" s="1093"/>
      <c r="AO21" s="1093"/>
      <c r="AP21" s="1093"/>
      <c r="AQ21" s="1093"/>
      <c r="AR21" s="1093"/>
      <c r="AS21" s="1093"/>
      <c r="AT21" s="1093"/>
      <c r="AU21" s="1093"/>
      <c r="AV21" s="1093"/>
      <c r="AW21" s="1093"/>
      <c r="AX21" s="1093"/>
      <c r="AY21" s="1093"/>
      <c r="AZ21" s="1093"/>
      <c r="BA21" s="1093"/>
      <c r="BB21" s="1093"/>
      <c r="BC21" s="1093"/>
      <c r="BD21" s="1093"/>
      <c r="BE21" s="1093"/>
      <c r="BF21" s="1093"/>
      <c r="BG21" s="1093"/>
      <c r="BH21" s="1093"/>
      <c r="BI21" s="1093"/>
      <c r="BJ21" s="1093"/>
      <c r="BK21" s="1093"/>
      <c r="BL21" s="1093"/>
      <c r="BM21" s="1093"/>
      <c r="BN21" s="1093"/>
      <c r="BO21" s="1093"/>
      <c r="BP21" s="1093"/>
      <c r="BQ21" s="1093"/>
      <c r="BR21" s="1093"/>
      <c r="BS21" s="1093"/>
      <c r="BT21" s="1093"/>
      <c r="BU21" s="1093"/>
    </row>
    <row r="22" spans="1:73" x14ac:dyDescent="0.25">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456">
        <f t="shared" si="4"/>
        <v>0.39999999999999997</v>
      </c>
      <c r="W22" s="1107">
        <f t="shared" ca="1" si="3"/>
        <v>5.1473927629765619</v>
      </c>
      <c r="X22" s="1093"/>
      <c r="Y22" s="1093"/>
      <c r="Z22" s="1093"/>
      <c r="AA22" s="1093"/>
      <c r="AB22" s="1093"/>
      <c r="AC22" s="1093"/>
      <c r="AD22" s="1093"/>
      <c r="AE22" s="1093"/>
      <c r="AF22" s="1093"/>
      <c r="AG22" s="1093"/>
      <c r="AH22" s="1093"/>
      <c r="AI22" s="1093"/>
      <c r="AJ22" s="1093"/>
      <c r="AK22" s="1093"/>
      <c r="AL22" s="1093"/>
      <c r="AM22" s="1093"/>
      <c r="AN22" s="1093"/>
      <c r="AO22" s="1093"/>
      <c r="AP22" s="1093"/>
      <c r="AQ22" s="1093"/>
      <c r="AR22" s="1093"/>
      <c r="AS22" s="1093"/>
      <c r="AT22" s="1093"/>
      <c r="AU22" s="1093"/>
      <c r="AV22" s="1093"/>
      <c r="AW22" s="1093"/>
      <c r="AX22" s="1093"/>
      <c r="AY22" s="1093"/>
      <c r="AZ22" s="1093"/>
      <c r="BA22" s="1093"/>
      <c r="BB22" s="1093"/>
      <c r="BC22" s="1093"/>
      <c r="BD22" s="1093"/>
      <c r="BE22" s="1093"/>
      <c r="BF22" s="1093"/>
      <c r="BG22" s="1093"/>
      <c r="BH22" s="1093"/>
      <c r="BI22" s="1093"/>
      <c r="BJ22" s="1093"/>
      <c r="BK22" s="1093"/>
      <c r="BL22" s="1093"/>
      <c r="BM22" s="1093"/>
      <c r="BN22" s="1093"/>
      <c r="BO22" s="1093"/>
      <c r="BP22" s="1093"/>
      <c r="BQ22" s="1093"/>
      <c r="BR22" s="1093"/>
      <c r="BS22" s="1093"/>
      <c r="BT22" s="1093"/>
      <c r="BU22" s="1093"/>
    </row>
    <row r="23" spans="1:73"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456">
        <f t="shared" si="4"/>
        <v>0.44999999999999996</v>
      </c>
      <c r="W23" s="1107">
        <f t="shared" ca="1" si="3"/>
        <v>5.1616729432921309</v>
      </c>
      <c r="X23" s="1093"/>
      <c r="Y23" s="1093"/>
      <c r="Z23" s="1093"/>
      <c r="AA23" s="1093"/>
      <c r="AB23" s="1093"/>
      <c r="AC23" s="1093"/>
      <c r="AD23" s="1093"/>
      <c r="AE23" s="1093"/>
      <c r="AF23" s="1093"/>
      <c r="AG23" s="1093"/>
      <c r="AH23" s="1093"/>
      <c r="AI23" s="1093"/>
      <c r="AJ23" s="1093"/>
      <c r="AK23" s="1093"/>
      <c r="AL23" s="1093"/>
      <c r="AM23" s="1093"/>
      <c r="AN23" s="1093"/>
      <c r="AO23" s="1093"/>
      <c r="AP23" s="1093"/>
      <c r="AQ23" s="1093"/>
      <c r="AR23" s="1093"/>
      <c r="AS23" s="1093"/>
      <c r="AT23" s="1093"/>
      <c r="AU23" s="1093"/>
      <c r="AV23" s="1093"/>
      <c r="AW23" s="1093"/>
      <c r="AX23" s="1093"/>
      <c r="AY23" s="1093"/>
      <c r="AZ23" s="1093"/>
      <c r="BA23" s="1093"/>
      <c r="BB23" s="1093"/>
      <c r="BC23" s="1093"/>
      <c r="BD23" s="1093"/>
      <c r="BE23" s="1093"/>
      <c r="BF23" s="1093"/>
      <c r="BG23" s="1093"/>
      <c r="BH23" s="1093"/>
      <c r="BI23" s="1093"/>
      <c r="BJ23" s="1093"/>
      <c r="BK23" s="1093"/>
      <c r="BL23" s="1093"/>
      <c r="BM23" s="1093"/>
      <c r="BN23" s="1093"/>
      <c r="BO23" s="1093"/>
      <c r="BP23" s="1093"/>
      <c r="BQ23" s="1093"/>
      <c r="BR23" s="1093"/>
      <c r="BS23" s="1093"/>
      <c r="BT23" s="1093"/>
      <c r="BU23" s="1093"/>
    </row>
    <row r="24" spans="1:73"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457">
        <f t="shared" si="4"/>
        <v>0.49999999999999994</v>
      </c>
      <c r="W24" s="1458">
        <f t="shared" ca="1" si="3"/>
        <v>5.1766769800109707</v>
      </c>
      <c r="X24" s="1093"/>
      <c r="Y24" s="1093"/>
      <c r="Z24" s="1093"/>
      <c r="AA24" s="1093"/>
      <c r="AB24" s="1093"/>
      <c r="AC24" s="1093"/>
      <c r="AD24" s="1093"/>
      <c r="AE24" s="1093"/>
      <c r="AF24" s="1093"/>
      <c r="AG24" s="1093"/>
      <c r="AH24" s="1093"/>
      <c r="AI24" s="1093"/>
      <c r="AJ24" s="1093"/>
      <c r="AK24" s="1093"/>
      <c r="AL24" s="1093"/>
      <c r="AM24" s="1093"/>
      <c r="AN24" s="1093"/>
      <c r="AO24" s="1093"/>
      <c r="AP24" s="1093"/>
      <c r="AQ24" s="1093"/>
      <c r="AR24" s="1093"/>
      <c r="AS24" s="1093"/>
      <c r="AT24" s="1093"/>
      <c r="AU24" s="1093"/>
      <c r="AV24" s="1093"/>
      <c r="AW24" s="1093"/>
      <c r="AX24" s="1093"/>
      <c r="AY24" s="1093"/>
      <c r="AZ24" s="1093"/>
      <c r="BA24" s="1093"/>
      <c r="BB24" s="1093"/>
      <c r="BC24" s="1093"/>
      <c r="BD24" s="1093"/>
      <c r="BE24" s="1093"/>
      <c r="BF24" s="1093"/>
      <c r="BG24" s="1093"/>
      <c r="BH24" s="1093"/>
      <c r="BI24" s="1093"/>
      <c r="BJ24" s="1093"/>
      <c r="BK24" s="1093"/>
      <c r="BL24" s="1093"/>
      <c r="BM24" s="1093"/>
      <c r="BN24" s="1093"/>
      <c r="BO24" s="1093"/>
      <c r="BP24" s="1093"/>
      <c r="BQ24" s="1093"/>
      <c r="BR24" s="1093"/>
      <c r="BS24" s="1093"/>
      <c r="BT24" s="1093"/>
      <c r="BU24" s="1093"/>
    </row>
    <row r="25" spans="1:73"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456">
        <f t="shared" si="4"/>
        <v>0.54999999999999993</v>
      </c>
      <c r="W25" s="1107">
        <f t="shared" ca="1" si="3"/>
        <v>5.1924967412863703</v>
      </c>
      <c r="X25" s="1093"/>
      <c r="Y25" s="1093"/>
      <c r="Z25" s="1093"/>
      <c r="AA25" s="1093"/>
      <c r="AB25" s="1093"/>
      <c r="AC25" s="1093"/>
      <c r="AD25" s="1093"/>
      <c r="AE25" s="1093"/>
      <c r="AF25" s="1093"/>
      <c r="AG25" s="1093"/>
      <c r="AH25" s="1093"/>
      <c r="AI25" s="1093"/>
      <c r="AJ25" s="1093"/>
      <c r="AK25" s="1093"/>
      <c r="AL25" s="1093"/>
      <c r="AM25" s="1093"/>
      <c r="AN25" s="1093"/>
      <c r="AO25" s="1093"/>
      <c r="AP25" s="1093"/>
      <c r="AQ25" s="1093"/>
      <c r="AR25" s="1093"/>
      <c r="AS25" s="1093"/>
      <c r="AT25" s="1093"/>
      <c r="AU25" s="1093"/>
      <c r="AV25" s="1093"/>
      <c r="AW25" s="1093"/>
      <c r="AX25" s="1093"/>
      <c r="AY25" s="1093"/>
      <c r="AZ25" s="1093"/>
      <c r="BA25" s="1093"/>
      <c r="BB25" s="1093"/>
      <c r="BC25" s="1093"/>
      <c r="BD25" s="1093"/>
      <c r="BE25" s="1093"/>
      <c r="BF25" s="1093"/>
      <c r="BG25" s="1093"/>
      <c r="BH25" s="1093"/>
      <c r="BI25" s="1093"/>
      <c r="BJ25" s="1093"/>
      <c r="BK25" s="1093"/>
      <c r="BL25" s="1093"/>
      <c r="BM25" s="1093"/>
      <c r="BN25" s="1093"/>
      <c r="BO25" s="1093"/>
      <c r="BP25" s="1093"/>
      <c r="BQ25" s="1093"/>
      <c r="BR25" s="1093"/>
      <c r="BS25" s="1093"/>
      <c r="BT25" s="1093"/>
      <c r="BU25" s="1093"/>
    </row>
    <row r="26" spans="1:73" x14ac:dyDescent="0.25">
      <c r="A26" s="1093"/>
      <c r="B26" s="1093"/>
      <c r="C26" s="1093"/>
      <c r="D26" s="1093"/>
      <c r="E26" s="1093"/>
      <c r="F26" s="1093"/>
      <c r="G26" s="1093"/>
      <c r="H26" s="1093"/>
      <c r="I26" s="1093"/>
      <c r="J26" s="1093"/>
      <c r="K26" s="1093"/>
      <c r="L26" s="1093"/>
      <c r="M26" s="1093"/>
      <c r="N26" s="1093"/>
      <c r="O26" s="1093"/>
      <c r="P26" s="1093"/>
      <c r="Q26" s="1093"/>
      <c r="R26" s="1093"/>
      <c r="S26" s="1093"/>
      <c r="T26" s="1093"/>
      <c r="U26" s="1093"/>
      <c r="V26" s="1456">
        <f t="shared" si="4"/>
        <v>0.6</v>
      </c>
      <c r="W26" s="1107">
        <f t="shared" ca="1" si="3"/>
        <v>5.2072917955144282</v>
      </c>
      <c r="X26" s="1093"/>
      <c r="Y26" s="1093"/>
      <c r="Z26" s="1093"/>
      <c r="AA26" s="1093"/>
      <c r="AB26" s="1093"/>
      <c r="AC26" s="1093"/>
      <c r="AD26" s="1093"/>
      <c r="AE26" s="1093"/>
      <c r="AF26" s="1093"/>
      <c r="AG26" s="1093"/>
      <c r="AH26" s="1093"/>
      <c r="AI26" s="1093"/>
      <c r="AJ26" s="1093"/>
      <c r="AK26" s="1093"/>
      <c r="AL26" s="1093"/>
      <c r="AM26" s="1093"/>
      <c r="AN26" s="1093"/>
      <c r="AO26" s="1093"/>
      <c r="AP26" s="1093"/>
      <c r="AQ26" s="1093"/>
      <c r="AR26" s="1093"/>
      <c r="AS26" s="1093"/>
      <c r="AT26" s="1093"/>
      <c r="AU26" s="1093"/>
      <c r="AV26" s="1093"/>
      <c r="AW26" s="1093"/>
      <c r="AX26" s="1093"/>
      <c r="AY26" s="1093"/>
      <c r="AZ26" s="1093"/>
      <c r="BA26" s="1093"/>
      <c r="BB26" s="1093"/>
      <c r="BC26" s="1093"/>
      <c r="BD26" s="1093"/>
      <c r="BE26" s="1093"/>
      <c r="BF26" s="1093"/>
      <c r="BG26" s="1093"/>
      <c r="BH26" s="1093"/>
      <c r="BI26" s="1093"/>
      <c r="BJ26" s="1093"/>
      <c r="BK26" s="1093"/>
      <c r="BL26" s="1093"/>
      <c r="BM26" s="1093"/>
      <c r="BN26" s="1093"/>
      <c r="BO26" s="1093"/>
      <c r="BP26" s="1093"/>
      <c r="BQ26" s="1093"/>
      <c r="BR26" s="1093"/>
      <c r="BS26" s="1093"/>
      <c r="BT26" s="1093"/>
      <c r="BU26" s="1093"/>
    </row>
    <row r="27" spans="1:73" x14ac:dyDescent="0.25">
      <c r="A27" s="1093"/>
      <c r="B27" s="1093"/>
      <c r="C27" s="1093"/>
      <c r="D27" s="1093"/>
      <c r="E27" s="1093"/>
      <c r="F27" s="1093"/>
      <c r="G27" s="1093"/>
      <c r="H27" s="1093"/>
      <c r="I27" s="1093"/>
      <c r="J27" s="1093"/>
      <c r="K27" s="1093"/>
      <c r="L27" s="1093"/>
      <c r="M27" s="1093"/>
      <c r="N27" s="1093"/>
      <c r="O27" s="1093"/>
      <c r="P27" s="1093"/>
      <c r="Q27" s="1093"/>
      <c r="R27" s="1093"/>
      <c r="S27" s="1093"/>
      <c r="T27" s="1093"/>
      <c r="U27" s="1093"/>
      <c r="V27" s="1456">
        <f t="shared" si="4"/>
        <v>0.65</v>
      </c>
      <c r="W27" s="1107">
        <f t="shared" ca="1" si="3"/>
        <v>5.2242265133131038</v>
      </c>
      <c r="X27" s="1093"/>
      <c r="Y27" s="1093"/>
      <c r="Z27" s="1093"/>
      <c r="AA27" s="1093"/>
      <c r="AB27" s="1093"/>
      <c r="AC27" s="1093"/>
      <c r="AD27" s="1093"/>
      <c r="AE27" s="1093"/>
      <c r="AF27" s="1093"/>
      <c r="AG27" s="1093"/>
      <c r="AH27" s="1093"/>
      <c r="AI27" s="1093"/>
      <c r="AJ27" s="1093"/>
      <c r="AK27" s="1093"/>
      <c r="AL27" s="1093"/>
      <c r="AM27" s="1093"/>
      <c r="AN27" s="1093"/>
      <c r="AO27" s="1093"/>
      <c r="AP27" s="1093"/>
      <c r="AQ27" s="1093"/>
      <c r="AR27" s="1093"/>
      <c r="AS27" s="1093"/>
      <c r="AT27" s="1093"/>
      <c r="AU27" s="1093"/>
      <c r="AV27" s="1093"/>
      <c r="AW27" s="1093"/>
      <c r="AX27" s="1093"/>
      <c r="AY27" s="1093"/>
      <c r="AZ27" s="1093"/>
      <c r="BA27" s="1093"/>
      <c r="BB27" s="1093"/>
      <c r="BC27" s="1093"/>
      <c r="BD27" s="1093"/>
      <c r="BE27" s="1093"/>
      <c r="BF27" s="1093"/>
      <c r="BG27" s="1093"/>
      <c r="BH27" s="1093"/>
      <c r="BI27" s="1093"/>
      <c r="BJ27" s="1093"/>
      <c r="BK27" s="1093"/>
      <c r="BL27" s="1093"/>
      <c r="BM27" s="1093"/>
      <c r="BN27" s="1093"/>
      <c r="BO27" s="1093"/>
      <c r="BP27" s="1093"/>
      <c r="BQ27" s="1093"/>
      <c r="BR27" s="1093"/>
      <c r="BS27" s="1093"/>
      <c r="BT27" s="1093"/>
      <c r="BU27" s="1093"/>
    </row>
    <row r="28" spans="1:73" x14ac:dyDescent="0.25">
      <c r="A28" s="1093"/>
      <c r="B28" s="1093"/>
      <c r="C28" s="1093"/>
      <c r="D28" s="1093"/>
      <c r="E28" s="1093"/>
      <c r="F28" s="1093"/>
      <c r="G28" s="1093"/>
      <c r="H28" s="1093"/>
      <c r="I28" s="1093"/>
      <c r="J28" s="1093"/>
      <c r="K28" s="1093"/>
      <c r="L28" s="1093"/>
      <c r="M28" s="1093"/>
      <c r="N28" s="1093"/>
      <c r="O28" s="1093"/>
      <c r="P28" s="1093"/>
      <c r="Q28" s="1093"/>
      <c r="R28" s="1093"/>
      <c r="S28" s="1093"/>
      <c r="T28" s="1093"/>
      <c r="U28" s="1093"/>
      <c r="V28" s="1456">
        <f t="shared" si="4"/>
        <v>0.70000000000000007</v>
      </c>
      <c r="W28" s="1107">
        <f t="shared" ca="1" si="3"/>
        <v>5.2406464681105724</v>
      </c>
      <c r="X28" s="1093"/>
      <c r="Y28" s="1093"/>
      <c r="Z28" s="1093"/>
      <c r="AA28" s="1093"/>
      <c r="AB28" s="1093"/>
      <c r="AC28" s="1093"/>
      <c r="AD28" s="1093"/>
      <c r="AE28" s="1093"/>
      <c r="AF28" s="1093"/>
      <c r="AG28" s="1093"/>
      <c r="AH28" s="1093"/>
      <c r="AI28" s="1093"/>
      <c r="AJ28" s="1093"/>
      <c r="AK28" s="1093"/>
      <c r="AL28" s="1093"/>
      <c r="AM28" s="1093"/>
      <c r="AN28" s="1093"/>
      <c r="AO28" s="1093"/>
      <c r="AP28" s="1093"/>
      <c r="AQ28" s="1093"/>
      <c r="AR28" s="1093"/>
      <c r="AS28" s="1093"/>
      <c r="AT28" s="1093"/>
      <c r="AU28" s="1093"/>
      <c r="AV28" s="1093"/>
      <c r="AW28" s="1093"/>
      <c r="AX28" s="1093"/>
      <c r="AY28" s="1093"/>
      <c r="AZ28" s="1093"/>
      <c r="BA28" s="1093"/>
      <c r="BB28" s="1093"/>
      <c r="BC28" s="1093"/>
      <c r="BD28" s="1093"/>
      <c r="BE28" s="1093"/>
      <c r="BF28" s="1093"/>
      <c r="BG28" s="1093"/>
      <c r="BH28" s="1093"/>
      <c r="BI28" s="1093"/>
      <c r="BJ28" s="1093"/>
      <c r="BK28" s="1093"/>
      <c r="BL28" s="1093"/>
      <c r="BM28" s="1093"/>
      <c r="BN28" s="1093"/>
      <c r="BO28" s="1093"/>
      <c r="BP28" s="1093"/>
      <c r="BQ28" s="1093"/>
      <c r="BR28" s="1093"/>
      <c r="BS28" s="1093"/>
      <c r="BT28" s="1093"/>
      <c r="BU28" s="1093"/>
    </row>
    <row r="29" spans="1:73" x14ac:dyDescent="0.25">
      <c r="A29" s="1093"/>
      <c r="B29" s="1093"/>
      <c r="C29" s="1093"/>
      <c r="D29" s="1093"/>
      <c r="E29" s="1093"/>
      <c r="F29" s="1093"/>
      <c r="G29" s="1093"/>
      <c r="H29" s="1093"/>
      <c r="I29" s="1093"/>
      <c r="J29" s="1093"/>
      <c r="K29" s="1093"/>
      <c r="L29" s="1093"/>
      <c r="M29" s="1093"/>
      <c r="N29" s="1093"/>
      <c r="O29" s="1093"/>
      <c r="P29" s="1093"/>
      <c r="Q29" s="1093"/>
      <c r="R29" s="1093"/>
      <c r="S29" s="1093"/>
      <c r="T29" s="1093"/>
      <c r="U29" s="1093"/>
      <c r="V29" s="1456">
        <f t="shared" si="4"/>
        <v>0.75000000000000011</v>
      </c>
      <c r="W29" s="1107">
        <f t="shared" ca="1" si="3"/>
        <v>5.2582285546534715</v>
      </c>
      <c r="X29" s="1093"/>
      <c r="Y29" s="1093"/>
      <c r="Z29" s="1093"/>
      <c r="AA29" s="1093"/>
      <c r="AB29" s="1093"/>
      <c r="AC29" s="1093"/>
      <c r="AD29" s="1093"/>
      <c r="AE29" s="1093"/>
      <c r="AF29" s="1093"/>
      <c r="AG29" s="1093"/>
      <c r="AH29" s="1093"/>
      <c r="AI29" s="1093"/>
      <c r="AJ29" s="1093"/>
      <c r="AK29" s="1093"/>
      <c r="AL29" s="1093"/>
      <c r="AM29" s="1093"/>
      <c r="AN29" s="1093"/>
      <c r="AO29" s="1093"/>
      <c r="AP29" s="1093"/>
      <c r="AQ29" s="1093"/>
      <c r="AR29" s="1093"/>
      <c r="AS29" s="1093"/>
      <c r="AT29" s="1093"/>
      <c r="AU29" s="1093"/>
      <c r="AV29" s="1093"/>
      <c r="AW29" s="1093"/>
      <c r="AX29" s="1093"/>
      <c r="AY29" s="1093"/>
      <c r="AZ29" s="1093"/>
      <c r="BA29" s="1093"/>
      <c r="BB29" s="1093"/>
      <c r="BC29" s="1093"/>
      <c r="BD29" s="1093"/>
      <c r="BE29" s="1093"/>
      <c r="BF29" s="1093"/>
      <c r="BG29" s="1093"/>
      <c r="BH29" s="1093"/>
      <c r="BI29" s="1093"/>
      <c r="BJ29" s="1093"/>
      <c r="BK29" s="1093"/>
      <c r="BL29" s="1093"/>
      <c r="BM29" s="1093"/>
      <c r="BN29" s="1093"/>
      <c r="BO29" s="1093"/>
      <c r="BP29" s="1093"/>
      <c r="BQ29" s="1093"/>
      <c r="BR29" s="1093"/>
      <c r="BS29" s="1093"/>
      <c r="BT29" s="1093"/>
      <c r="BU29" s="1093"/>
    </row>
    <row r="30" spans="1:73" x14ac:dyDescent="0.25">
      <c r="A30" s="1093"/>
      <c r="B30" s="1093"/>
      <c r="C30" s="1093"/>
      <c r="D30" s="1093"/>
      <c r="E30" s="1093"/>
      <c r="F30" s="1094"/>
      <c r="G30" s="1093"/>
      <c r="H30" s="1093"/>
      <c r="I30" s="1093"/>
      <c r="J30" s="1093"/>
      <c r="K30" s="1093"/>
      <c r="L30" s="1093"/>
      <c r="M30" s="1093"/>
      <c r="N30" s="1093"/>
      <c r="O30" s="1093"/>
      <c r="P30" s="1093"/>
      <c r="Q30" s="1093"/>
      <c r="R30" s="1093"/>
      <c r="S30" s="1093"/>
      <c r="T30" s="1093"/>
      <c r="U30" s="1093"/>
      <c r="V30" s="1456">
        <f t="shared" si="4"/>
        <v>0.80000000000000016</v>
      </c>
      <c r="W30" s="1107">
        <f t="shared" ca="1" si="3"/>
        <v>5.2769603652816821</v>
      </c>
      <c r="X30" s="1093"/>
      <c r="Y30" s="1093"/>
      <c r="Z30" s="1093"/>
      <c r="AA30" s="1093"/>
      <c r="AB30" s="1093"/>
      <c r="AC30" s="1093"/>
      <c r="AD30" s="1093"/>
      <c r="AE30" s="1093"/>
      <c r="AF30" s="1093"/>
      <c r="AG30" s="1093"/>
      <c r="AH30" s="1093"/>
      <c r="AI30" s="1093"/>
      <c r="AJ30" s="1093"/>
      <c r="AK30" s="1093"/>
      <c r="AL30" s="1093"/>
      <c r="AM30" s="1093"/>
      <c r="AN30" s="1093"/>
      <c r="AO30" s="1093"/>
      <c r="AP30" s="1093"/>
      <c r="AQ30" s="1093"/>
      <c r="AR30" s="1093"/>
      <c r="AS30" s="1093"/>
      <c r="AT30" s="1093"/>
      <c r="AU30" s="1093"/>
      <c r="AV30" s="1093"/>
      <c r="AW30" s="1093"/>
      <c r="AX30" s="1093"/>
      <c r="AY30" s="1093"/>
      <c r="AZ30" s="1093"/>
      <c r="BA30" s="1093"/>
      <c r="BB30" s="1093"/>
      <c r="BC30" s="1093"/>
      <c r="BD30" s="1093"/>
      <c r="BE30" s="1093"/>
      <c r="BF30" s="1093"/>
      <c r="BG30" s="1093"/>
      <c r="BH30" s="1093"/>
      <c r="BI30" s="1093"/>
      <c r="BJ30" s="1093"/>
      <c r="BK30" s="1093"/>
      <c r="BL30" s="1093"/>
      <c r="BM30" s="1093"/>
      <c r="BN30" s="1093"/>
      <c r="BO30" s="1093"/>
      <c r="BP30" s="1093"/>
      <c r="BQ30" s="1093"/>
      <c r="BR30" s="1093"/>
      <c r="BS30" s="1093"/>
      <c r="BT30" s="1093"/>
      <c r="BU30" s="1093"/>
    </row>
    <row r="31" spans="1:73" x14ac:dyDescent="0.25">
      <c r="A31" s="1093"/>
      <c r="B31" s="1093"/>
      <c r="C31" s="1093"/>
      <c r="D31" s="1093"/>
      <c r="E31" s="1093"/>
      <c r="F31" s="1093"/>
      <c r="G31" s="1093"/>
      <c r="H31" s="1093"/>
      <c r="I31" s="1093"/>
      <c r="J31" s="1093"/>
      <c r="K31" s="1093"/>
      <c r="L31" s="1093"/>
      <c r="M31" s="1093"/>
      <c r="N31" s="1093"/>
      <c r="O31" s="1093"/>
      <c r="P31" s="1093"/>
      <c r="Q31" s="1093"/>
      <c r="R31" s="1093"/>
      <c r="S31" s="1093"/>
      <c r="T31" s="1093"/>
      <c r="U31" s="1093"/>
      <c r="V31" s="1456">
        <f t="shared" si="4"/>
        <v>0.8500000000000002</v>
      </c>
      <c r="W31" s="1107">
        <f t="shared" ca="1" si="3"/>
        <v>5.3003540276075904</v>
      </c>
      <c r="X31" s="1093"/>
      <c r="Y31" s="1093"/>
      <c r="Z31" s="1093"/>
      <c r="AA31" s="1093"/>
      <c r="AB31" s="1093"/>
      <c r="AC31" s="1093"/>
      <c r="AD31" s="1093"/>
      <c r="AE31" s="1093"/>
      <c r="AF31" s="1093"/>
      <c r="AG31" s="1093"/>
      <c r="AH31" s="1093"/>
      <c r="AI31" s="1093"/>
      <c r="AJ31" s="1093"/>
      <c r="AK31" s="1093"/>
      <c r="AL31" s="1093"/>
      <c r="AM31" s="1093"/>
      <c r="AN31" s="1093"/>
      <c r="AO31" s="1093"/>
      <c r="AP31" s="1093"/>
      <c r="AQ31" s="1093"/>
      <c r="AR31" s="1093"/>
      <c r="AS31" s="1093"/>
      <c r="AT31" s="1093"/>
      <c r="AU31" s="1093"/>
      <c r="AV31" s="1093"/>
      <c r="AW31" s="1093"/>
      <c r="AX31" s="1093"/>
      <c r="AY31" s="1093"/>
      <c r="AZ31" s="1093"/>
      <c r="BA31" s="1093"/>
      <c r="BB31" s="1093"/>
      <c r="BC31" s="1093"/>
      <c r="BD31" s="1093"/>
      <c r="BE31" s="1093"/>
      <c r="BF31" s="1093"/>
      <c r="BG31" s="1093"/>
      <c r="BH31" s="1093"/>
      <c r="BI31" s="1093"/>
      <c r="BJ31" s="1093"/>
      <c r="BK31" s="1093"/>
      <c r="BL31" s="1093"/>
      <c r="BM31" s="1093"/>
      <c r="BN31" s="1093"/>
      <c r="BO31" s="1093"/>
      <c r="BP31" s="1093"/>
      <c r="BQ31" s="1093"/>
      <c r="BR31" s="1093"/>
      <c r="BS31" s="1093"/>
      <c r="BT31" s="1093"/>
      <c r="BU31" s="1093"/>
    </row>
    <row r="32" spans="1:73" x14ac:dyDescent="0.25">
      <c r="A32" s="1093"/>
      <c r="B32" s="1093"/>
      <c r="C32" s="1093"/>
      <c r="D32" s="1093"/>
      <c r="E32" s="1093"/>
      <c r="F32" s="1093"/>
      <c r="G32" s="1093"/>
      <c r="H32" s="1093"/>
      <c r="I32" s="1093"/>
      <c r="J32" s="1093"/>
      <c r="K32" s="1093"/>
      <c r="L32" s="1093"/>
      <c r="M32" s="1093"/>
      <c r="N32" s="1093"/>
      <c r="O32" s="1093"/>
      <c r="P32" s="1093"/>
      <c r="Q32" s="1093"/>
      <c r="R32" s="1093"/>
      <c r="S32" s="1093"/>
      <c r="T32" s="1093"/>
      <c r="U32" s="1093"/>
      <c r="V32" s="1456">
        <f t="shared" si="4"/>
        <v>0.90000000000000024</v>
      </c>
      <c r="W32" s="1107">
        <f t="shared" ca="1" si="3"/>
        <v>5.326037828551426</v>
      </c>
      <c r="X32" s="1093"/>
      <c r="Y32" s="1093"/>
      <c r="Z32" s="1093"/>
      <c r="AA32" s="1093"/>
      <c r="AB32" s="1093"/>
      <c r="AC32" s="1093"/>
      <c r="AD32" s="1093"/>
      <c r="AE32" s="1093"/>
      <c r="AF32" s="1093"/>
      <c r="AG32" s="1093"/>
      <c r="AH32" s="1093"/>
      <c r="AI32" s="1093"/>
      <c r="AJ32" s="1093"/>
      <c r="AK32" s="1093"/>
      <c r="AL32" s="1093"/>
      <c r="AM32" s="1093"/>
      <c r="AN32" s="1093"/>
      <c r="AO32" s="1093"/>
      <c r="AP32" s="1093"/>
      <c r="AQ32" s="1093"/>
      <c r="AR32" s="1093"/>
      <c r="AS32" s="1093"/>
      <c r="AT32" s="1093"/>
      <c r="AU32" s="1093"/>
      <c r="AV32" s="1093"/>
      <c r="AW32" s="1093"/>
      <c r="AX32" s="1093"/>
      <c r="AY32" s="1093"/>
      <c r="AZ32" s="1093"/>
      <c r="BA32" s="1093"/>
      <c r="BB32" s="1093"/>
      <c r="BC32" s="1093"/>
      <c r="BD32" s="1093"/>
      <c r="BE32" s="1093"/>
      <c r="BF32" s="1093"/>
      <c r="BG32" s="1093"/>
      <c r="BH32" s="1093"/>
      <c r="BI32" s="1093"/>
      <c r="BJ32" s="1093"/>
      <c r="BK32" s="1093"/>
      <c r="BL32" s="1093"/>
      <c r="BM32" s="1093"/>
      <c r="BN32" s="1093"/>
      <c r="BO32" s="1093"/>
      <c r="BP32" s="1093"/>
      <c r="BQ32" s="1093"/>
      <c r="BR32" s="1093"/>
      <c r="BS32" s="1093"/>
      <c r="BT32" s="1093"/>
      <c r="BU32" s="1093"/>
    </row>
    <row r="33" spans="1:73" x14ac:dyDescent="0.25">
      <c r="A33" s="1093"/>
      <c r="B33" s="1093"/>
      <c r="C33" s="1093"/>
      <c r="D33" s="1093"/>
      <c r="E33" s="1093"/>
      <c r="F33" s="1093"/>
      <c r="G33" s="1093"/>
      <c r="H33" s="1093"/>
      <c r="I33" s="1093"/>
      <c r="J33" s="1093"/>
      <c r="K33" s="1093"/>
      <c r="L33" s="1093"/>
      <c r="M33" s="1093"/>
      <c r="N33" s="1093"/>
      <c r="O33" s="1093"/>
      <c r="P33" s="1093"/>
      <c r="Q33" s="1093"/>
      <c r="R33" s="1093"/>
      <c r="S33" s="1093"/>
      <c r="T33" s="1093"/>
      <c r="U33" s="1093"/>
      <c r="V33" s="1457">
        <f t="shared" si="4"/>
        <v>0.95000000000000029</v>
      </c>
      <c r="W33" s="1458">
        <f t="shared" ca="1" si="3"/>
        <v>5.3536462003126442</v>
      </c>
      <c r="X33" s="1093"/>
      <c r="Y33" s="1093"/>
      <c r="Z33" s="1093"/>
      <c r="AA33" s="1093"/>
      <c r="AB33" s="1093"/>
      <c r="AC33" s="1093"/>
      <c r="AD33" s="1093"/>
      <c r="AE33" s="1093"/>
      <c r="AF33" s="1093"/>
      <c r="AG33" s="1093"/>
      <c r="AH33" s="1093"/>
      <c r="AI33" s="1093"/>
      <c r="AJ33" s="1093"/>
      <c r="AK33" s="1093"/>
      <c r="AL33" s="1093"/>
      <c r="AM33" s="1093"/>
      <c r="AN33" s="1093"/>
      <c r="AO33" s="1093"/>
      <c r="AP33" s="1093"/>
      <c r="AQ33" s="1093"/>
      <c r="AR33" s="1093"/>
      <c r="AS33" s="1093"/>
      <c r="AT33" s="1093"/>
      <c r="AU33" s="1093"/>
      <c r="AV33" s="1093"/>
      <c r="AW33" s="1093"/>
      <c r="AX33" s="1093"/>
      <c r="AY33" s="1093"/>
      <c r="AZ33" s="1093"/>
      <c r="BA33" s="1093"/>
      <c r="BB33" s="1093"/>
      <c r="BC33" s="1093"/>
      <c r="BD33" s="1093"/>
      <c r="BE33" s="1093"/>
      <c r="BF33" s="1093"/>
      <c r="BG33" s="1093"/>
      <c r="BH33" s="1093"/>
      <c r="BI33" s="1093"/>
      <c r="BJ33" s="1093"/>
      <c r="BK33" s="1093"/>
      <c r="BL33" s="1093"/>
      <c r="BM33" s="1093"/>
      <c r="BN33" s="1093"/>
      <c r="BO33" s="1093"/>
      <c r="BP33" s="1093"/>
      <c r="BQ33" s="1093"/>
      <c r="BR33" s="1093"/>
      <c r="BS33" s="1093"/>
      <c r="BT33" s="1093"/>
      <c r="BU33" s="1093"/>
    </row>
    <row r="34" spans="1:73" x14ac:dyDescent="0.25">
      <c r="A34" s="1093"/>
      <c r="B34" s="1093"/>
      <c r="C34" s="1093"/>
      <c r="D34" s="1093"/>
      <c r="E34" s="1093"/>
      <c r="F34" s="1093"/>
      <c r="G34" s="1093"/>
      <c r="H34" s="1093"/>
      <c r="I34" s="1093"/>
      <c r="J34" s="1093"/>
      <c r="K34" s="1093"/>
      <c r="L34" s="1093"/>
      <c r="M34" s="1093"/>
      <c r="N34" s="1093"/>
      <c r="O34" s="1093"/>
      <c r="P34" s="1093"/>
      <c r="Q34" s="1093"/>
      <c r="R34" s="1093"/>
      <c r="S34" s="1093"/>
      <c r="T34" s="1093"/>
      <c r="U34" s="1093"/>
      <c r="V34" s="1456">
        <v>1</v>
      </c>
      <c r="W34" s="1107">
        <f ca="1">+MAX(OFFSET($B$251:$B$2250,0,$C$194))*$C$198</f>
        <v>5.4606736128944435</v>
      </c>
      <c r="X34" s="1093"/>
      <c r="Y34" s="1093"/>
      <c r="Z34" s="1093"/>
      <c r="AA34" s="1093"/>
      <c r="AB34" s="1093"/>
      <c r="AC34" s="1093"/>
      <c r="AD34" s="1093"/>
      <c r="AE34" s="1093"/>
      <c r="AF34" s="1093"/>
      <c r="AG34" s="1093"/>
      <c r="AH34" s="1093"/>
      <c r="AI34" s="1093"/>
      <c r="AJ34" s="1093"/>
      <c r="AK34" s="1093"/>
      <c r="AL34" s="1093"/>
      <c r="AM34" s="1093"/>
      <c r="AN34" s="1093"/>
      <c r="AO34" s="1093"/>
      <c r="AP34" s="1093"/>
      <c r="AQ34" s="1093"/>
      <c r="AR34" s="1093"/>
      <c r="AS34" s="1093"/>
      <c r="AT34" s="1093"/>
      <c r="AU34" s="1093"/>
      <c r="AV34" s="1093"/>
      <c r="AW34" s="1093"/>
      <c r="AX34" s="1093"/>
      <c r="AY34" s="1093"/>
      <c r="AZ34" s="1093"/>
      <c r="BA34" s="1093"/>
      <c r="BB34" s="1093"/>
      <c r="BC34" s="1093"/>
      <c r="BD34" s="1093"/>
      <c r="BE34" s="1093"/>
      <c r="BF34" s="1093"/>
      <c r="BG34" s="1093"/>
      <c r="BH34" s="1093"/>
      <c r="BI34" s="1093"/>
      <c r="BJ34" s="1093"/>
      <c r="BK34" s="1093"/>
      <c r="BL34" s="1093"/>
      <c r="BM34" s="1093"/>
      <c r="BN34" s="1093"/>
      <c r="BO34" s="1093"/>
      <c r="BP34" s="1093"/>
      <c r="BQ34" s="1093"/>
      <c r="BR34" s="1093"/>
      <c r="BS34" s="1093"/>
      <c r="BT34" s="1093"/>
      <c r="BU34" s="1093"/>
    </row>
    <row r="35" spans="1:73" ht="13" x14ac:dyDescent="0.3">
      <c r="A35" s="1093"/>
      <c r="B35" s="1093"/>
      <c r="C35" s="1093"/>
      <c r="D35" s="1093"/>
      <c r="E35" s="1093"/>
      <c r="F35" s="1093"/>
      <c r="G35" s="1093"/>
      <c r="H35" s="1093"/>
      <c r="I35" s="1093"/>
      <c r="J35" s="1093"/>
      <c r="K35" s="1093"/>
      <c r="L35" s="1093"/>
      <c r="M35" s="1228"/>
      <c r="N35" s="1093"/>
      <c r="O35" s="1093"/>
      <c r="P35" s="1093"/>
      <c r="Q35" s="1093"/>
      <c r="R35" s="1093"/>
      <c r="S35" s="1093"/>
      <c r="T35" s="1093"/>
      <c r="U35" s="1093"/>
      <c r="V35" s="1093"/>
      <c r="W35" s="1093"/>
      <c r="X35" s="1093"/>
      <c r="Y35" s="1093"/>
      <c r="Z35" s="1093"/>
      <c r="AA35" s="1093"/>
      <c r="AB35" s="1093"/>
      <c r="AC35" s="1093"/>
      <c r="AD35" s="1093"/>
      <c r="AE35" s="1093"/>
      <c r="AF35" s="1093"/>
      <c r="AG35" s="1093"/>
      <c r="AH35" s="1093"/>
      <c r="AI35" s="1093"/>
      <c r="AJ35" s="1093"/>
      <c r="AK35" s="1093"/>
      <c r="AL35" s="1093"/>
      <c r="AM35" s="1093"/>
      <c r="AN35" s="1093"/>
      <c r="AO35" s="1093"/>
      <c r="AP35" s="1093"/>
      <c r="AQ35" s="1093"/>
      <c r="AR35" s="1093"/>
      <c r="AS35" s="1093"/>
      <c r="AT35" s="1093"/>
      <c r="AU35" s="1093"/>
      <c r="AV35" s="1093"/>
      <c r="AW35" s="1093"/>
      <c r="AX35" s="1093"/>
      <c r="AY35" s="1093"/>
      <c r="AZ35" s="1093"/>
      <c r="BA35" s="1093"/>
      <c r="BB35" s="1093"/>
      <c r="BC35" s="1093"/>
      <c r="BD35" s="1093"/>
      <c r="BE35" s="1093"/>
      <c r="BF35" s="1093"/>
      <c r="BG35" s="1093"/>
      <c r="BH35" s="1093"/>
      <c r="BI35" s="1093"/>
      <c r="BJ35" s="1093"/>
      <c r="BK35" s="1093"/>
      <c r="BL35" s="1093"/>
      <c r="BM35" s="1093"/>
      <c r="BN35" s="1093"/>
      <c r="BO35" s="1093"/>
      <c r="BP35" s="1093"/>
      <c r="BQ35" s="1093"/>
      <c r="BR35" s="1093"/>
      <c r="BS35" s="1093"/>
      <c r="BT35" s="1093"/>
      <c r="BU35" s="1093"/>
    </row>
    <row r="36" spans="1:73" x14ac:dyDescent="0.25">
      <c r="A36" s="1093"/>
      <c r="B36" s="1093"/>
      <c r="C36" s="1093"/>
      <c r="D36" s="1093"/>
      <c r="E36" s="1093"/>
      <c r="F36" s="1093"/>
      <c r="G36" s="1093"/>
      <c r="H36" s="1093"/>
      <c r="I36" s="1093"/>
      <c r="J36" s="1093"/>
      <c r="K36" s="1093"/>
      <c r="L36" s="1093"/>
      <c r="M36" s="1093"/>
      <c r="N36" s="1093"/>
      <c r="O36" s="1093"/>
      <c r="P36" s="1093"/>
      <c r="Q36" s="1093"/>
      <c r="R36" s="1093"/>
      <c r="S36" s="1093"/>
      <c r="T36" s="1093"/>
      <c r="U36" s="1093"/>
      <c r="V36" s="1093"/>
      <c r="W36" s="1093"/>
      <c r="X36" s="1093"/>
      <c r="Y36" s="1093"/>
      <c r="Z36" s="1093"/>
      <c r="AA36" s="1093"/>
      <c r="AB36" s="1093"/>
      <c r="AC36" s="1093"/>
      <c r="AD36" s="1093"/>
      <c r="AE36" s="1093"/>
      <c r="AF36" s="1093"/>
      <c r="AG36" s="1093"/>
      <c r="AH36" s="1093"/>
      <c r="AI36" s="1093"/>
      <c r="AJ36" s="1093"/>
      <c r="AK36" s="1093"/>
      <c r="AL36" s="1093"/>
      <c r="AM36" s="1093"/>
      <c r="AN36" s="1093"/>
      <c r="AO36" s="1093"/>
      <c r="AP36" s="1093"/>
      <c r="AQ36" s="1093"/>
      <c r="AR36" s="1093"/>
      <c r="AS36" s="1093"/>
      <c r="AT36" s="1093"/>
      <c r="AU36" s="1093"/>
      <c r="AV36" s="1093"/>
      <c r="AW36" s="1093"/>
      <c r="AX36" s="1093"/>
      <c r="AY36" s="1093"/>
      <c r="AZ36" s="1093"/>
      <c r="BA36" s="1093"/>
      <c r="BB36" s="1093"/>
      <c r="BC36" s="1093"/>
      <c r="BD36" s="1093"/>
      <c r="BE36" s="1093"/>
      <c r="BF36" s="1093"/>
      <c r="BG36" s="1093"/>
      <c r="BH36" s="1093"/>
      <c r="BI36" s="1093"/>
      <c r="BJ36" s="1093"/>
      <c r="BK36" s="1093"/>
      <c r="BL36" s="1093"/>
      <c r="BM36" s="1093"/>
      <c r="BN36" s="1093"/>
      <c r="BO36" s="1093"/>
      <c r="BP36" s="1093"/>
      <c r="BQ36" s="1093"/>
      <c r="BR36" s="1093"/>
      <c r="BS36" s="1093"/>
      <c r="BT36" s="1093"/>
      <c r="BU36" s="1093"/>
    </row>
    <row r="37" spans="1:73" x14ac:dyDescent="0.25">
      <c r="A37" s="1093"/>
      <c r="B37" s="1093"/>
      <c r="C37" s="1093"/>
      <c r="D37" s="1093"/>
      <c r="E37" s="1093"/>
      <c r="F37" s="1093"/>
      <c r="G37" s="1093"/>
      <c r="H37" s="1093"/>
      <c r="I37" s="1093"/>
      <c r="J37" s="1093"/>
      <c r="K37" s="1093"/>
      <c r="L37" s="1093"/>
      <c r="M37" s="1093"/>
      <c r="N37" s="1093"/>
      <c r="O37" s="1093"/>
      <c r="P37" s="1093"/>
      <c r="Q37" s="1093"/>
      <c r="R37" s="1093"/>
      <c r="S37" s="1093"/>
      <c r="T37" s="1093"/>
      <c r="U37" s="1093"/>
      <c r="V37" s="1093"/>
      <c r="W37" s="1093"/>
      <c r="X37" s="1093"/>
      <c r="Y37" s="1093"/>
      <c r="Z37" s="1093"/>
      <c r="AA37" s="1093"/>
      <c r="AB37" s="1093"/>
      <c r="AC37" s="1093"/>
      <c r="AD37" s="1093"/>
      <c r="AE37" s="1093"/>
      <c r="AF37" s="1093"/>
      <c r="AG37" s="1093"/>
      <c r="AH37" s="1093"/>
      <c r="AI37" s="1093"/>
      <c r="AJ37" s="1093"/>
      <c r="AK37" s="1093"/>
      <c r="AL37" s="1093"/>
      <c r="AM37" s="1093"/>
      <c r="AN37" s="1093"/>
      <c r="AO37" s="1093"/>
      <c r="AP37" s="1093"/>
      <c r="AQ37" s="1093"/>
      <c r="AR37" s="1093"/>
      <c r="AS37" s="1093"/>
      <c r="AT37" s="1093"/>
      <c r="AU37" s="1093"/>
      <c r="AV37" s="1093"/>
      <c r="AW37" s="1093"/>
      <c r="AX37" s="1093"/>
      <c r="AY37" s="1093"/>
      <c r="AZ37" s="1093"/>
      <c r="BA37" s="1093"/>
      <c r="BB37" s="1093"/>
      <c r="BC37" s="1093"/>
      <c r="BD37" s="1093"/>
      <c r="BE37" s="1093"/>
      <c r="BF37" s="1093"/>
      <c r="BG37" s="1093"/>
      <c r="BH37" s="1093"/>
      <c r="BI37" s="1093"/>
      <c r="BJ37" s="1093"/>
      <c r="BK37" s="1093"/>
      <c r="BL37" s="1093"/>
      <c r="BM37" s="1093"/>
      <c r="BN37" s="1093"/>
      <c r="BO37" s="1093"/>
      <c r="BP37" s="1093"/>
      <c r="BQ37" s="1093"/>
      <c r="BR37" s="1093"/>
      <c r="BS37" s="1093"/>
      <c r="BT37" s="1093"/>
      <c r="BU37" s="1093"/>
    </row>
    <row r="38" spans="1:73" x14ac:dyDescent="0.25">
      <c r="A38" s="1093"/>
      <c r="B38" s="1093"/>
      <c r="C38" s="1093"/>
      <c r="D38" s="1093"/>
      <c r="E38" s="1093"/>
      <c r="F38" s="1093"/>
      <c r="G38" s="1093"/>
      <c r="H38" s="1093"/>
      <c r="I38" s="1093"/>
      <c r="J38" s="1093"/>
      <c r="K38" s="1093"/>
      <c r="L38" s="1093"/>
      <c r="M38" s="1093"/>
      <c r="N38" s="1093"/>
      <c r="O38" s="1093"/>
      <c r="P38" s="1093"/>
      <c r="Q38" s="1093"/>
      <c r="R38" s="1093"/>
      <c r="S38" s="1093"/>
      <c r="T38" s="1093"/>
      <c r="U38" s="1093"/>
      <c r="V38" s="1093"/>
      <c r="W38" s="1093"/>
      <c r="X38" s="1093"/>
      <c r="Y38" s="1093"/>
      <c r="Z38" s="1093"/>
      <c r="AA38" s="1093"/>
      <c r="AB38" s="1093"/>
      <c r="AC38" s="1093"/>
      <c r="AD38" s="1093"/>
      <c r="AE38" s="1093"/>
      <c r="AF38" s="1093"/>
      <c r="AG38" s="1093"/>
      <c r="AH38" s="1093"/>
      <c r="AI38" s="1093"/>
      <c r="AJ38" s="1093"/>
      <c r="AK38" s="1093"/>
      <c r="AL38" s="1093"/>
      <c r="AM38" s="1093"/>
      <c r="AN38" s="1093"/>
      <c r="AO38" s="1093"/>
      <c r="AP38" s="1093"/>
      <c r="AQ38" s="1093"/>
      <c r="AR38" s="1093"/>
      <c r="AS38" s="1093"/>
      <c r="AT38" s="1093"/>
      <c r="AU38" s="1093"/>
      <c r="AV38" s="1093"/>
      <c r="AW38" s="1093"/>
      <c r="AX38" s="1093"/>
      <c r="AY38" s="1093"/>
      <c r="AZ38" s="1093"/>
      <c r="BA38" s="1093"/>
      <c r="BB38" s="1093"/>
      <c r="BC38" s="1093"/>
      <c r="BD38" s="1093"/>
      <c r="BE38" s="1093"/>
      <c r="BF38" s="1093"/>
      <c r="BG38" s="1093"/>
      <c r="BH38" s="1093"/>
      <c r="BI38" s="1093"/>
      <c r="BJ38" s="1093"/>
      <c r="BK38" s="1093"/>
      <c r="BL38" s="1093"/>
      <c r="BM38" s="1093"/>
      <c r="BN38" s="1093"/>
      <c r="BO38" s="1093"/>
      <c r="BP38" s="1093"/>
      <c r="BQ38" s="1093"/>
      <c r="BR38" s="1093"/>
      <c r="BS38" s="1093"/>
      <c r="BT38" s="1093"/>
      <c r="BU38" s="1093"/>
    </row>
    <row r="39" spans="1:73" x14ac:dyDescent="0.25">
      <c r="A39" s="1093"/>
      <c r="B39" s="1093"/>
      <c r="C39" s="1093"/>
      <c r="D39" s="1093"/>
      <c r="E39" s="1093"/>
      <c r="F39" s="1093"/>
      <c r="G39" s="1093"/>
      <c r="H39" s="1093"/>
      <c r="I39" s="1093"/>
      <c r="J39" s="1093"/>
      <c r="K39" s="1093"/>
      <c r="L39" s="1093"/>
      <c r="M39" s="1093"/>
      <c r="N39" s="1093"/>
      <c r="O39" s="1093"/>
      <c r="P39" s="1093"/>
      <c r="Q39" s="1093"/>
      <c r="R39" s="1093"/>
      <c r="S39" s="1093"/>
      <c r="T39" s="1093"/>
      <c r="U39" s="1093"/>
      <c r="V39" s="1093"/>
      <c r="W39" s="1093"/>
      <c r="X39" s="1093"/>
      <c r="Y39" s="1093"/>
      <c r="Z39" s="1093"/>
      <c r="AA39" s="1093"/>
      <c r="AB39" s="1093"/>
      <c r="AC39" s="1093"/>
      <c r="AD39" s="1093"/>
      <c r="AE39" s="1093"/>
      <c r="AF39" s="1093"/>
      <c r="AG39" s="1093"/>
      <c r="AH39" s="1093"/>
      <c r="AI39" s="1093"/>
      <c r="AJ39" s="1093"/>
      <c r="AK39" s="1093"/>
      <c r="AL39" s="1093"/>
      <c r="AM39" s="1093"/>
      <c r="AN39" s="1093"/>
      <c r="AO39" s="1093"/>
      <c r="AP39" s="1093"/>
      <c r="AQ39" s="1093"/>
      <c r="AR39" s="1093"/>
      <c r="AS39" s="1093"/>
      <c r="AT39" s="1093"/>
      <c r="AU39" s="1093"/>
      <c r="AV39" s="1093"/>
      <c r="AW39" s="1093"/>
      <c r="AX39" s="1093"/>
      <c r="AY39" s="1093"/>
      <c r="AZ39" s="1093"/>
      <c r="BA39" s="1093"/>
      <c r="BB39" s="1093"/>
      <c r="BC39" s="1093"/>
      <c r="BD39" s="1093"/>
      <c r="BE39" s="1093"/>
      <c r="BF39" s="1093"/>
      <c r="BG39" s="1093"/>
      <c r="BH39" s="1093"/>
      <c r="BI39" s="1093"/>
      <c r="BJ39" s="1093"/>
      <c r="BK39" s="1093"/>
      <c r="BL39" s="1093"/>
      <c r="BM39" s="1093"/>
      <c r="BN39" s="1093"/>
      <c r="BO39" s="1093"/>
      <c r="BP39" s="1093"/>
      <c r="BQ39" s="1093"/>
      <c r="BR39" s="1093"/>
      <c r="BS39" s="1093"/>
      <c r="BT39" s="1093"/>
      <c r="BU39" s="1093"/>
    </row>
    <row r="40" spans="1:73" x14ac:dyDescent="0.25">
      <c r="A40" s="1093"/>
      <c r="B40" s="1093"/>
      <c r="C40" s="1093"/>
      <c r="D40" s="1093"/>
      <c r="E40" s="1093"/>
      <c r="F40" s="1093"/>
      <c r="G40" s="1093"/>
      <c r="H40" s="1093"/>
      <c r="I40" s="1093"/>
      <c r="J40" s="1093"/>
      <c r="K40" s="1093"/>
      <c r="L40" s="1093"/>
      <c r="M40" s="1093"/>
      <c r="N40" s="1093"/>
      <c r="O40" s="1093"/>
      <c r="P40" s="1093"/>
      <c r="Q40" s="1093"/>
      <c r="R40" s="1093"/>
      <c r="S40" s="1093"/>
      <c r="T40" s="1093"/>
      <c r="U40" s="1093"/>
      <c r="V40" s="1093"/>
      <c r="W40" s="1093"/>
      <c r="X40" s="1093"/>
      <c r="Y40" s="1093"/>
      <c r="Z40" s="1093"/>
      <c r="AA40" s="1093"/>
      <c r="AB40" s="1093"/>
      <c r="AC40" s="1093"/>
      <c r="AD40" s="1093"/>
      <c r="AE40" s="1093"/>
      <c r="AF40" s="1093"/>
      <c r="AG40" s="1093"/>
      <c r="AH40" s="1093"/>
      <c r="AI40" s="1093"/>
      <c r="AJ40" s="1093"/>
      <c r="AK40" s="1093"/>
      <c r="AL40" s="1093"/>
      <c r="AM40" s="1093"/>
      <c r="AN40" s="1093"/>
      <c r="AO40" s="1093"/>
      <c r="AP40" s="1093"/>
      <c r="AQ40" s="1093"/>
      <c r="AR40" s="1093"/>
      <c r="AS40" s="1093"/>
      <c r="AT40" s="1093"/>
      <c r="AU40" s="1093"/>
      <c r="AV40" s="1093"/>
      <c r="AW40" s="1093"/>
      <c r="AX40" s="1093"/>
      <c r="AY40" s="1093"/>
      <c r="AZ40" s="1093"/>
      <c r="BA40" s="1093"/>
      <c r="BB40" s="1093"/>
      <c r="BC40" s="1093"/>
      <c r="BD40" s="1093"/>
      <c r="BE40" s="1093"/>
      <c r="BF40" s="1093"/>
      <c r="BG40" s="1093"/>
      <c r="BH40" s="1093"/>
      <c r="BI40" s="1093"/>
      <c r="BJ40" s="1093"/>
      <c r="BK40" s="1093"/>
      <c r="BL40" s="1093"/>
      <c r="BM40" s="1093"/>
      <c r="BN40" s="1093"/>
      <c r="BO40" s="1093"/>
      <c r="BP40" s="1093"/>
      <c r="BQ40" s="1093"/>
      <c r="BR40" s="1093"/>
      <c r="BS40" s="1093"/>
      <c r="BT40" s="1093"/>
      <c r="BU40" s="1093"/>
    </row>
    <row r="41" spans="1:73" x14ac:dyDescent="0.25">
      <c r="A41" s="1093"/>
      <c r="B41" s="1093"/>
      <c r="C41" s="1093"/>
      <c r="D41" s="1093"/>
      <c r="E41" s="1093"/>
      <c r="F41" s="1093"/>
      <c r="G41" s="1093"/>
      <c r="H41" s="1093"/>
      <c r="I41" s="1093"/>
      <c r="J41" s="1093"/>
      <c r="K41" s="1093"/>
      <c r="L41" s="1093"/>
      <c r="M41" s="1093"/>
      <c r="N41" s="1093"/>
      <c r="O41" s="1093"/>
      <c r="P41" s="1093"/>
      <c r="Q41" s="1093"/>
      <c r="R41" s="1093"/>
      <c r="S41" s="1093"/>
      <c r="T41" s="1093"/>
      <c r="U41" s="1093"/>
      <c r="V41" s="1093"/>
      <c r="W41" s="1093"/>
      <c r="X41" s="1093"/>
      <c r="Y41" s="1093"/>
      <c r="Z41" s="1093"/>
      <c r="AA41" s="1093"/>
      <c r="AB41" s="1093"/>
      <c r="AC41" s="1093"/>
      <c r="AD41" s="1093"/>
      <c r="AE41" s="1093"/>
      <c r="AF41" s="1093"/>
      <c r="AG41" s="1093"/>
      <c r="AH41" s="1093"/>
      <c r="AI41" s="1093"/>
      <c r="AJ41" s="1093"/>
      <c r="AK41" s="1093"/>
      <c r="AL41" s="1093"/>
      <c r="AM41" s="1093"/>
      <c r="AN41" s="1093"/>
      <c r="AO41" s="1093"/>
      <c r="AP41" s="1093"/>
      <c r="AQ41" s="1093"/>
      <c r="AR41" s="1093"/>
      <c r="AS41" s="1093"/>
      <c r="AT41" s="1093"/>
      <c r="AU41" s="1093"/>
      <c r="AV41" s="1093"/>
      <c r="AW41" s="1093"/>
      <c r="AX41" s="1093"/>
      <c r="AY41" s="1093"/>
      <c r="AZ41" s="1093"/>
      <c r="BA41" s="1093"/>
      <c r="BB41" s="1093"/>
      <c r="BC41" s="1093"/>
      <c r="BD41" s="1093"/>
      <c r="BE41" s="1093"/>
      <c r="BF41" s="1093"/>
      <c r="BG41" s="1093"/>
      <c r="BH41" s="1093"/>
      <c r="BI41" s="1093"/>
      <c r="BJ41" s="1093"/>
      <c r="BK41" s="1093"/>
      <c r="BL41" s="1093"/>
      <c r="BM41" s="1093"/>
      <c r="BN41" s="1093"/>
      <c r="BO41" s="1093"/>
      <c r="BP41" s="1093"/>
      <c r="BQ41" s="1093"/>
      <c r="BR41" s="1093"/>
      <c r="BS41" s="1093"/>
      <c r="BT41" s="1093"/>
      <c r="BU41" s="1093"/>
    </row>
    <row r="42" spans="1:73" x14ac:dyDescent="0.25">
      <c r="A42" s="1093"/>
      <c r="B42" s="1093"/>
      <c r="C42" s="1093"/>
      <c r="D42" s="1093"/>
      <c r="E42" s="1093"/>
      <c r="F42" s="1093"/>
      <c r="G42" s="1093"/>
      <c r="H42" s="1093"/>
      <c r="I42" s="1093"/>
      <c r="J42" s="1093"/>
      <c r="K42" s="1093"/>
      <c r="L42" s="1093"/>
      <c r="M42" s="1093"/>
      <c r="N42" s="1093"/>
      <c r="O42" s="1093"/>
      <c r="P42" s="1093"/>
      <c r="Q42" s="1093"/>
      <c r="R42" s="1093"/>
      <c r="S42" s="1093"/>
      <c r="T42" s="1093"/>
      <c r="U42" s="1093"/>
      <c r="V42" s="1093"/>
      <c r="W42" s="1093"/>
      <c r="X42" s="1093"/>
      <c r="Y42" s="1093"/>
      <c r="Z42" s="1093"/>
      <c r="AA42" s="1093"/>
      <c r="AB42" s="1093"/>
      <c r="AC42" s="1093"/>
      <c r="AD42" s="1093"/>
      <c r="AE42" s="1093"/>
      <c r="AF42" s="1093"/>
      <c r="AG42" s="1093"/>
      <c r="AH42" s="1093"/>
      <c r="AI42" s="1093"/>
      <c r="AJ42" s="1093"/>
      <c r="AK42" s="1093"/>
      <c r="AL42" s="1093"/>
      <c r="AM42" s="1093"/>
      <c r="AN42" s="1093"/>
      <c r="AO42" s="1093"/>
      <c r="AP42" s="1093"/>
      <c r="AQ42" s="1093"/>
      <c r="AR42" s="1093"/>
      <c r="AS42" s="1093"/>
      <c r="AT42" s="1093"/>
      <c r="AU42" s="1093"/>
      <c r="AV42" s="1093"/>
      <c r="AW42" s="1093"/>
      <c r="AX42" s="1093"/>
      <c r="AY42" s="1093"/>
      <c r="AZ42" s="1093"/>
      <c r="BA42" s="1093"/>
      <c r="BB42" s="1093"/>
      <c r="BC42" s="1093"/>
      <c r="BD42" s="1093"/>
      <c r="BE42" s="1093"/>
      <c r="BF42" s="1093"/>
      <c r="BG42" s="1093"/>
      <c r="BH42" s="1093"/>
      <c r="BI42" s="1093"/>
      <c r="BJ42" s="1093"/>
      <c r="BK42" s="1093"/>
      <c r="BL42" s="1093"/>
      <c r="BM42" s="1093"/>
      <c r="BN42" s="1093"/>
      <c r="BO42" s="1093"/>
      <c r="BP42" s="1093"/>
      <c r="BQ42" s="1093"/>
      <c r="BR42" s="1093"/>
      <c r="BS42" s="1093"/>
      <c r="BT42" s="1093"/>
      <c r="BU42" s="1093"/>
    </row>
    <row r="43" spans="1:73" x14ac:dyDescent="0.25">
      <c r="A43" s="1093"/>
      <c r="B43" s="1093"/>
      <c r="C43" s="1093"/>
      <c r="D43" s="1093"/>
      <c r="E43" s="1093"/>
      <c r="F43" s="1093"/>
      <c r="G43" s="1093"/>
      <c r="H43" s="1093"/>
      <c r="I43" s="1093"/>
      <c r="J43" s="1093"/>
      <c r="K43" s="1093"/>
      <c r="L43" s="1093"/>
      <c r="M43" s="1093"/>
      <c r="N43" s="1093"/>
      <c r="O43" s="1093"/>
      <c r="P43" s="1093"/>
      <c r="Q43" s="1093"/>
      <c r="R43" s="1093"/>
      <c r="S43" s="1093"/>
      <c r="T43" s="1093"/>
      <c r="U43" s="1093"/>
      <c r="V43" s="1093"/>
      <c r="W43" s="1093"/>
      <c r="X43" s="1093"/>
      <c r="Y43" s="1093"/>
      <c r="Z43" s="1093"/>
      <c r="AA43" s="1093"/>
      <c r="AB43" s="1093"/>
      <c r="AC43" s="1093"/>
      <c r="AD43" s="1093"/>
      <c r="AE43" s="1093"/>
      <c r="AF43" s="1093"/>
      <c r="AG43" s="1093"/>
      <c r="AH43" s="1093"/>
      <c r="AI43" s="1093"/>
      <c r="AJ43" s="1093"/>
      <c r="AK43" s="1093"/>
      <c r="AL43" s="1093"/>
      <c r="AM43" s="1093"/>
      <c r="AN43" s="1093"/>
      <c r="AO43" s="1093"/>
      <c r="AP43" s="1093"/>
      <c r="AQ43" s="1093"/>
      <c r="AR43" s="1093"/>
      <c r="AS43" s="1093"/>
      <c r="AT43" s="1093"/>
      <c r="AU43" s="1093"/>
      <c r="AV43" s="1093"/>
      <c r="AW43" s="1093"/>
      <c r="AX43" s="1093"/>
      <c r="AY43" s="1093"/>
      <c r="AZ43" s="1093"/>
      <c r="BA43" s="1093"/>
      <c r="BB43" s="1093"/>
      <c r="BC43" s="1093"/>
      <c r="BD43" s="1093"/>
      <c r="BE43" s="1093"/>
      <c r="BF43" s="1093"/>
      <c r="BG43" s="1093"/>
      <c r="BH43" s="1093"/>
      <c r="BI43" s="1093"/>
      <c r="BJ43" s="1093"/>
      <c r="BK43" s="1093"/>
      <c r="BL43" s="1093"/>
      <c r="BM43" s="1093"/>
      <c r="BN43" s="1093"/>
      <c r="BO43" s="1093"/>
      <c r="BP43" s="1093"/>
      <c r="BQ43" s="1093"/>
      <c r="BR43" s="1093"/>
      <c r="BS43" s="1093"/>
      <c r="BT43" s="1093"/>
      <c r="BU43" s="1093"/>
    </row>
    <row r="44" spans="1:73" x14ac:dyDescent="0.25">
      <c r="A44" s="1093"/>
      <c r="B44" s="1093"/>
      <c r="C44" s="1093"/>
      <c r="D44" s="1093"/>
      <c r="E44" s="1093"/>
      <c r="F44" s="1093"/>
      <c r="G44" s="1093"/>
      <c r="H44" s="1093"/>
      <c r="I44" s="1093"/>
      <c r="J44" s="1093"/>
      <c r="K44" s="1093"/>
      <c r="L44" s="1093"/>
      <c r="M44" s="1093"/>
      <c r="N44" s="1093"/>
      <c r="O44" s="1093"/>
      <c r="P44" s="1093"/>
      <c r="Q44" s="1093"/>
      <c r="R44" s="1093"/>
      <c r="S44" s="1093"/>
      <c r="T44" s="1093"/>
      <c r="U44" s="1093"/>
      <c r="V44" s="1093"/>
      <c r="W44" s="1093"/>
      <c r="X44" s="1093"/>
      <c r="Y44" s="1093"/>
      <c r="Z44" s="1093"/>
      <c r="AA44" s="1093"/>
      <c r="AB44" s="1093"/>
      <c r="AC44" s="1093"/>
      <c r="AD44" s="1093"/>
      <c r="AE44" s="1093"/>
      <c r="AF44" s="1093"/>
      <c r="AG44" s="1093"/>
      <c r="AH44" s="1093"/>
      <c r="AI44" s="1093"/>
      <c r="AJ44" s="1093"/>
      <c r="AK44" s="1093"/>
      <c r="AL44" s="1093"/>
      <c r="AM44" s="1093"/>
      <c r="AN44" s="1093"/>
      <c r="AO44" s="1093"/>
      <c r="AP44" s="1093"/>
      <c r="AQ44" s="1093"/>
      <c r="AR44" s="1093"/>
      <c r="AS44" s="1093"/>
      <c r="AT44" s="1093"/>
      <c r="AU44" s="1093"/>
      <c r="AV44" s="1093"/>
      <c r="AW44" s="1093"/>
      <c r="AX44" s="1093"/>
      <c r="AY44" s="1093"/>
      <c r="AZ44" s="1093"/>
      <c r="BA44" s="1093"/>
      <c r="BB44" s="1093"/>
      <c r="BC44" s="1093"/>
      <c r="BD44" s="1093"/>
      <c r="BE44" s="1093"/>
      <c r="BF44" s="1093"/>
      <c r="BG44" s="1093"/>
      <c r="BH44" s="1093"/>
      <c r="BI44" s="1093"/>
      <c r="BJ44" s="1093"/>
      <c r="BK44" s="1093"/>
      <c r="BL44" s="1093"/>
      <c r="BM44" s="1093"/>
      <c r="BN44" s="1093"/>
      <c r="BO44" s="1093"/>
      <c r="BP44" s="1093"/>
      <c r="BQ44" s="1093"/>
      <c r="BR44" s="1093"/>
      <c r="BS44" s="1093"/>
      <c r="BT44" s="1093"/>
      <c r="BU44" s="1093"/>
    </row>
    <row r="45" spans="1:73" ht="13.5" thickBot="1" x14ac:dyDescent="0.35">
      <c r="A45" s="1093"/>
      <c r="B45" s="1191" t="s">
        <v>1320</v>
      </c>
      <c r="C45" s="1191"/>
      <c r="D45" s="1191"/>
      <c r="E45" s="1191"/>
      <c r="F45" s="1191"/>
      <c r="G45" s="1191"/>
      <c r="H45" s="1191"/>
      <c r="I45" s="1191"/>
      <c r="J45" s="1191"/>
      <c r="K45" s="1191"/>
      <c r="L45" s="1191"/>
      <c r="M45" s="1191"/>
      <c r="N45" s="1191"/>
      <c r="O45" s="1191"/>
      <c r="P45" s="1191"/>
      <c r="Q45" s="1191"/>
      <c r="R45" s="1191"/>
      <c r="S45" s="1191"/>
      <c r="T45" s="1191"/>
      <c r="U45" s="1191"/>
      <c r="V45" s="1191"/>
      <c r="W45" s="1191"/>
      <c r="X45" s="1191"/>
      <c r="Y45" s="1093"/>
      <c r="Z45" s="1093"/>
      <c r="AA45" s="1093"/>
      <c r="AB45" s="1093"/>
      <c r="AC45" s="1093"/>
      <c r="AD45" s="1093"/>
      <c r="AE45" s="1093"/>
      <c r="AF45" s="1093"/>
      <c r="AG45" s="1093"/>
      <c r="AH45" s="1093"/>
      <c r="AI45" s="1093"/>
      <c r="AJ45" s="1093"/>
      <c r="AK45" s="1093"/>
      <c r="AL45" s="1093"/>
      <c r="AM45" s="1093"/>
      <c r="AN45" s="1093"/>
      <c r="AO45" s="1093"/>
      <c r="AP45" s="1093"/>
      <c r="AQ45" s="1093"/>
      <c r="AR45" s="1093"/>
      <c r="AS45" s="1093"/>
      <c r="AT45" s="1093"/>
      <c r="AU45" s="1093"/>
      <c r="AV45" s="1093"/>
      <c r="AW45" s="1093"/>
      <c r="AX45" s="1093"/>
      <c r="AY45" s="1093"/>
      <c r="AZ45" s="1093"/>
      <c r="BA45" s="1093"/>
      <c r="BB45" s="1093"/>
      <c r="BC45" s="1093"/>
      <c r="BD45" s="1093"/>
      <c r="BE45" s="1093"/>
      <c r="BF45" s="1093"/>
      <c r="BG45" s="1093"/>
      <c r="BH45" s="1093"/>
      <c r="BI45" s="1093"/>
      <c r="BJ45" s="1093"/>
      <c r="BK45" s="1093"/>
      <c r="BL45" s="1093"/>
      <c r="BM45" s="1093"/>
      <c r="BN45" s="1093"/>
      <c r="BO45" s="1093"/>
      <c r="BP45" s="1093"/>
      <c r="BQ45" s="1093"/>
      <c r="BR45" s="1093"/>
      <c r="BS45" s="1093"/>
      <c r="BT45" s="1093"/>
      <c r="BU45" s="1093"/>
    </row>
    <row r="46" spans="1:73" ht="13" thickTop="1" x14ac:dyDescent="0.25">
      <c r="A46" s="1093"/>
      <c r="B46" s="1093"/>
      <c r="C46" s="1093"/>
      <c r="D46" s="1093"/>
      <c r="E46" s="1093"/>
      <c r="F46" s="1093"/>
      <c r="G46" s="1093"/>
      <c r="H46" s="1093"/>
      <c r="I46" s="1093"/>
      <c r="J46" s="1093"/>
      <c r="K46" s="1093"/>
      <c r="L46" s="1093"/>
      <c r="M46" s="1093"/>
      <c r="N46" s="1093"/>
      <c r="O46" s="1093"/>
      <c r="P46" s="1093"/>
      <c r="Q46" s="1093"/>
      <c r="R46" s="1093"/>
      <c r="S46" s="1093"/>
      <c r="T46" s="1093"/>
      <c r="U46" s="1093"/>
      <c r="V46" s="1093"/>
      <c r="W46" s="1093"/>
      <c r="X46" s="1093"/>
      <c r="Y46" s="1093"/>
      <c r="Z46" s="1093"/>
      <c r="AA46" s="1093"/>
      <c r="AB46" s="1093"/>
      <c r="AC46" s="1093"/>
      <c r="AD46" s="1093"/>
      <c r="AE46" s="1093"/>
      <c r="AF46" s="1093"/>
      <c r="AG46" s="1093"/>
      <c r="AH46" s="1093"/>
      <c r="AI46" s="1093"/>
      <c r="AJ46" s="1093"/>
      <c r="AK46" s="1093"/>
      <c r="AL46" s="1093"/>
      <c r="AM46" s="1093"/>
      <c r="AN46" s="1093"/>
      <c r="AO46" s="1093"/>
      <c r="AP46" s="1093"/>
      <c r="AQ46" s="1093"/>
      <c r="AR46" s="1093"/>
      <c r="AS46" s="1093"/>
      <c r="AT46" s="1093"/>
      <c r="AU46" s="1093"/>
      <c r="AV46" s="1093"/>
      <c r="AW46" s="1093"/>
      <c r="AX46" s="1093"/>
      <c r="AY46" s="1093"/>
      <c r="AZ46" s="1093"/>
      <c r="BA46" s="1093"/>
      <c r="BB46" s="1093"/>
      <c r="BC46" s="1093"/>
      <c r="BD46" s="1093"/>
      <c r="BE46" s="1093"/>
      <c r="BF46" s="1093"/>
      <c r="BG46" s="1093"/>
      <c r="BH46" s="1093"/>
      <c r="BI46" s="1093"/>
      <c r="BJ46" s="1093"/>
      <c r="BK46" s="1093"/>
      <c r="BL46" s="1093"/>
      <c r="BM46" s="1093"/>
      <c r="BN46" s="1093"/>
      <c r="BO46" s="1093"/>
      <c r="BP46" s="1093"/>
      <c r="BQ46" s="1093"/>
      <c r="BR46" s="1093"/>
      <c r="BS46" s="1093"/>
      <c r="BT46" s="1093"/>
      <c r="BU46" s="1093"/>
    </row>
    <row r="47" spans="1:73" x14ac:dyDescent="0.25">
      <c r="A47" s="1093"/>
      <c r="B47" s="1108" t="s">
        <v>1152</v>
      </c>
      <c r="C47" s="1093"/>
      <c r="D47" s="1093"/>
      <c r="E47" s="1093"/>
      <c r="F47" s="1093"/>
      <c r="G47" s="1093"/>
      <c r="H47" s="1093"/>
      <c r="I47" s="1093"/>
      <c r="J47" s="1093"/>
      <c r="K47" s="1093"/>
      <c r="L47" s="1093"/>
      <c r="M47" s="1093"/>
      <c r="N47" s="1093"/>
      <c r="O47" s="1093"/>
      <c r="P47" s="1093"/>
      <c r="Q47" s="1093"/>
      <c r="R47" s="1093"/>
      <c r="S47" s="1093"/>
      <c r="T47" s="1093"/>
      <c r="U47" s="1093"/>
      <c r="V47" s="1093"/>
      <c r="W47" s="1093"/>
      <c r="X47" s="1093"/>
      <c r="Y47" s="1093"/>
      <c r="Z47" s="1093"/>
      <c r="AA47" s="1093"/>
      <c r="AB47" s="1093"/>
      <c r="AC47" s="1093"/>
      <c r="AD47" s="1093"/>
      <c r="AE47" s="1093"/>
      <c r="AF47" s="1093"/>
      <c r="AG47" s="1093"/>
      <c r="AH47" s="1093"/>
      <c r="AI47" s="1093"/>
      <c r="AJ47" s="1093"/>
      <c r="AK47" s="1093"/>
      <c r="AL47" s="1093"/>
      <c r="AM47" s="1093"/>
      <c r="AN47" s="1093"/>
      <c r="AO47" s="1093"/>
      <c r="AP47" s="1093"/>
      <c r="AQ47" s="1093"/>
      <c r="AR47" s="1093"/>
      <c r="AS47" s="1093"/>
      <c r="AT47" s="1093"/>
      <c r="AU47" s="1093"/>
      <c r="AV47" s="1093"/>
      <c r="AW47" s="1093"/>
      <c r="AX47" s="1093"/>
      <c r="AY47" s="1093"/>
      <c r="AZ47" s="1093"/>
      <c r="BA47" s="1093"/>
      <c r="BB47" s="1093"/>
      <c r="BC47" s="1093"/>
      <c r="BD47" s="1093"/>
      <c r="BE47" s="1093"/>
      <c r="BF47" s="1093"/>
      <c r="BG47" s="1093"/>
      <c r="BH47" s="1093"/>
      <c r="BI47" s="1093"/>
      <c r="BJ47" s="1093"/>
      <c r="BK47" s="1093"/>
      <c r="BL47" s="1093"/>
      <c r="BM47" s="1093"/>
      <c r="BN47" s="1093"/>
      <c r="BO47" s="1093"/>
      <c r="BP47" s="1093"/>
      <c r="BQ47" s="1093"/>
      <c r="BR47" s="1093"/>
      <c r="BS47" s="1093"/>
      <c r="BT47" s="1093"/>
      <c r="BU47" s="1093"/>
    </row>
    <row r="48" spans="1:73" x14ac:dyDescent="0.25">
      <c r="A48" s="1093"/>
      <c r="B48" s="1096">
        <v>1</v>
      </c>
      <c r="C48" s="1098">
        <f t="shared" ref="C48:E48" ca="1" si="5">+OFFSET(C50,$B$48,0)</f>
        <v>1</v>
      </c>
      <c r="D48" s="1098">
        <f t="shared" ca="1" si="5"/>
        <v>1</v>
      </c>
      <c r="E48" s="1098">
        <f t="shared" ca="1" si="5"/>
        <v>1</v>
      </c>
      <c r="F48" s="1098">
        <f ca="1">+OFFSET(F50,$B$48,0)</f>
        <v>1</v>
      </c>
      <c r="G48" s="1098">
        <f ca="1">+OFFSET(G50,$B$48,0)</f>
        <v>1</v>
      </c>
      <c r="H48" s="1098">
        <f ca="1">+OFFSET(H50,$B$48,0)</f>
        <v>1</v>
      </c>
      <c r="I48" s="1098">
        <f ca="1">+OFFSET(I50,$B$48,0)</f>
        <v>1</v>
      </c>
      <c r="J48" s="1093"/>
      <c r="K48" s="1110">
        <f ca="1">+'Cash Flow Analysis'!F118</f>
        <v>5.175427725657066</v>
      </c>
      <c r="L48" s="1110">
        <f ca="1">+'Cash Flow Analysis'!Q118</f>
        <v>0</v>
      </c>
      <c r="M48" s="1110">
        <f ca="1">+'Cash Flow Analysis'!L118</f>
        <v>3.6162038529268764E-3</v>
      </c>
      <c r="N48" s="1110">
        <f ca="1">+'Cash Flow Analysis'!H117</f>
        <v>0.31371975905265359</v>
      </c>
      <c r="O48" s="1110">
        <f ca="1">+'Cash Flow Analysis'!I117</f>
        <v>0.14839099904025835</v>
      </c>
      <c r="P48" s="1110">
        <f ca="1">+'Cash Flow Analysis'!J117</f>
        <v>2.0325062994071771E-2</v>
      </c>
      <c r="Q48" s="1110">
        <f ca="1">+'Cash Flow Analysis'!K117</f>
        <v>1.303585765569026E-3</v>
      </c>
      <c r="R48" s="1110">
        <f ca="1">+'Cash Flow Analysis'!M117</f>
        <v>3.6102033259842637E-3</v>
      </c>
      <c r="S48" s="1110">
        <f ca="1">+'Cash Flow Analysis'!N117</f>
        <v>0.46242636654752067</v>
      </c>
      <c r="T48" s="1110">
        <f ca="1">+'Cash Flow Analysis'!O117</f>
        <v>3.995330806246626</v>
      </c>
      <c r="U48" s="1110">
        <f ca="1">+'Cash Flow Analysis'!P117</f>
        <v>0</v>
      </c>
      <c r="V48" s="1110">
        <f ca="1">+'Cash Flow Analysis'!R117</f>
        <v>1.1304767209823824E-2</v>
      </c>
      <c r="W48" s="1110">
        <f ca="1">+'Cash Flow Analysis'!S117</f>
        <v>0.18686972706006519</v>
      </c>
      <c r="X48" s="1110">
        <f ca="1">+'Cash Flow Analysis'!X117</f>
        <v>2.5559942042201422E-2</v>
      </c>
      <c r="Y48" s="1110">
        <f ca="1">+'Cash Flow Analysis'!Z117</f>
        <v>1.0202710225216656E-2</v>
      </c>
      <c r="Z48" s="1093"/>
      <c r="AA48" s="1093"/>
      <c r="AB48" s="1093"/>
      <c r="AC48" s="1093"/>
      <c r="AD48" s="1093"/>
      <c r="AE48" s="1093"/>
      <c r="AF48" s="1093"/>
      <c r="AG48" s="1093"/>
      <c r="AH48" s="1093"/>
      <c r="AI48" s="1093"/>
      <c r="AJ48" s="1093"/>
      <c r="AK48" s="1093"/>
      <c r="AL48" s="1093"/>
      <c r="AM48" s="1093"/>
      <c r="AN48" s="1093"/>
      <c r="AO48" s="1093"/>
      <c r="AP48" s="1093"/>
      <c r="AQ48" s="1093"/>
      <c r="AR48" s="1093"/>
      <c r="AS48" s="1093"/>
      <c r="AT48" s="1093"/>
      <c r="AU48" s="1093"/>
      <c r="AV48" s="1093"/>
      <c r="AW48" s="1093"/>
      <c r="AX48" s="1093"/>
      <c r="AY48" s="1093"/>
      <c r="AZ48" s="1093"/>
      <c r="BA48" s="1093"/>
      <c r="BB48" s="1093"/>
      <c r="BC48" s="1093"/>
      <c r="BD48" s="1093"/>
      <c r="BE48" s="1093"/>
      <c r="BF48" s="1093"/>
      <c r="BG48" s="1093"/>
      <c r="BH48" s="1093"/>
      <c r="BI48" s="1093"/>
      <c r="BJ48" s="1093"/>
      <c r="BK48" s="1093"/>
      <c r="BL48" s="1093"/>
      <c r="BM48" s="1093"/>
      <c r="BN48" s="1093"/>
      <c r="BO48" s="1093"/>
      <c r="BP48" s="1093"/>
      <c r="BQ48" s="1093"/>
      <c r="BR48" s="1093"/>
      <c r="BS48" s="1093"/>
      <c r="BT48" s="1093"/>
      <c r="BU48" s="1093"/>
    </row>
    <row r="49" spans="1:73" ht="13" x14ac:dyDescent="0.3">
      <c r="A49" s="1093"/>
      <c r="B49" s="1095"/>
      <c r="C49" s="1095"/>
      <c r="D49" s="1095"/>
      <c r="E49" s="1095"/>
      <c r="F49" s="1095"/>
      <c r="G49" s="1095"/>
      <c r="H49" s="1095"/>
      <c r="I49" s="1095"/>
      <c r="J49" s="1095"/>
      <c r="K49" s="1095"/>
      <c r="L49" s="1095"/>
      <c r="M49" s="1095"/>
      <c r="N49" s="1093"/>
      <c r="O49" s="1093"/>
      <c r="P49" s="1093"/>
      <c r="Q49" s="1093"/>
      <c r="R49" s="1093"/>
      <c r="S49" s="1093"/>
      <c r="T49" s="1093"/>
      <c r="U49" s="1093"/>
      <c r="V49" s="1093"/>
      <c r="W49" s="1093"/>
      <c r="X49" s="1093"/>
      <c r="Y49" s="1093"/>
      <c r="Z49" s="1093"/>
      <c r="AA49" s="1093"/>
      <c r="AB49" s="1093"/>
      <c r="AC49" s="1093"/>
      <c r="AD49" s="1093"/>
      <c r="AE49" s="1093"/>
      <c r="AF49" s="1093"/>
      <c r="AG49" s="1093"/>
      <c r="AH49" s="1093"/>
      <c r="AI49" s="1093"/>
      <c r="AJ49" s="1093"/>
      <c r="AK49" s="1093"/>
      <c r="AL49" s="1093"/>
      <c r="AM49" s="1093"/>
      <c r="AN49" s="1093"/>
      <c r="AO49" s="1093"/>
      <c r="AP49" s="1093"/>
      <c r="AQ49" s="1093"/>
      <c r="AR49" s="1093"/>
      <c r="AS49" s="1093"/>
      <c r="AT49" s="1093"/>
      <c r="AU49" s="1093"/>
      <c r="AV49" s="1093"/>
      <c r="AW49" s="1093"/>
      <c r="AX49" s="1093"/>
      <c r="AY49" s="1093"/>
      <c r="AZ49" s="1093"/>
      <c r="BA49" s="1093"/>
      <c r="BB49" s="1093"/>
      <c r="BC49" s="1093"/>
      <c r="BD49" s="1093"/>
      <c r="BE49" s="1093"/>
      <c r="BF49" s="1093"/>
      <c r="BG49" s="1093"/>
      <c r="BH49" s="1093"/>
      <c r="BI49" s="1093"/>
      <c r="BJ49" s="1093"/>
      <c r="BK49" s="1093"/>
      <c r="BL49" s="1093"/>
      <c r="BM49" s="1093"/>
      <c r="BN49" s="1093"/>
      <c r="BO49" s="1093"/>
      <c r="BP49" s="1093"/>
      <c r="BQ49" s="1093"/>
      <c r="BR49" s="1093"/>
      <c r="BS49" s="1093"/>
      <c r="BT49" s="1093"/>
      <c r="BU49" s="1093"/>
    </row>
    <row r="50" spans="1:73" ht="52" x14ac:dyDescent="0.3">
      <c r="A50" s="1093"/>
      <c r="B50" s="1104" t="s">
        <v>1136</v>
      </c>
      <c r="C50" s="1104" t="s">
        <v>1321</v>
      </c>
      <c r="D50" s="1104" t="s">
        <v>1322</v>
      </c>
      <c r="E50" s="1104" t="s">
        <v>1323</v>
      </c>
      <c r="F50" s="1104" t="s">
        <v>1324</v>
      </c>
      <c r="G50" s="1104" t="s">
        <v>1325</v>
      </c>
      <c r="H50" s="1104" t="s">
        <v>1341</v>
      </c>
      <c r="I50" s="1104" t="s">
        <v>1340</v>
      </c>
      <c r="J50" s="1093"/>
      <c r="K50" s="1104" t="s">
        <v>1342</v>
      </c>
      <c r="L50" s="1104" t="s">
        <v>1326</v>
      </c>
      <c r="M50" s="1104" t="s">
        <v>1327</v>
      </c>
      <c r="N50" s="1104" t="s">
        <v>1328</v>
      </c>
      <c r="O50" s="1104" t="s">
        <v>1329</v>
      </c>
      <c r="P50" s="1104" t="s">
        <v>1330</v>
      </c>
      <c r="Q50" s="1104" t="s">
        <v>1331</v>
      </c>
      <c r="R50" s="1104" t="s">
        <v>1332</v>
      </c>
      <c r="S50" s="1104" t="s">
        <v>1333</v>
      </c>
      <c r="T50" s="1104" t="s">
        <v>1334</v>
      </c>
      <c r="U50" s="1104" t="s">
        <v>1335</v>
      </c>
      <c r="V50" s="1104" t="s">
        <v>1336</v>
      </c>
      <c r="W50" s="1104" t="s">
        <v>1337</v>
      </c>
      <c r="X50" s="1104" t="s">
        <v>1338</v>
      </c>
      <c r="Y50" s="1104" t="s">
        <v>1339</v>
      </c>
      <c r="Z50" s="1093"/>
      <c r="AA50" s="1093"/>
      <c r="AB50" s="1093"/>
      <c r="AC50" s="1093"/>
      <c r="AD50" s="1093"/>
      <c r="AE50" s="1093"/>
      <c r="AF50" s="1093"/>
      <c r="AG50" s="1093"/>
      <c r="AH50" s="1093"/>
      <c r="AI50" s="1093"/>
      <c r="AJ50" s="1093"/>
      <c r="AK50" s="1093"/>
      <c r="AL50" s="1093"/>
      <c r="AM50" s="1093"/>
      <c r="AN50" s="1093"/>
      <c r="AO50" s="1093"/>
      <c r="AP50" s="1093"/>
      <c r="AQ50" s="1093"/>
      <c r="AR50" s="1093"/>
      <c r="AS50" s="1093"/>
      <c r="AT50" s="1093"/>
      <c r="AU50" s="1093"/>
      <c r="AV50" s="1093"/>
      <c r="AW50" s="1093"/>
      <c r="AX50" s="1093"/>
      <c r="AY50" s="1093"/>
      <c r="AZ50" s="1093"/>
      <c r="BA50" s="1093"/>
      <c r="BB50" s="1093"/>
      <c r="BC50" s="1093"/>
      <c r="BD50" s="1093"/>
      <c r="BE50" s="1093"/>
      <c r="BF50" s="1093"/>
      <c r="BG50" s="1093"/>
      <c r="BH50" s="1093"/>
      <c r="BI50" s="1093"/>
      <c r="BJ50" s="1093"/>
      <c r="BK50" s="1093"/>
      <c r="BL50" s="1093"/>
      <c r="BM50" s="1093"/>
      <c r="BN50" s="1093"/>
      <c r="BO50" s="1093"/>
      <c r="BP50" s="1093"/>
      <c r="BQ50" s="1093"/>
      <c r="BR50" s="1093"/>
      <c r="BS50" s="1093"/>
      <c r="BT50" s="1093"/>
      <c r="BU50" s="1093"/>
    </row>
    <row r="51" spans="1:73" x14ac:dyDescent="0.25">
      <c r="A51" s="1093"/>
      <c r="B51" s="1105">
        <v>1</v>
      </c>
      <c r="C51" s="1098">
        <v>1</v>
      </c>
      <c r="D51" s="1098">
        <v>1</v>
      </c>
      <c r="E51" s="1098">
        <v>1</v>
      </c>
      <c r="F51" s="1098">
        <v>1</v>
      </c>
      <c r="G51" s="1098">
        <v>1</v>
      </c>
      <c r="H51" s="1098">
        <v>1</v>
      </c>
      <c r="I51" s="1098">
        <v>1</v>
      </c>
      <c r="J51" s="1093"/>
      <c r="K51" s="1111">
        <v>5.175427725657066</v>
      </c>
      <c r="L51" s="1112">
        <v>0</v>
      </c>
      <c r="M51" s="1112">
        <v>3.6162038529268764E-3</v>
      </c>
      <c r="N51" s="1112">
        <v>0.31371975905265359</v>
      </c>
      <c r="O51" s="1112">
        <v>0.14839099904025835</v>
      </c>
      <c r="P51" s="1112">
        <v>2.0325062994071771E-2</v>
      </c>
      <c r="Q51" s="1112">
        <v>1.303585765569026E-3</v>
      </c>
      <c r="R51" s="1112">
        <v>3.6102033259842637E-3</v>
      </c>
      <c r="S51" s="1112">
        <v>0.46242636654752067</v>
      </c>
      <c r="T51" s="1112">
        <v>3.995330806246626</v>
      </c>
      <c r="U51" s="1112">
        <v>0</v>
      </c>
      <c r="V51" s="1112">
        <v>1.1304767209823824E-2</v>
      </c>
      <c r="W51" s="1112">
        <v>0.18686972706006519</v>
      </c>
      <c r="X51" s="1112">
        <v>2.5559942042201422E-2</v>
      </c>
      <c r="Y51" s="1112">
        <v>1.0202710225216656E-2</v>
      </c>
      <c r="Z51" s="1227"/>
      <c r="AA51" s="1093"/>
      <c r="AB51" s="1093"/>
      <c r="AC51" s="1093"/>
      <c r="AD51" s="1093"/>
      <c r="AE51" s="1093"/>
      <c r="AF51" s="1093"/>
      <c r="AG51" s="1093"/>
      <c r="AH51" s="1093"/>
      <c r="AI51" s="1093"/>
      <c r="AJ51" s="1093"/>
      <c r="AK51" s="1093"/>
      <c r="AL51" s="1093"/>
      <c r="AM51" s="1093"/>
      <c r="AN51" s="1093"/>
      <c r="AO51" s="1093"/>
      <c r="AP51" s="1093"/>
      <c r="AQ51" s="1093"/>
      <c r="AR51" s="1093"/>
      <c r="AS51" s="1093"/>
      <c r="AT51" s="1093"/>
      <c r="AU51" s="1093"/>
      <c r="AV51" s="1093"/>
      <c r="AW51" s="1093"/>
      <c r="AX51" s="1093"/>
      <c r="AY51" s="1093"/>
      <c r="AZ51" s="1093"/>
      <c r="BA51" s="1093"/>
      <c r="BB51" s="1093"/>
      <c r="BC51" s="1093"/>
      <c r="BD51" s="1093"/>
      <c r="BE51" s="1093"/>
      <c r="BF51" s="1093"/>
      <c r="BG51" s="1093"/>
      <c r="BH51" s="1093"/>
      <c r="BI51" s="1093"/>
      <c r="BJ51" s="1093"/>
      <c r="BK51" s="1093"/>
      <c r="BL51" s="1093"/>
      <c r="BM51" s="1093"/>
      <c r="BN51" s="1093"/>
      <c r="BO51" s="1093"/>
      <c r="BP51" s="1093"/>
      <c r="BQ51" s="1093"/>
      <c r="BR51" s="1093"/>
      <c r="BS51" s="1093"/>
      <c r="BT51" s="1093"/>
      <c r="BU51" s="1093"/>
    </row>
    <row r="52" spans="1:73" x14ac:dyDescent="0.25">
      <c r="A52" s="1093"/>
      <c r="B52" s="1113">
        <f>+B51+1</f>
        <v>2</v>
      </c>
      <c r="C52" s="1114">
        <f>+F3</f>
        <v>1.05</v>
      </c>
      <c r="D52" s="1114">
        <v>1</v>
      </c>
      <c r="E52" s="1114">
        <v>1</v>
      </c>
      <c r="F52" s="1114">
        <v>1</v>
      </c>
      <c r="G52" s="1114">
        <v>1</v>
      </c>
      <c r="H52" s="1114">
        <v>1</v>
      </c>
      <c r="I52" s="1114">
        <v>1</v>
      </c>
      <c r="J52" s="1093"/>
      <c r="K52" s="1111">
        <v>5.1209393959249274</v>
      </c>
      <c r="L52" s="1112">
        <v>0</v>
      </c>
      <c r="M52" s="1112">
        <v>3.4440036694541676E-3</v>
      </c>
      <c r="N52" s="1112">
        <v>0.29878072290728908</v>
      </c>
      <c r="O52" s="1112">
        <v>0.14132476099072222</v>
      </c>
      <c r="P52" s="1112">
        <v>2.0224885964990669E-2</v>
      </c>
      <c r="Q52" s="1112">
        <v>1.2415102529228813E-3</v>
      </c>
      <c r="R52" s="1112">
        <v>3.4382888818897746E-3</v>
      </c>
      <c r="S52" s="1112">
        <v>0.44040606337859101</v>
      </c>
      <c r="T52" s="1112">
        <v>3.995330806246626</v>
      </c>
      <c r="U52" s="1112">
        <v>0</v>
      </c>
      <c r="V52" s="1112">
        <v>1.130476720982382E-2</v>
      </c>
      <c r="W52" s="1112">
        <v>0.17797116862863346</v>
      </c>
      <c r="X52" s="1112">
        <v>2.4643558251731382E-2</v>
      </c>
      <c r="Y52" s="1112">
        <v>9.71686688115872E-3</v>
      </c>
      <c r="Z52" s="1227"/>
      <c r="AA52" s="1093"/>
      <c r="AB52" s="1093"/>
      <c r="AC52" s="1093"/>
      <c r="AD52" s="1093"/>
      <c r="AE52" s="1093"/>
      <c r="AF52" s="1093"/>
      <c r="AG52" s="1093"/>
      <c r="AH52" s="1093"/>
      <c r="AI52" s="1093"/>
      <c r="AJ52" s="1093"/>
      <c r="AK52" s="1093"/>
      <c r="AL52" s="1093"/>
      <c r="AM52" s="1093"/>
      <c r="AN52" s="1093"/>
      <c r="AO52" s="1093"/>
      <c r="AP52" s="1093"/>
      <c r="AQ52" s="1093"/>
      <c r="AR52" s="1093"/>
      <c r="AS52" s="1093"/>
      <c r="AT52" s="1093"/>
      <c r="AU52" s="1093"/>
      <c r="AV52" s="1093"/>
      <c r="AW52" s="1093"/>
      <c r="AX52" s="1093"/>
      <c r="AY52" s="1093"/>
      <c r="AZ52" s="1093"/>
      <c r="BA52" s="1093"/>
      <c r="BB52" s="1093"/>
      <c r="BC52" s="1093"/>
      <c r="BD52" s="1093"/>
      <c r="BE52" s="1093"/>
      <c r="BF52" s="1093"/>
      <c r="BG52" s="1093"/>
      <c r="BH52" s="1093"/>
      <c r="BI52" s="1093"/>
      <c r="BJ52" s="1093"/>
      <c r="BK52" s="1093"/>
      <c r="BL52" s="1093"/>
      <c r="BM52" s="1093"/>
      <c r="BN52" s="1093"/>
      <c r="BO52" s="1093"/>
      <c r="BP52" s="1093"/>
      <c r="BQ52" s="1093"/>
      <c r="BR52" s="1093"/>
      <c r="BS52" s="1093"/>
      <c r="BT52" s="1093"/>
      <c r="BU52" s="1093"/>
    </row>
    <row r="53" spans="1:73" x14ac:dyDescent="0.25">
      <c r="A53" s="1093"/>
      <c r="B53" s="1113">
        <f t="shared" ref="B53:B70" si="6">+B52+1</f>
        <v>3</v>
      </c>
      <c r="C53" s="1114">
        <f>+G3</f>
        <v>0.95</v>
      </c>
      <c r="D53" s="1114">
        <v>1</v>
      </c>
      <c r="E53" s="1114">
        <v>1</v>
      </c>
      <c r="F53" s="1114">
        <v>1</v>
      </c>
      <c r="G53" s="1114">
        <v>1</v>
      </c>
      <c r="H53" s="1114">
        <v>1</v>
      </c>
      <c r="I53" s="1114">
        <v>1</v>
      </c>
      <c r="J53" s="1093"/>
      <c r="K53" s="1111">
        <v>5.2356516690452217</v>
      </c>
      <c r="L53" s="1112">
        <v>0</v>
      </c>
      <c r="M53" s="1112">
        <v>3.8065303715019748E-3</v>
      </c>
      <c r="N53" s="1112">
        <v>0.33023132531858274</v>
      </c>
      <c r="O53" s="1112">
        <v>0.15620105162132455</v>
      </c>
      <c r="P53" s="1112">
        <v>2.0435784973582456E-2</v>
      </c>
      <c r="Q53" s="1112">
        <v>1.3721955427042376E-3</v>
      </c>
      <c r="R53" s="1112">
        <v>3.8002140273518566E-3</v>
      </c>
      <c r="S53" s="1112">
        <v>0.48676459636581115</v>
      </c>
      <c r="T53" s="1112">
        <v>3.9953308062466251</v>
      </c>
      <c r="U53" s="1112">
        <v>0</v>
      </c>
      <c r="V53" s="1112">
        <v>1.1304767209823818E-2</v>
      </c>
      <c r="W53" s="1112">
        <v>0.19670497585270019</v>
      </c>
      <c r="X53" s="1112">
        <v>2.6572787284299362E-2</v>
      </c>
      <c r="Y53" s="1112">
        <v>1.073969497391227E-2</v>
      </c>
      <c r="Z53" s="1227"/>
      <c r="AA53" s="1093"/>
      <c r="AB53" s="1093"/>
      <c r="AC53" s="1093"/>
      <c r="AD53" s="1093"/>
      <c r="AE53" s="1093"/>
      <c r="AF53" s="1093"/>
      <c r="AG53" s="1093"/>
      <c r="AH53" s="1093"/>
      <c r="AI53" s="1093"/>
      <c r="AJ53" s="1093"/>
      <c r="AK53" s="1093"/>
      <c r="AL53" s="1093"/>
      <c r="AM53" s="1093"/>
      <c r="AN53" s="1093"/>
      <c r="AO53" s="1093"/>
      <c r="AP53" s="1093"/>
      <c r="AQ53" s="1093"/>
      <c r="AR53" s="1093"/>
      <c r="AS53" s="1093"/>
      <c r="AT53" s="1093"/>
      <c r="AU53" s="1093"/>
      <c r="AV53" s="1093"/>
      <c r="AW53" s="1093"/>
      <c r="AX53" s="1093"/>
      <c r="AY53" s="1093"/>
      <c r="AZ53" s="1093"/>
      <c r="BA53" s="1093"/>
      <c r="BB53" s="1093"/>
      <c r="BC53" s="1093"/>
      <c r="BD53" s="1093"/>
      <c r="BE53" s="1093"/>
      <c r="BF53" s="1093"/>
      <c r="BG53" s="1093"/>
      <c r="BH53" s="1093"/>
      <c r="BI53" s="1093"/>
      <c r="BJ53" s="1093"/>
      <c r="BK53" s="1093"/>
      <c r="BL53" s="1093"/>
      <c r="BM53" s="1093"/>
      <c r="BN53" s="1093"/>
      <c r="BO53" s="1093"/>
      <c r="BP53" s="1093"/>
      <c r="BQ53" s="1093"/>
      <c r="BR53" s="1093"/>
      <c r="BS53" s="1093"/>
      <c r="BT53" s="1093"/>
      <c r="BU53" s="1093"/>
    </row>
    <row r="54" spans="1:73" x14ac:dyDescent="0.25">
      <c r="A54" s="1093"/>
      <c r="B54" s="1105">
        <f t="shared" si="6"/>
        <v>4</v>
      </c>
      <c r="C54" s="1098">
        <v>1</v>
      </c>
      <c r="D54" s="1098">
        <f>+F4</f>
        <v>1.05</v>
      </c>
      <c r="E54" s="1098">
        <v>1</v>
      </c>
      <c r="F54" s="1098">
        <v>1</v>
      </c>
      <c r="G54" s="1098">
        <v>1</v>
      </c>
      <c r="H54" s="1098">
        <v>1</v>
      </c>
      <c r="I54" s="1098">
        <v>1</v>
      </c>
      <c r="J54" s="1093"/>
      <c r="K54" s="1111">
        <v>5.157939904429262</v>
      </c>
      <c r="L54" s="1112">
        <v>0</v>
      </c>
      <c r="M54" s="1112">
        <v>3.5463139869438601E-3</v>
      </c>
      <c r="N54" s="1112">
        <v>0.30765654115671892</v>
      </c>
      <c r="O54" s="1112">
        <v>0.14552306696070605</v>
      </c>
      <c r="P54" s="1112">
        <v>2.030532634600225E-2</v>
      </c>
      <c r="Q54" s="1112">
        <v>1.2783915458407201E-3</v>
      </c>
      <c r="R54" s="1112">
        <v>3.5404294313460343E-3</v>
      </c>
      <c r="S54" s="1112">
        <v>0.45808797701834775</v>
      </c>
      <c r="T54" s="1112">
        <v>3.995330806246626</v>
      </c>
      <c r="U54" s="1112">
        <v>0</v>
      </c>
      <c r="V54" s="1112">
        <v>1.130476720982382E-2</v>
      </c>
      <c r="W54" s="1112">
        <v>0.18325812198698832</v>
      </c>
      <c r="X54" s="1112">
        <v>2.5195266641819598E-2</v>
      </c>
      <c r="Y54" s="1112">
        <v>1.0005523871984163E-2</v>
      </c>
      <c r="Z54" s="1227"/>
      <c r="AA54" s="1093"/>
      <c r="AB54" s="1093"/>
      <c r="AC54" s="1093"/>
      <c r="AD54" s="1093"/>
      <c r="AE54" s="1093"/>
      <c r="AF54" s="1093"/>
      <c r="AG54" s="1093"/>
      <c r="AH54" s="1093"/>
      <c r="AI54" s="1093"/>
      <c r="AJ54" s="1093"/>
      <c r="AK54" s="1093"/>
      <c r="AL54" s="1093"/>
      <c r="AM54" s="1093"/>
      <c r="AN54" s="1093"/>
      <c r="AO54" s="1093"/>
      <c r="AP54" s="1093"/>
      <c r="AQ54" s="1093"/>
      <c r="AR54" s="1093"/>
      <c r="AS54" s="1093"/>
      <c r="AT54" s="1093"/>
      <c r="AU54" s="1093"/>
      <c r="AV54" s="1093"/>
      <c r="AW54" s="1093"/>
      <c r="AX54" s="1093"/>
      <c r="AY54" s="1093"/>
      <c r="AZ54" s="1093"/>
      <c r="BA54" s="1093"/>
      <c r="BB54" s="1093"/>
      <c r="BC54" s="1093"/>
      <c r="BD54" s="1093"/>
      <c r="BE54" s="1093"/>
      <c r="BF54" s="1093"/>
      <c r="BG54" s="1093"/>
      <c r="BH54" s="1093"/>
      <c r="BI54" s="1093"/>
      <c r="BJ54" s="1093"/>
      <c r="BK54" s="1093"/>
      <c r="BL54" s="1093"/>
      <c r="BM54" s="1093"/>
      <c r="BN54" s="1093"/>
      <c r="BO54" s="1093"/>
      <c r="BP54" s="1093"/>
      <c r="BQ54" s="1093"/>
      <c r="BR54" s="1093"/>
      <c r="BS54" s="1093"/>
      <c r="BT54" s="1093"/>
      <c r="BU54" s="1093"/>
    </row>
    <row r="55" spans="1:73" x14ac:dyDescent="0.25">
      <c r="A55" s="1093"/>
      <c r="B55" s="1105">
        <f t="shared" si="6"/>
        <v>5</v>
      </c>
      <c r="C55" s="1098">
        <v>1</v>
      </c>
      <c r="D55" s="1098">
        <f>+G4</f>
        <v>0.95</v>
      </c>
      <c r="E55" s="1098">
        <v>1</v>
      </c>
      <c r="F55" s="1098">
        <v>1</v>
      </c>
      <c r="G55" s="1098">
        <v>1</v>
      </c>
      <c r="H55" s="1098">
        <v>1</v>
      </c>
      <c r="I55" s="1098">
        <v>1</v>
      </c>
      <c r="J55" s="1093"/>
      <c r="K55" s="1111">
        <v>5.1942983777133342</v>
      </c>
      <c r="L55" s="1112">
        <v>0</v>
      </c>
      <c r="M55" s="1112">
        <v>3.6911650279462683E-3</v>
      </c>
      <c r="N55" s="1112">
        <v>0.32022293274579416</v>
      </c>
      <c r="O55" s="1112">
        <v>0.15146703238980419</v>
      </c>
      <c r="P55" s="1112">
        <v>2.0346746724325626E-2</v>
      </c>
      <c r="Q55" s="1112">
        <v>1.3306081140592853E-3</v>
      </c>
      <c r="R55" s="1112">
        <v>3.6850401146115591E-3</v>
      </c>
      <c r="S55" s="1112">
        <v>0.46719275179973807</v>
      </c>
      <c r="T55" s="1112">
        <v>3.9953308062466251</v>
      </c>
      <c r="U55" s="1112">
        <v>0</v>
      </c>
      <c r="V55" s="1112">
        <v>1.1304767209823818E-2</v>
      </c>
      <c r="W55" s="1112">
        <v>0.19074339538344745</v>
      </c>
      <c r="X55" s="1112">
        <v>2.5951257309650373E-2</v>
      </c>
      <c r="Y55" s="1112">
        <v>1.0414204703395921E-2</v>
      </c>
      <c r="Z55" s="1227"/>
      <c r="AA55" s="1093"/>
      <c r="AB55" s="1093"/>
      <c r="AC55" s="1093"/>
      <c r="AD55" s="1093"/>
      <c r="AE55" s="1093"/>
      <c r="AF55" s="1093"/>
      <c r="AG55" s="1093"/>
      <c r="AH55" s="1093"/>
      <c r="AI55" s="1093"/>
      <c r="AJ55" s="1093"/>
      <c r="AK55" s="1093"/>
      <c r="AL55" s="1093"/>
      <c r="AM55" s="1093"/>
      <c r="AN55" s="1093"/>
      <c r="AO55" s="1093"/>
      <c r="AP55" s="1093"/>
      <c r="AQ55" s="1093"/>
      <c r="AR55" s="1093"/>
      <c r="AS55" s="1093"/>
      <c r="AT55" s="1093"/>
      <c r="AU55" s="1093"/>
      <c r="AV55" s="1093"/>
      <c r="AW55" s="1093"/>
      <c r="AX55" s="1093"/>
      <c r="AY55" s="1093"/>
      <c r="AZ55" s="1093"/>
      <c r="BA55" s="1093"/>
      <c r="BB55" s="1093"/>
      <c r="BC55" s="1093"/>
      <c r="BD55" s="1093"/>
      <c r="BE55" s="1093"/>
      <c r="BF55" s="1093"/>
      <c r="BG55" s="1093"/>
      <c r="BH55" s="1093"/>
      <c r="BI55" s="1093"/>
      <c r="BJ55" s="1093"/>
      <c r="BK55" s="1093"/>
      <c r="BL55" s="1093"/>
      <c r="BM55" s="1093"/>
      <c r="BN55" s="1093"/>
      <c r="BO55" s="1093"/>
      <c r="BP55" s="1093"/>
      <c r="BQ55" s="1093"/>
      <c r="BR55" s="1093"/>
      <c r="BS55" s="1093"/>
      <c r="BT55" s="1093"/>
      <c r="BU55" s="1093"/>
    </row>
    <row r="56" spans="1:73" x14ac:dyDescent="0.25">
      <c r="A56" s="1093"/>
      <c r="B56" s="1113">
        <f t="shared" si="6"/>
        <v>6</v>
      </c>
      <c r="C56" s="1114">
        <v>1</v>
      </c>
      <c r="D56" s="1114">
        <v>1</v>
      </c>
      <c r="E56" s="1114">
        <f>+F5</f>
        <v>0.95</v>
      </c>
      <c r="F56" s="1114">
        <v>1</v>
      </c>
      <c r="G56" s="1114">
        <v>1</v>
      </c>
      <c r="H56" s="1114">
        <v>1</v>
      </c>
      <c r="I56" s="1114">
        <v>1</v>
      </c>
      <c r="J56" s="1093"/>
      <c r="K56" s="1111">
        <v>5.1655554183140211</v>
      </c>
      <c r="L56" s="1112">
        <v>0</v>
      </c>
      <c r="M56" s="1112">
        <v>4.0160753935213275E-3</v>
      </c>
      <c r="N56" s="1112">
        <v>0.30035264382948562</v>
      </c>
      <c r="O56" s="1112">
        <v>0.14978170002783023</v>
      </c>
      <c r="P56" s="1112">
        <v>1.9592290884360063E-2</v>
      </c>
      <c r="Q56" s="1112">
        <v>1.2480419860370576E-3</v>
      </c>
      <c r="R56" s="1112">
        <v>4.0094113420511973E-3</v>
      </c>
      <c r="S56" s="1112">
        <v>0.46242636654752051</v>
      </c>
      <c r="T56" s="1112">
        <v>4.001681848859171</v>
      </c>
      <c r="U56" s="1112">
        <v>0</v>
      </c>
      <c r="V56" s="1112">
        <v>1.1304767209823817E-2</v>
      </c>
      <c r="W56" s="1112">
        <v>0.18516453604279012</v>
      </c>
      <c r="X56" s="1112">
        <v>2.267898442175624E-2</v>
      </c>
      <c r="Y56" s="1112">
        <v>1.1330902556712034E-2</v>
      </c>
      <c r="Z56" s="1227"/>
      <c r="AA56" s="1093"/>
      <c r="AB56" s="1093"/>
      <c r="AC56" s="1093"/>
      <c r="AD56" s="1093"/>
      <c r="AE56" s="1093"/>
      <c r="AF56" s="1093"/>
      <c r="AG56" s="1093"/>
      <c r="AH56" s="1093"/>
      <c r="AI56" s="1093"/>
      <c r="AJ56" s="1093"/>
      <c r="AK56" s="1093"/>
      <c r="AL56" s="1093"/>
      <c r="AM56" s="1093"/>
      <c r="AN56" s="1093"/>
      <c r="AO56" s="1093"/>
      <c r="AP56" s="1093"/>
      <c r="AQ56" s="1093"/>
      <c r="AR56" s="1093"/>
      <c r="AS56" s="1093"/>
      <c r="AT56" s="1093"/>
      <c r="AU56" s="1093"/>
      <c r="AV56" s="1093"/>
      <c r="AW56" s="1093"/>
      <c r="AX56" s="1093"/>
      <c r="AY56" s="1093"/>
      <c r="AZ56" s="1093"/>
      <c r="BA56" s="1093"/>
      <c r="BB56" s="1093"/>
      <c r="BC56" s="1093"/>
      <c r="BD56" s="1093"/>
      <c r="BE56" s="1093"/>
      <c r="BF56" s="1093"/>
      <c r="BG56" s="1093"/>
      <c r="BH56" s="1093"/>
      <c r="BI56" s="1093"/>
      <c r="BJ56" s="1093"/>
      <c r="BK56" s="1093"/>
      <c r="BL56" s="1093"/>
      <c r="BM56" s="1093"/>
      <c r="BN56" s="1093"/>
      <c r="BO56" s="1093"/>
      <c r="BP56" s="1093"/>
      <c r="BQ56" s="1093"/>
      <c r="BR56" s="1093"/>
      <c r="BS56" s="1093"/>
      <c r="BT56" s="1093"/>
      <c r="BU56" s="1093"/>
    </row>
    <row r="57" spans="1:73" x14ac:dyDescent="0.25">
      <c r="A57" s="1093"/>
      <c r="B57" s="1113">
        <f t="shared" si="6"/>
        <v>7</v>
      </c>
      <c r="C57" s="1114">
        <v>1</v>
      </c>
      <c r="D57" s="1114">
        <v>1</v>
      </c>
      <c r="E57" s="1114">
        <f>+G5</f>
        <v>1.05</v>
      </c>
      <c r="F57" s="1114">
        <v>1</v>
      </c>
      <c r="G57" s="1114">
        <v>1</v>
      </c>
      <c r="H57" s="1114">
        <v>1</v>
      </c>
      <c r="I57" s="1114">
        <v>1</v>
      </c>
      <c r="J57" s="1093"/>
      <c r="K57" s="1111">
        <v>5.1857887796189761</v>
      </c>
      <c r="L57" s="1112">
        <v>0</v>
      </c>
      <c r="M57" s="1112">
        <v>3.2534945099734463E-3</v>
      </c>
      <c r="N57" s="1112">
        <v>0.32723527640687522</v>
      </c>
      <c r="O57" s="1112">
        <v>0.1469989549371872</v>
      </c>
      <c r="P57" s="1112">
        <v>2.1050636514600336E-2</v>
      </c>
      <c r="Q57" s="1112">
        <v>1.3597461938776147E-3</v>
      </c>
      <c r="R57" s="1112">
        <v>3.2480958426806894E-3</v>
      </c>
      <c r="S57" s="1112">
        <v>0.46242636654752117</v>
      </c>
      <c r="T57" s="1112">
        <v>3.9891273460206316</v>
      </c>
      <c r="U57" s="1112">
        <v>0</v>
      </c>
      <c r="V57" s="1112">
        <v>1.130476720982383E-2</v>
      </c>
      <c r="W57" s="1112">
        <v>0.18854973012063916</v>
      </c>
      <c r="X57" s="1112">
        <v>2.8561987503302202E-2</v>
      </c>
      <c r="Y57" s="1112">
        <v>9.1793668318022117E-3</v>
      </c>
      <c r="Z57" s="1227"/>
      <c r="AA57" s="1093"/>
      <c r="AB57" s="1093"/>
      <c r="AC57" s="1093"/>
      <c r="AD57" s="1093"/>
      <c r="AE57" s="1093"/>
      <c r="AF57" s="1093"/>
      <c r="AG57" s="1093"/>
      <c r="AH57" s="1093"/>
      <c r="AI57" s="1093"/>
      <c r="AJ57" s="1093"/>
      <c r="AK57" s="1093"/>
      <c r="AL57" s="1093"/>
      <c r="AM57" s="1093"/>
      <c r="AN57" s="1093"/>
      <c r="AO57" s="1093"/>
      <c r="AP57" s="1093"/>
      <c r="AQ57" s="1093"/>
      <c r="AR57" s="1093"/>
      <c r="AS57" s="1093"/>
      <c r="AT57" s="1093"/>
      <c r="AU57" s="1093"/>
      <c r="AV57" s="1093"/>
      <c r="AW57" s="1093"/>
      <c r="AX57" s="1093"/>
      <c r="AY57" s="1093"/>
      <c r="AZ57" s="1093"/>
      <c r="BA57" s="1093"/>
      <c r="BB57" s="1093"/>
      <c r="BC57" s="1093"/>
      <c r="BD57" s="1093"/>
      <c r="BE57" s="1093"/>
      <c r="BF57" s="1093"/>
      <c r="BG57" s="1093"/>
      <c r="BH57" s="1093"/>
      <c r="BI57" s="1093"/>
      <c r="BJ57" s="1093"/>
      <c r="BK57" s="1093"/>
      <c r="BL57" s="1093"/>
      <c r="BM57" s="1093"/>
      <c r="BN57" s="1093"/>
      <c r="BO57" s="1093"/>
      <c r="BP57" s="1093"/>
      <c r="BQ57" s="1093"/>
      <c r="BR57" s="1093"/>
      <c r="BS57" s="1093"/>
      <c r="BT57" s="1093"/>
      <c r="BU57" s="1093"/>
    </row>
    <row r="58" spans="1:73" x14ac:dyDescent="0.25">
      <c r="A58" s="1093"/>
      <c r="B58" s="1105">
        <f t="shared" si="6"/>
        <v>8</v>
      </c>
      <c r="C58" s="1098">
        <v>1</v>
      </c>
      <c r="D58" s="1098">
        <v>1</v>
      </c>
      <c r="E58" s="1098">
        <v>1</v>
      </c>
      <c r="F58" s="1098">
        <f>+F6</f>
        <v>0.95</v>
      </c>
      <c r="G58" s="1098">
        <v>1</v>
      </c>
      <c r="H58" s="1098">
        <v>1</v>
      </c>
      <c r="I58" s="1098">
        <v>1</v>
      </c>
      <c r="J58" s="1093"/>
      <c r="K58" s="1111">
        <v>4.9210838261309968</v>
      </c>
      <c r="L58" s="1112">
        <v>0</v>
      </c>
      <c r="M58" s="1112">
        <v>3.4356936866276632E-3</v>
      </c>
      <c r="N58" s="1112">
        <v>0.29803377110002083</v>
      </c>
      <c r="O58" s="1112">
        <v>0.14097144908824535</v>
      </c>
      <c r="P58" s="1112">
        <v>1.932843366830797E-2</v>
      </c>
      <c r="Q58" s="1112">
        <v>1.303585765569026E-3</v>
      </c>
      <c r="R58" s="1112">
        <v>3.4296931596850505E-3</v>
      </c>
      <c r="S58" s="1112">
        <v>0.44305339907717955</v>
      </c>
      <c r="T58" s="1112">
        <v>3.7955642659342947</v>
      </c>
      <c r="U58" s="1112">
        <v>0</v>
      </c>
      <c r="V58" s="1112">
        <v>1.1304767209823824E-2</v>
      </c>
      <c r="W58" s="1112">
        <v>0.17752624070706202</v>
      </c>
      <c r="X58" s="1112">
        <v>2.4311339393478341E-2</v>
      </c>
      <c r="Y58" s="1112">
        <v>9.6925747139558205E-3</v>
      </c>
      <c r="Z58" s="1227"/>
      <c r="AA58" s="1093"/>
      <c r="AB58" s="1093"/>
      <c r="AC58" s="1093"/>
      <c r="AD58" s="1093"/>
      <c r="AE58" s="1093"/>
      <c r="AF58" s="1093"/>
      <c r="AG58" s="1093"/>
      <c r="AH58" s="1093"/>
      <c r="AI58" s="1093"/>
      <c r="AJ58" s="1093"/>
      <c r="AK58" s="1093"/>
      <c r="AL58" s="1093"/>
      <c r="AM58" s="1093"/>
      <c r="AN58" s="1093"/>
      <c r="AO58" s="1093"/>
      <c r="AP58" s="1093"/>
      <c r="AQ58" s="1093"/>
      <c r="AR58" s="1093"/>
      <c r="AS58" s="1093"/>
      <c r="AT58" s="1093"/>
      <c r="AU58" s="1093"/>
      <c r="AV58" s="1093"/>
      <c r="AW58" s="1093"/>
      <c r="AX58" s="1093"/>
      <c r="AY58" s="1093"/>
      <c r="AZ58" s="1093"/>
      <c r="BA58" s="1093"/>
      <c r="BB58" s="1093"/>
      <c r="BC58" s="1093"/>
      <c r="BD58" s="1093"/>
      <c r="BE58" s="1093"/>
      <c r="BF58" s="1093"/>
      <c r="BG58" s="1093"/>
      <c r="BH58" s="1093"/>
      <c r="BI58" s="1093"/>
      <c r="BJ58" s="1093"/>
      <c r="BK58" s="1093"/>
      <c r="BL58" s="1093"/>
      <c r="BM58" s="1093"/>
      <c r="BN58" s="1093"/>
      <c r="BO58" s="1093"/>
      <c r="BP58" s="1093"/>
      <c r="BQ58" s="1093"/>
      <c r="BR58" s="1093"/>
      <c r="BS58" s="1093"/>
      <c r="BT58" s="1093"/>
      <c r="BU58" s="1093"/>
    </row>
    <row r="59" spans="1:73" x14ac:dyDescent="0.25">
      <c r="A59" s="1093"/>
      <c r="B59" s="1105">
        <f t="shared" si="6"/>
        <v>9</v>
      </c>
      <c r="C59" s="1098">
        <v>1</v>
      </c>
      <c r="D59" s="1098">
        <v>1</v>
      </c>
      <c r="E59" s="1098">
        <v>1</v>
      </c>
      <c r="F59" s="1098">
        <f>+G6</f>
        <v>1.05</v>
      </c>
      <c r="G59" s="1098">
        <v>1</v>
      </c>
      <c r="H59" s="1098">
        <v>1</v>
      </c>
      <c r="I59" s="1098">
        <v>1</v>
      </c>
      <c r="J59" s="1093"/>
      <c r="K59" s="1111">
        <v>5.4297716251831378</v>
      </c>
      <c r="L59" s="1112">
        <v>0</v>
      </c>
      <c r="M59" s="1112">
        <v>3.7967140192260895E-3</v>
      </c>
      <c r="N59" s="1112">
        <v>0.32940574700528624</v>
      </c>
      <c r="O59" s="1112">
        <v>0.15581054899227126</v>
      </c>
      <c r="P59" s="1112">
        <v>2.1321692319835554E-2</v>
      </c>
      <c r="Q59" s="1112">
        <v>1.303585765569026E-3</v>
      </c>
      <c r="R59" s="1112">
        <v>3.7907134922834772E-3</v>
      </c>
      <c r="S59" s="1112">
        <v>0.4817993340178619</v>
      </c>
      <c r="T59" s="1112">
        <v>4.1950973465589581</v>
      </c>
      <c r="U59" s="1112">
        <v>0</v>
      </c>
      <c r="V59" s="1112">
        <v>1.1304767209823824E-2</v>
      </c>
      <c r="W59" s="1112">
        <v>0.19621321341306847</v>
      </c>
      <c r="X59" s="1112">
        <v>2.6808544690925192E-2</v>
      </c>
      <c r="Y59" s="1112">
        <v>1.0712845736477492E-2</v>
      </c>
      <c r="Z59" s="1227"/>
      <c r="AA59" s="1093"/>
      <c r="AB59" s="1093"/>
      <c r="AC59" s="1093"/>
      <c r="AD59" s="1093"/>
      <c r="AE59" s="1093"/>
      <c r="AF59" s="1093"/>
      <c r="AG59" s="1093"/>
      <c r="AH59" s="1093"/>
      <c r="AI59" s="1093"/>
      <c r="AJ59" s="1093"/>
      <c r="AK59" s="1093"/>
      <c r="AL59" s="1093"/>
      <c r="AM59" s="1093"/>
      <c r="AN59" s="1093"/>
      <c r="AO59" s="1093"/>
      <c r="AP59" s="1093"/>
      <c r="AQ59" s="1093"/>
      <c r="AR59" s="1093"/>
      <c r="AS59" s="1093"/>
      <c r="AT59" s="1093"/>
      <c r="AU59" s="1093"/>
      <c r="AV59" s="1093"/>
      <c r="AW59" s="1093"/>
      <c r="AX59" s="1093"/>
      <c r="AY59" s="1093"/>
      <c r="AZ59" s="1093"/>
      <c r="BA59" s="1093"/>
      <c r="BB59" s="1093"/>
      <c r="BC59" s="1093"/>
      <c r="BD59" s="1093"/>
      <c r="BE59" s="1093"/>
      <c r="BF59" s="1093"/>
      <c r="BG59" s="1093"/>
      <c r="BH59" s="1093"/>
      <c r="BI59" s="1093"/>
      <c r="BJ59" s="1093"/>
      <c r="BK59" s="1093"/>
      <c r="BL59" s="1093"/>
      <c r="BM59" s="1093"/>
      <c r="BN59" s="1093"/>
      <c r="BO59" s="1093"/>
      <c r="BP59" s="1093"/>
      <c r="BQ59" s="1093"/>
      <c r="BR59" s="1093"/>
      <c r="BS59" s="1093"/>
      <c r="BT59" s="1093"/>
      <c r="BU59" s="1093"/>
    </row>
    <row r="60" spans="1:73" x14ac:dyDescent="0.25">
      <c r="A60" s="1093"/>
      <c r="B60" s="1113">
        <f t="shared" si="6"/>
        <v>10</v>
      </c>
      <c r="C60" s="1114">
        <v>1</v>
      </c>
      <c r="D60" s="1114">
        <v>1</v>
      </c>
      <c r="E60" s="1114">
        <v>1</v>
      </c>
      <c r="F60" s="1114">
        <v>1</v>
      </c>
      <c r="G60" s="1114">
        <f>+F7</f>
        <v>0.95</v>
      </c>
      <c r="H60" s="1114">
        <v>1</v>
      </c>
      <c r="I60" s="1114">
        <v>1</v>
      </c>
      <c r="J60" s="1093"/>
      <c r="K60" s="1111">
        <v>5.175427725657066</v>
      </c>
      <c r="L60" s="1112">
        <v>0</v>
      </c>
      <c r="M60" s="1112">
        <v>3.6162038529268764E-3</v>
      </c>
      <c r="N60" s="1112">
        <v>0.31371975905265359</v>
      </c>
      <c r="O60" s="1112">
        <v>0.14839099904025835</v>
      </c>
      <c r="P60" s="1112">
        <v>2.0325062994071771E-2</v>
      </c>
      <c r="Q60" s="1112">
        <v>1.303585765569026E-3</v>
      </c>
      <c r="R60" s="1112">
        <v>3.6102033259842637E-3</v>
      </c>
      <c r="S60" s="1112">
        <v>0.46242636654752067</v>
      </c>
      <c r="T60" s="1112">
        <v>3.995330806246626</v>
      </c>
      <c r="U60" s="1112">
        <v>0</v>
      </c>
      <c r="V60" s="1112">
        <v>1.1304767209823824E-2</v>
      </c>
      <c r="W60" s="1112">
        <v>0.18686972706006519</v>
      </c>
      <c r="X60" s="1112">
        <v>2.5559942042201422E-2</v>
      </c>
      <c r="Y60" s="1112">
        <v>1.0202710225216656E-2</v>
      </c>
      <c r="Z60" s="1227"/>
      <c r="AA60" s="1093"/>
      <c r="AB60" s="1093"/>
      <c r="AC60" s="1093"/>
      <c r="AD60" s="1093"/>
      <c r="AE60" s="1093"/>
      <c r="AF60" s="1093"/>
      <c r="AG60" s="1093"/>
      <c r="AH60" s="1093"/>
      <c r="AI60" s="1093"/>
      <c r="AJ60" s="1093"/>
      <c r="AK60" s="1093"/>
      <c r="AL60" s="1093"/>
      <c r="AM60" s="1093"/>
      <c r="AN60" s="1093"/>
      <c r="AO60" s="1093"/>
      <c r="AP60" s="1093"/>
      <c r="AQ60" s="1093"/>
      <c r="AR60" s="1093"/>
      <c r="AS60" s="1093"/>
      <c r="AT60" s="1093"/>
      <c r="AU60" s="1093"/>
      <c r="AV60" s="1093"/>
      <c r="AW60" s="1093"/>
      <c r="AX60" s="1093"/>
      <c r="AY60" s="1093"/>
      <c r="AZ60" s="1093"/>
      <c r="BA60" s="1093"/>
      <c r="BB60" s="1093"/>
      <c r="BC60" s="1093"/>
      <c r="BD60" s="1093"/>
      <c r="BE60" s="1093"/>
      <c r="BF60" s="1093"/>
      <c r="BG60" s="1093"/>
      <c r="BH60" s="1093"/>
      <c r="BI60" s="1093"/>
      <c r="BJ60" s="1093"/>
      <c r="BK60" s="1093"/>
      <c r="BL60" s="1093"/>
      <c r="BM60" s="1093"/>
      <c r="BN60" s="1093"/>
      <c r="BO60" s="1093"/>
      <c r="BP60" s="1093"/>
      <c r="BQ60" s="1093"/>
      <c r="BR60" s="1093"/>
      <c r="BS60" s="1093"/>
      <c r="BT60" s="1093"/>
      <c r="BU60" s="1093"/>
    </row>
    <row r="61" spans="1:73" x14ac:dyDescent="0.25">
      <c r="A61" s="1093"/>
      <c r="B61" s="1113">
        <f t="shared" si="6"/>
        <v>11</v>
      </c>
      <c r="C61" s="1114">
        <v>1</v>
      </c>
      <c r="D61" s="1114">
        <v>1</v>
      </c>
      <c r="E61" s="1114">
        <v>1</v>
      </c>
      <c r="F61" s="1114">
        <v>1</v>
      </c>
      <c r="G61" s="1114">
        <f>+G6</f>
        <v>1.05</v>
      </c>
      <c r="H61" s="1114">
        <v>1</v>
      </c>
      <c r="I61" s="1114">
        <v>1</v>
      </c>
      <c r="J61" s="1093"/>
      <c r="K61" s="1111">
        <v>5.175427725657066</v>
      </c>
      <c r="L61" s="1112">
        <v>0</v>
      </c>
      <c r="M61" s="1112">
        <v>3.6162038529268764E-3</v>
      </c>
      <c r="N61" s="1112">
        <v>0.31371975905265359</v>
      </c>
      <c r="O61" s="1112">
        <v>0.14839099904025835</v>
      </c>
      <c r="P61" s="1112">
        <v>2.0325062994071771E-2</v>
      </c>
      <c r="Q61" s="1112">
        <v>1.303585765569026E-3</v>
      </c>
      <c r="R61" s="1112">
        <v>3.6102033259842637E-3</v>
      </c>
      <c r="S61" s="1112">
        <v>0.46242636654752067</v>
      </c>
      <c r="T61" s="1112">
        <v>3.995330806246626</v>
      </c>
      <c r="U61" s="1112">
        <v>0</v>
      </c>
      <c r="V61" s="1112">
        <v>1.1304767209823824E-2</v>
      </c>
      <c r="W61" s="1112">
        <v>0.18686972706006519</v>
      </c>
      <c r="X61" s="1112">
        <v>2.5559942042201422E-2</v>
      </c>
      <c r="Y61" s="1112">
        <v>1.0202710225216656E-2</v>
      </c>
      <c r="Z61" s="1227"/>
      <c r="AA61" s="1093"/>
      <c r="AB61" s="1093"/>
      <c r="AC61" s="1093"/>
      <c r="AD61" s="1093"/>
      <c r="AE61" s="1093"/>
      <c r="AF61" s="1093"/>
      <c r="AG61" s="1093"/>
      <c r="AH61" s="1093"/>
      <c r="AI61" s="1093"/>
      <c r="AJ61" s="1093"/>
      <c r="AK61" s="1093"/>
      <c r="AL61" s="1093"/>
      <c r="AM61" s="1093"/>
      <c r="AN61" s="1093"/>
      <c r="AO61" s="1093"/>
      <c r="AP61" s="1093"/>
      <c r="AQ61" s="1093"/>
      <c r="AR61" s="1093"/>
      <c r="AS61" s="1093"/>
      <c r="AT61" s="1093"/>
      <c r="AU61" s="1093"/>
      <c r="AV61" s="1093"/>
      <c r="AW61" s="1093"/>
      <c r="AX61" s="1093"/>
      <c r="AY61" s="1093"/>
      <c r="AZ61" s="1093"/>
      <c r="BA61" s="1093"/>
      <c r="BB61" s="1093"/>
      <c r="BC61" s="1093"/>
      <c r="BD61" s="1093"/>
      <c r="BE61" s="1093"/>
      <c r="BF61" s="1093"/>
      <c r="BG61" s="1093"/>
      <c r="BH61" s="1093"/>
      <c r="BI61" s="1093"/>
      <c r="BJ61" s="1093"/>
      <c r="BK61" s="1093"/>
      <c r="BL61" s="1093"/>
      <c r="BM61" s="1093"/>
      <c r="BN61" s="1093"/>
      <c r="BO61" s="1093"/>
      <c r="BP61" s="1093"/>
      <c r="BQ61" s="1093"/>
      <c r="BR61" s="1093"/>
      <c r="BS61" s="1093"/>
      <c r="BT61" s="1093"/>
      <c r="BU61" s="1093"/>
    </row>
    <row r="62" spans="1:73" x14ac:dyDescent="0.25">
      <c r="A62" s="1093"/>
      <c r="B62" s="1105">
        <f t="shared" si="6"/>
        <v>12</v>
      </c>
      <c r="C62" s="1098">
        <v>1</v>
      </c>
      <c r="D62" s="1098">
        <v>1</v>
      </c>
      <c r="E62" s="1098">
        <v>1</v>
      </c>
      <c r="F62" s="1098">
        <v>1</v>
      </c>
      <c r="G62" s="1098">
        <v>1</v>
      </c>
      <c r="H62" s="1098">
        <f>+F8</f>
        <v>0.95</v>
      </c>
      <c r="I62" s="1098">
        <v>1</v>
      </c>
      <c r="J62" s="1093"/>
      <c r="K62" s="1111">
        <v>5.1408006094552849</v>
      </c>
      <c r="L62" s="1112">
        <v>0</v>
      </c>
      <c r="M62" s="1112">
        <v>3.4353936602805322E-3</v>
      </c>
      <c r="N62" s="1112">
        <v>0.29800769938470956</v>
      </c>
      <c r="O62" s="1112">
        <v>0.14839099904025835</v>
      </c>
      <c r="P62" s="1112">
        <v>2.0282445070766715E-2</v>
      </c>
      <c r="Q62" s="1112">
        <v>1.303585765569026E-3</v>
      </c>
      <c r="R62" s="1112">
        <v>3.4293931333379203E-3</v>
      </c>
      <c r="S62" s="1112">
        <v>0.45305835473667155</v>
      </c>
      <c r="T62" s="1112">
        <v>3.995330806246626</v>
      </c>
      <c r="U62" s="1112">
        <v>0</v>
      </c>
      <c r="V62" s="1112">
        <v>1.1304767209823824E-2</v>
      </c>
      <c r="W62" s="1112">
        <v>0.17751071087770429</v>
      </c>
      <c r="X62" s="1112">
        <v>2.5925514833500321E-2</v>
      </c>
      <c r="Y62" s="1112">
        <v>9.6917268165929073E-3</v>
      </c>
      <c r="Z62" s="1227"/>
      <c r="AA62" s="1093"/>
      <c r="AB62" s="1093"/>
      <c r="AC62" s="1093"/>
      <c r="AD62" s="1093"/>
      <c r="AE62" s="1093"/>
      <c r="AF62" s="1093"/>
      <c r="AG62" s="1093"/>
      <c r="AH62" s="1093"/>
      <c r="AI62" s="1093"/>
      <c r="AJ62" s="1093"/>
      <c r="AK62" s="1093"/>
      <c r="AL62" s="1093"/>
      <c r="AM62" s="1093"/>
      <c r="AN62" s="1093"/>
      <c r="AO62" s="1093"/>
      <c r="AP62" s="1093"/>
      <c r="AQ62" s="1093"/>
      <c r="AR62" s="1093"/>
      <c r="AS62" s="1093"/>
      <c r="AT62" s="1093"/>
      <c r="AU62" s="1093"/>
      <c r="AV62" s="1093"/>
      <c r="AW62" s="1093"/>
      <c r="AX62" s="1093"/>
      <c r="AY62" s="1093"/>
      <c r="AZ62" s="1093"/>
      <c r="BA62" s="1093"/>
      <c r="BB62" s="1093"/>
      <c r="BC62" s="1093"/>
      <c r="BD62" s="1093"/>
      <c r="BE62" s="1093"/>
      <c r="BF62" s="1093"/>
      <c r="BG62" s="1093"/>
      <c r="BH62" s="1093"/>
      <c r="BI62" s="1093"/>
      <c r="BJ62" s="1093"/>
      <c r="BK62" s="1093"/>
      <c r="BL62" s="1093"/>
      <c r="BM62" s="1093"/>
      <c r="BN62" s="1093"/>
      <c r="BO62" s="1093"/>
      <c r="BP62" s="1093"/>
      <c r="BQ62" s="1093"/>
      <c r="BR62" s="1093"/>
      <c r="BS62" s="1093"/>
      <c r="BT62" s="1093"/>
      <c r="BU62" s="1093"/>
    </row>
    <row r="63" spans="1:73" x14ac:dyDescent="0.25">
      <c r="A63" s="1093"/>
      <c r="B63" s="1105">
        <f t="shared" si="6"/>
        <v>13</v>
      </c>
      <c r="C63" s="1098">
        <v>1</v>
      </c>
      <c r="D63" s="1098">
        <v>1</v>
      </c>
      <c r="E63" s="1098">
        <v>1</v>
      </c>
      <c r="F63" s="1098">
        <v>1</v>
      </c>
      <c r="G63" s="1098">
        <v>1</v>
      </c>
      <c r="H63" s="1098">
        <f>+G8</f>
        <v>1.05</v>
      </c>
      <c r="I63" s="1098">
        <v>1</v>
      </c>
      <c r="J63" s="1093"/>
      <c r="K63" s="1111">
        <v>5.2100548418588506</v>
      </c>
      <c r="L63" s="1112">
        <v>0</v>
      </c>
      <c r="M63" s="1112">
        <v>3.7970140455732197E-3</v>
      </c>
      <c r="N63" s="1112">
        <v>0.32943181872059774</v>
      </c>
      <c r="O63" s="1112">
        <v>0.14839099904025835</v>
      </c>
      <c r="P63" s="1112">
        <v>2.036768091737683E-2</v>
      </c>
      <c r="Q63" s="1112">
        <v>1.303585765569026E-3</v>
      </c>
      <c r="R63" s="1112">
        <v>3.7910135186306091E-3</v>
      </c>
      <c r="S63" s="1112">
        <v>0.47179437835836985</v>
      </c>
      <c r="T63" s="1112">
        <v>3.995330806246626</v>
      </c>
      <c r="U63" s="1112">
        <v>0</v>
      </c>
      <c r="V63" s="1112">
        <v>1.1304767209823824E-2</v>
      </c>
      <c r="W63" s="1112">
        <v>0.19622874324242617</v>
      </c>
      <c r="X63" s="1112">
        <v>2.5194369250902238E-2</v>
      </c>
      <c r="Y63" s="1112">
        <v>1.0713693633840411E-2</v>
      </c>
      <c r="Z63" s="1227"/>
      <c r="AA63" s="1093"/>
      <c r="AB63" s="1093"/>
      <c r="AC63" s="1093"/>
      <c r="AD63" s="1093"/>
      <c r="AE63" s="1093"/>
      <c r="AF63" s="1093"/>
      <c r="AG63" s="1093"/>
      <c r="AH63" s="1093"/>
      <c r="AI63" s="1093"/>
      <c r="AJ63" s="1093"/>
      <c r="AK63" s="1093"/>
      <c r="AL63" s="1093"/>
      <c r="AM63" s="1093"/>
      <c r="AN63" s="1093"/>
      <c r="AO63" s="1093"/>
      <c r="AP63" s="1093"/>
      <c r="AQ63" s="1093"/>
      <c r="AR63" s="1093"/>
      <c r="AS63" s="1093"/>
      <c r="AT63" s="1093"/>
      <c r="AU63" s="1093"/>
      <c r="AV63" s="1093"/>
      <c r="AW63" s="1093"/>
      <c r="AX63" s="1093"/>
      <c r="AY63" s="1093"/>
      <c r="AZ63" s="1093"/>
      <c r="BA63" s="1093"/>
      <c r="BB63" s="1093"/>
      <c r="BC63" s="1093"/>
      <c r="BD63" s="1093"/>
      <c r="BE63" s="1093"/>
      <c r="BF63" s="1093"/>
      <c r="BG63" s="1093"/>
      <c r="BH63" s="1093"/>
      <c r="BI63" s="1093"/>
      <c r="BJ63" s="1093"/>
      <c r="BK63" s="1093"/>
      <c r="BL63" s="1093"/>
      <c r="BM63" s="1093"/>
      <c r="BN63" s="1093"/>
      <c r="BO63" s="1093"/>
      <c r="BP63" s="1093"/>
      <c r="BQ63" s="1093"/>
      <c r="BR63" s="1093"/>
      <c r="BS63" s="1093"/>
      <c r="BT63" s="1093"/>
      <c r="BU63" s="1093"/>
    </row>
    <row r="64" spans="1:73" x14ac:dyDescent="0.25">
      <c r="A64" s="1093"/>
      <c r="B64" s="1113">
        <f t="shared" si="6"/>
        <v>14</v>
      </c>
      <c r="C64" s="1098">
        <v>1</v>
      </c>
      <c r="D64" s="1098">
        <v>1</v>
      </c>
      <c r="E64" s="1098">
        <v>1</v>
      </c>
      <c r="F64" s="1098">
        <v>1</v>
      </c>
      <c r="G64" s="1098">
        <v>1</v>
      </c>
      <c r="H64" s="1098">
        <v>1</v>
      </c>
      <c r="I64" s="1098">
        <f>+F9</f>
        <v>0.95</v>
      </c>
      <c r="J64" s="1093"/>
      <c r="K64" s="1111">
        <v>5.1521647619209459</v>
      </c>
      <c r="L64" s="1112">
        <v>0</v>
      </c>
      <c r="M64" s="1112">
        <v>3.6162038529268764E-3</v>
      </c>
      <c r="N64" s="1112">
        <v>0.31371975905265359</v>
      </c>
      <c r="O64" s="1112">
        <v>0.14839099904025835</v>
      </c>
      <c r="P64" s="1112">
        <v>2.0219877113536608E-2</v>
      </c>
      <c r="Q64" s="1112">
        <v>1.303585765569026E-3</v>
      </c>
      <c r="R64" s="1112">
        <v>3.6102033259842637E-3</v>
      </c>
      <c r="S64" s="1112">
        <v>0.43930504822014471</v>
      </c>
      <c r="T64" s="1112">
        <v>3.995330806246626</v>
      </c>
      <c r="U64" s="1112">
        <v>0</v>
      </c>
      <c r="V64" s="1112">
        <v>1.1304767209823824E-2</v>
      </c>
      <c r="W64" s="1112">
        <v>0.18686972706006519</v>
      </c>
      <c r="X64" s="1112">
        <v>2.5523482513989962E-2</v>
      </c>
      <c r="Y64" s="1112">
        <v>1.0202710225216656E-2</v>
      </c>
      <c r="Z64" s="1227"/>
      <c r="AA64" s="1093"/>
      <c r="AB64" s="1093"/>
      <c r="AC64" s="1093"/>
      <c r="AD64" s="1093"/>
      <c r="AE64" s="1093"/>
      <c r="AF64" s="1093"/>
      <c r="AG64" s="1093"/>
      <c r="AH64" s="1093"/>
      <c r="AI64" s="1093"/>
      <c r="AJ64" s="1093"/>
      <c r="AK64" s="1093"/>
      <c r="AL64" s="1093"/>
      <c r="AM64" s="1093"/>
      <c r="AN64" s="1093"/>
      <c r="AO64" s="1093"/>
      <c r="AP64" s="1093"/>
      <c r="AQ64" s="1093"/>
      <c r="AR64" s="1093"/>
      <c r="AS64" s="1093"/>
      <c r="AT64" s="1093"/>
      <c r="AU64" s="1093"/>
      <c r="AV64" s="1093"/>
      <c r="AW64" s="1093"/>
      <c r="AX64" s="1093"/>
      <c r="AY64" s="1093"/>
      <c r="AZ64" s="1093"/>
      <c r="BA64" s="1093"/>
      <c r="BB64" s="1093"/>
      <c r="BC64" s="1093"/>
      <c r="BD64" s="1093"/>
      <c r="BE64" s="1093"/>
      <c r="BF64" s="1093"/>
      <c r="BG64" s="1093"/>
      <c r="BH64" s="1093"/>
      <c r="BI64" s="1093"/>
      <c r="BJ64" s="1093"/>
      <c r="BK64" s="1093"/>
      <c r="BL64" s="1093"/>
      <c r="BM64" s="1093"/>
      <c r="BN64" s="1093"/>
      <c r="BO64" s="1093"/>
      <c r="BP64" s="1093"/>
      <c r="BQ64" s="1093"/>
      <c r="BR64" s="1093"/>
      <c r="BS64" s="1093"/>
      <c r="BT64" s="1093"/>
      <c r="BU64" s="1093"/>
    </row>
    <row r="65" spans="1:73" ht="13" thickBot="1" x14ac:dyDescent="0.3">
      <c r="A65" s="1093"/>
      <c r="B65" s="1216">
        <f t="shared" si="6"/>
        <v>15</v>
      </c>
      <c r="C65" s="1217">
        <v>1</v>
      </c>
      <c r="D65" s="1217">
        <v>1</v>
      </c>
      <c r="E65" s="1217">
        <v>1</v>
      </c>
      <c r="F65" s="1217">
        <v>1</v>
      </c>
      <c r="G65" s="1217">
        <v>1</v>
      </c>
      <c r="H65" s="1217">
        <v>1</v>
      </c>
      <c r="I65" s="1217">
        <f>+G9</f>
        <v>1.05</v>
      </c>
      <c r="J65" s="1218"/>
      <c r="K65" s="1219">
        <v>5.1986906893931879</v>
      </c>
      <c r="L65" s="1220">
        <v>0</v>
      </c>
      <c r="M65" s="1220">
        <v>3.6162038529268764E-3</v>
      </c>
      <c r="N65" s="1220">
        <v>0.31371975905265359</v>
      </c>
      <c r="O65" s="1220">
        <v>0.14839099904025835</v>
      </c>
      <c r="P65" s="1220">
        <v>2.0430248874606916E-2</v>
      </c>
      <c r="Q65" s="1220">
        <v>1.303585765569026E-3</v>
      </c>
      <c r="R65" s="1220">
        <v>3.6102033259842637E-3</v>
      </c>
      <c r="S65" s="1220">
        <v>0.48554768487489663</v>
      </c>
      <c r="T65" s="1220">
        <v>3.995330806246626</v>
      </c>
      <c r="U65" s="1220">
        <v>0</v>
      </c>
      <c r="V65" s="1220">
        <v>1.1304767209823824E-2</v>
      </c>
      <c r="W65" s="1220">
        <v>0.18686972706006519</v>
      </c>
      <c r="X65" s="1220">
        <v>2.5596401570412739E-2</v>
      </c>
      <c r="Y65" s="1220">
        <v>1.0202710225216656E-2</v>
      </c>
      <c r="Z65" s="1227"/>
      <c r="AA65" s="1093"/>
      <c r="AB65" s="1093"/>
      <c r="AC65" s="1093"/>
      <c r="AD65" s="1093"/>
      <c r="AE65" s="1093"/>
      <c r="AF65" s="1093"/>
      <c r="AG65" s="1093"/>
      <c r="AH65" s="1093"/>
      <c r="AI65" s="1093"/>
      <c r="AJ65" s="1093"/>
      <c r="AK65" s="1093"/>
      <c r="AL65" s="1093"/>
      <c r="AM65" s="1093"/>
      <c r="AN65" s="1093"/>
      <c r="AO65" s="1093"/>
      <c r="AP65" s="1093"/>
      <c r="AQ65" s="1093"/>
      <c r="AR65" s="1093"/>
      <c r="AS65" s="1093"/>
      <c r="AT65" s="1093"/>
      <c r="AU65" s="1093"/>
      <c r="AV65" s="1093"/>
      <c r="AW65" s="1093"/>
      <c r="AX65" s="1093"/>
      <c r="AY65" s="1093"/>
      <c r="AZ65" s="1093"/>
      <c r="BA65" s="1093"/>
      <c r="BB65" s="1093"/>
      <c r="BC65" s="1093"/>
      <c r="BD65" s="1093"/>
      <c r="BE65" s="1093"/>
      <c r="BF65" s="1093"/>
      <c r="BG65" s="1093"/>
      <c r="BH65" s="1093"/>
      <c r="BI65" s="1093"/>
      <c r="BJ65" s="1093"/>
      <c r="BK65" s="1093"/>
      <c r="BL65" s="1093"/>
      <c r="BM65" s="1093"/>
      <c r="BN65" s="1093"/>
      <c r="BO65" s="1093"/>
      <c r="BP65" s="1093"/>
      <c r="BQ65" s="1093"/>
      <c r="BR65" s="1093"/>
      <c r="BS65" s="1093"/>
      <c r="BT65" s="1093"/>
      <c r="BU65" s="1093"/>
    </row>
    <row r="66" spans="1:73" ht="13" thickTop="1" x14ac:dyDescent="0.25">
      <c r="A66" s="1093"/>
      <c r="B66" s="1212">
        <f t="shared" si="6"/>
        <v>16</v>
      </c>
      <c r="C66" s="1213">
        <f>(C$72=1)*$F$3
+(C$72=2)
+(C$72=3)
+(C$72=4)
+(C$72=5)</f>
        <v>1</v>
      </c>
      <c r="D66" s="1213">
        <v>1</v>
      </c>
      <c r="E66" s="1213">
        <v>1</v>
      </c>
      <c r="F66" s="1213">
        <f>(F$72=1)*$F$6
+(F$72=2)
+(F$72=3)
+(F$72=4)
+(F$72=5)</f>
        <v>0.95</v>
      </c>
      <c r="G66" s="1213">
        <f>(G$72=1)*$F$7
+(G$72=2)
+(G$72=3)
+(G$72=4)
+(G$72=5)</f>
        <v>1</v>
      </c>
      <c r="H66" s="1213">
        <f>(H$72=1)*$F$8
+(H$72=2)
+(H$72=3)
+(H$72=4)
+(H$72=5)</f>
        <v>1</v>
      </c>
      <c r="I66" s="1213">
        <f>(I$72=1)*$F$9
+(I$72=2)
+(I$72=3)
+(I$72=4)
+(I$72=5)</f>
        <v>1</v>
      </c>
      <c r="J66" s="1093"/>
      <c r="K66" s="1214">
        <v>4.9210838261309968</v>
      </c>
      <c r="L66" s="1215">
        <v>0</v>
      </c>
      <c r="M66" s="1215">
        <v>3.4356936866276632E-3</v>
      </c>
      <c r="N66" s="1215">
        <v>0.29803377110002083</v>
      </c>
      <c r="O66" s="1215">
        <v>0.14097144908824535</v>
      </c>
      <c r="P66" s="1215">
        <v>1.932843366830797E-2</v>
      </c>
      <c r="Q66" s="1215">
        <v>1.303585765569026E-3</v>
      </c>
      <c r="R66" s="1215">
        <v>3.4296931596850505E-3</v>
      </c>
      <c r="S66" s="1215">
        <v>0.44305339907717955</v>
      </c>
      <c r="T66" s="1215">
        <v>3.7955642659342947</v>
      </c>
      <c r="U66" s="1215">
        <v>0</v>
      </c>
      <c r="V66" s="1215">
        <v>1.1304767209823824E-2</v>
      </c>
      <c r="W66" s="1215">
        <v>0.17752624070706202</v>
      </c>
      <c r="X66" s="1215">
        <v>2.4311339393478341E-2</v>
      </c>
      <c r="Y66" s="1215">
        <v>9.6925747139558205E-3</v>
      </c>
      <c r="Z66" s="1227"/>
      <c r="AA66" s="1093"/>
      <c r="AB66" s="1093"/>
      <c r="AC66" s="1093"/>
      <c r="AD66" s="1093"/>
      <c r="AE66" s="1093"/>
      <c r="AF66" s="1093"/>
      <c r="AG66" s="1093"/>
      <c r="AH66" s="1093"/>
      <c r="AI66" s="1093"/>
      <c r="AJ66" s="1093"/>
      <c r="AK66" s="1093"/>
      <c r="AL66" s="1093"/>
      <c r="AM66" s="1093"/>
      <c r="AN66" s="1093"/>
      <c r="AO66" s="1093"/>
      <c r="AP66" s="1093"/>
      <c r="AQ66" s="1093"/>
      <c r="AR66" s="1093"/>
      <c r="AS66" s="1093"/>
      <c r="AT66" s="1093"/>
      <c r="AU66" s="1093"/>
      <c r="AV66" s="1093"/>
      <c r="AW66" s="1093"/>
      <c r="AX66" s="1093"/>
      <c r="AY66" s="1093"/>
      <c r="AZ66" s="1093"/>
      <c r="BA66" s="1093"/>
      <c r="BB66" s="1093"/>
      <c r="BC66" s="1093"/>
      <c r="BD66" s="1093"/>
      <c r="BE66" s="1093"/>
      <c r="BF66" s="1093"/>
      <c r="BG66" s="1093"/>
      <c r="BH66" s="1093"/>
      <c r="BI66" s="1093"/>
      <c r="BJ66" s="1093"/>
      <c r="BK66" s="1093"/>
      <c r="BL66" s="1093"/>
      <c r="BM66" s="1093"/>
      <c r="BN66" s="1093"/>
      <c r="BO66" s="1093"/>
      <c r="BP66" s="1093"/>
      <c r="BQ66" s="1093"/>
      <c r="BR66" s="1093"/>
      <c r="BS66" s="1093"/>
      <c r="BT66" s="1093"/>
      <c r="BU66" s="1093"/>
    </row>
    <row r="67" spans="1:73" x14ac:dyDescent="0.25">
      <c r="A67" s="1093"/>
      <c r="B67" s="1105">
        <f t="shared" si="6"/>
        <v>17</v>
      </c>
      <c r="C67" s="1213">
        <f>(C$72=1)*$F$3
+(C$72=2)*$F$3
+(C$72=3)
+(C$72=4)
+(C$72=5)</f>
        <v>1.05</v>
      </c>
      <c r="D67" s="1098">
        <v>1</v>
      </c>
      <c r="E67" s="1098">
        <v>1</v>
      </c>
      <c r="F67" s="1213">
        <f>(F$72=1)*$F$6
+(F$72=2)*$F$6
+(F$72=3)
+(F$72=4)
+(F$72=5)</f>
        <v>0.95</v>
      </c>
      <c r="G67" s="1213">
        <f>(G$72=1)*$F$7
+(G$72=2)*$F$7
+(G$72=3)
+(G$72=4)
+(G$72=5)</f>
        <v>1</v>
      </c>
      <c r="H67" s="1213">
        <f>(H$72=1)*$F$8
+(H$72=2)*$F$8
+(H$72=3)
+(H$72=4)
+(H$72=5)</f>
        <v>1</v>
      </c>
      <c r="I67" s="1213">
        <f>(I$72=1)*$F$9
+(I$72=2)*$F$9
+(I$72=3)
+(I$72=4)
+(I$72=5)</f>
        <v>1</v>
      </c>
      <c r="J67" s="1093"/>
      <c r="K67" s="1111">
        <v>4.8691361611881732</v>
      </c>
      <c r="L67" s="1112">
        <v>0</v>
      </c>
      <c r="M67" s="1112">
        <v>3.2720892253596786E-3</v>
      </c>
      <c r="N67" s="1112">
        <v>0.28384168676192451</v>
      </c>
      <c r="O67" s="1112">
        <v>0.13425852294118604</v>
      </c>
      <c r="P67" s="1112">
        <v>1.9232453472422514E-2</v>
      </c>
      <c r="Q67" s="1112">
        <v>1.2415102529228813E-3</v>
      </c>
      <c r="R67" s="1112">
        <v>3.2663744377952855E-3</v>
      </c>
      <c r="S67" s="1112">
        <v>0.42195561816874233</v>
      </c>
      <c r="T67" s="1112">
        <v>3.7955642659342921</v>
      </c>
      <c r="U67" s="1112">
        <v>0</v>
      </c>
      <c r="V67" s="1112">
        <v>1.130476720982382E-2</v>
      </c>
      <c r="W67" s="1112">
        <v>0.16907261019720188</v>
      </c>
      <c r="X67" s="1112">
        <v>2.3439417500116168E-2</v>
      </c>
      <c r="Y67" s="1112">
        <v>9.2310235371007802E-3</v>
      </c>
      <c r="Z67" s="1227"/>
      <c r="AA67" s="1093"/>
      <c r="AB67" s="1093"/>
      <c r="AC67" s="1093"/>
      <c r="AD67" s="1093"/>
      <c r="AE67" s="1093"/>
      <c r="AF67" s="1093"/>
      <c r="AG67" s="1093"/>
      <c r="AH67" s="1093"/>
      <c r="AI67" s="1093"/>
      <c r="AJ67" s="1093"/>
      <c r="AK67" s="1093"/>
      <c r="AL67" s="1093"/>
      <c r="AM67" s="1093"/>
      <c r="AN67" s="1093"/>
      <c r="AO67" s="1093"/>
      <c r="AP67" s="1093"/>
      <c r="AQ67" s="1093"/>
      <c r="AR67" s="1093"/>
      <c r="AS67" s="1093"/>
      <c r="AT67" s="1093"/>
      <c r="AU67" s="1093"/>
      <c r="AV67" s="1093"/>
      <c r="AW67" s="1093"/>
      <c r="AX67" s="1093"/>
      <c r="AY67" s="1093"/>
      <c r="AZ67" s="1093"/>
      <c r="BA67" s="1093"/>
      <c r="BB67" s="1093"/>
      <c r="BC67" s="1093"/>
      <c r="BD67" s="1093"/>
      <c r="BE67" s="1093"/>
      <c r="BF67" s="1093"/>
      <c r="BG67" s="1093"/>
      <c r="BH67" s="1093"/>
      <c r="BI67" s="1093"/>
      <c r="BJ67" s="1093"/>
      <c r="BK67" s="1093"/>
      <c r="BL67" s="1093"/>
      <c r="BM67" s="1093"/>
      <c r="BN67" s="1093"/>
      <c r="BO67" s="1093"/>
      <c r="BP67" s="1093"/>
      <c r="BQ67" s="1093"/>
      <c r="BR67" s="1093"/>
      <c r="BS67" s="1093"/>
      <c r="BT67" s="1093"/>
      <c r="BU67" s="1093"/>
    </row>
    <row r="68" spans="1:73" x14ac:dyDescent="0.25">
      <c r="A68" s="1093"/>
      <c r="B68" s="1113">
        <f t="shared" si="6"/>
        <v>18</v>
      </c>
      <c r="C68" s="1213">
        <f>(C$72=1)*$F$3
+(C$72=2)*$F$3
+(C$72=3)*$F$3
+(C$72=4)
+(C$72=5)</f>
        <v>1.05</v>
      </c>
      <c r="D68" s="1098">
        <v>1</v>
      </c>
      <c r="E68" s="1098">
        <v>1</v>
      </c>
      <c r="F68" s="1213">
        <f>(F$72=1)*$F$6
+(F$72=2)*$F$6
+(F$72=3)*$F$6
+(F$72=4)
+(F$72=5)</f>
        <v>0.95</v>
      </c>
      <c r="G68" s="1213">
        <f>(G$72=1)*$F$7
+(G$72=2)*$F$7
+(G$72=3)*$F$7
+(G$72=4)
+(G$72=5)</f>
        <v>1</v>
      </c>
      <c r="H68" s="1213">
        <f>(H$72=1)*$F$8
+(H$72=2)*$F$8
+(H$72=3)*$F$8
+(H$72=4)
+(H$72=5)</f>
        <v>0.95</v>
      </c>
      <c r="I68" s="1213">
        <f>(I$72=1)*$F$9
+(I$72=2)*$F$9
+(I$72=3)*$F$9
+(I$72=4)
+(I$72=5)</f>
        <v>1</v>
      </c>
      <c r="J68" s="1093"/>
      <c r="K68" s="1111">
        <v>4.8378041294672727</v>
      </c>
      <c r="L68" s="1112">
        <v>0</v>
      </c>
      <c r="M68" s="1112">
        <v>3.1084847640916948E-3</v>
      </c>
      <c r="N68" s="1112">
        <v>0.26962477221876996</v>
      </c>
      <c r="O68" s="1112">
        <v>0.13425852294118604</v>
      </c>
      <c r="P68" s="1112">
        <v>1.9193891031441545E-2</v>
      </c>
      <c r="Q68" s="1112">
        <v>1.2415102529228813E-3</v>
      </c>
      <c r="R68" s="1112">
        <v>3.1027699765273013E-3</v>
      </c>
      <c r="S68" s="1112">
        <v>0.4134790577324407</v>
      </c>
      <c r="T68" s="1112">
        <v>3.7955642659342921</v>
      </c>
      <c r="U68" s="1112">
        <v>0</v>
      </c>
      <c r="V68" s="1112">
        <v>1.130476720982382E-2</v>
      </c>
      <c r="W68" s="1112">
        <v>0.16060418937366763</v>
      </c>
      <c r="X68" s="1112">
        <v>2.3770202721343506E-2</v>
      </c>
      <c r="Y68" s="1112">
        <v>8.7686648389477245E-3</v>
      </c>
      <c r="Z68" s="1227"/>
      <c r="AA68" s="1093"/>
      <c r="AB68" s="1093"/>
      <c r="AC68" s="1093"/>
      <c r="AD68" s="1093"/>
      <c r="AE68" s="1093"/>
      <c r="AF68" s="1093"/>
      <c r="AG68" s="1093"/>
      <c r="AH68" s="1093"/>
      <c r="AI68" s="1093"/>
      <c r="AJ68" s="1093"/>
      <c r="AK68" s="1093"/>
      <c r="AL68" s="1093"/>
      <c r="AM68" s="1093"/>
      <c r="AN68" s="1093"/>
      <c r="AO68" s="1093"/>
      <c r="AP68" s="1093"/>
      <c r="AQ68" s="1093"/>
      <c r="AR68" s="1093"/>
      <c r="AS68" s="1093"/>
      <c r="AT68" s="1093"/>
      <c r="AU68" s="1093"/>
      <c r="AV68" s="1093"/>
      <c r="AW68" s="1093"/>
      <c r="AX68" s="1093"/>
      <c r="AY68" s="1093"/>
      <c r="AZ68" s="1093"/>
      <c r="BA68" s="1093"/>
      <c r="BB68" s="1093"/>
      <c r="BC68" s="1093"/>
      <c r="BD68" s="1093"/>
      <c r="BE68" s="1093"/>
      <c r="BF68" s="1093"/>
      <c r="BG68" s="1093"/>
      <c r="BH68" s="1093"/>
      <c r="BI68" s="1093"/>
      <c r="BJ68" s="1093"/>
      <c r="BK68" s="1093"/>
      <c r="BL68" s="1093"/>
      <c r="BM68" s="1093"/>
      <c r="BN68" s="1093"/>
      <c r="BO68" s="1093"/>
      <c r="BP68" s="1093"/>
      <c r="BQ68" s="1093"/>
      <c r="BR68" s="1093"/>
      <c r="BS68" s="1093"/>
      <c r="BT68" s="1093"/>
      <c r="BU68" s="1093"/>
    </row>
    <row r="69" spans="1:73" x14ac:dyDescent="0.25">
      <c r="A69" s="1093"/>
      <c r="B69" s="1113">
        <f t="shared" si="6"/>
        <v>19</v>
      </c>
      <c r="C69" s="1213">
        <f>(C$72=1)*$F$3
+(C$72=2)*$F$3
+(C$72=3)*$F$3
+(C$72=4)*$F$3
+(C$72=5)</f>
        <v>1.05</v>
      </c>
      <c r="D69" s="1098">
        <v>1</v>
      </c>
      <c r="E69" s="1098">
        <v>1</v>
      </c>
      <c r="F69" s="1213">
        <f>(F$72=1)*$F$6
+(F$72=2)*$F$6
+(F$72=3)*$F$6
+(F$72=4)*$F$6
+(F$72=5)</f>
        <v>0.95</v>
      </c>
      <c r="G69" s="1213">
        <f>(G$72=1)*$F$7
+(G$72=2)*$F$7
+(G$72=3)*$F$7
+(G$72=4)*$F$7
+(G$72=5)</f>
        <v>1</v>
      </c>
      <c r="H69" s="1213">
        <f>(H$72=1)*$F$8
+(H$72=2)*$F$8
+(H$72=3)*$F$8
+(H$72=4)*$F$8
+(H$72=5)</f>
        <v>0.95</v>
      </c>
      <c r="I69" s="1213">
        <f>(I$72=1)*$F$9
+(I$72=2)*$F$9
+(I$72=3)*$F$9
+(I$72=4)*$F$9
+(I$72=5)</f>
        <v>0.95</v>
      </c>
      <c r="J69" s="1093"/>
      <c r="K69" s="1111">
        <v>4.817003524178503</v>
      </c>
      <c r="L69" s="1112">
        <v>0</v>
      </c>
      <c r="M69" s="1112">
        <v>3.1084847640916948E-3</v>
      </c>
      <c r="N69" s="1112">
        <v>0.26962477221876996</v>
      </c>
      <c r="O69" s="1112">
        <v>0.13425852294118604</v>
      </c>
      <c r="P69" s="1112">
        <v>1.9099838957605107E-2</v>
      </c>
      <c r="Q69" s="1112">
        <v>1.2415102529228813E-3</v>
      </c>
      <c r="R69" s="1112">
        <v>3.1027699765273013E-3</v>
      </c>
      <c r="S69" s="1112">
        <v>0.3928051048458186</v>
      </c>
      <c r="T69" s="1112">
        <v>3.7955642659342921</v>
      </c>
      <c r="U69" s="1112">
        <v>0</v>
      </c>
      <c r="V69" s="1112">
        <v>1.130476720982382E-2</v>
      </c>
      <c r="W69" s="1112">
        <v>0.16060418937366763</v>
      </c>
      <c r="X69" s="1112">
        <v>2.3737602393030119E-2</v>
      </c>
      <c r="Y69" s="1112">
        <v>8.7686648389477245E-3</v>
      </c>
      <c r="Z69" s="1227"/>
      <c r="AA69" s="1093"/>
      <c r="AB69" s="1093"/>
      <c r="AC69" s="1093"/>
      <c r="AD69" s="1093"/>
      <c r="AE69" s="1093"/>
      <c r="AF69" s="1093"/>
      <c r="AG69" s="1093"/>
      <c r="AH69" s="1093"/>
      <c r="AI69" s="1093"/>
      <c r="AJ69" s="1093"/>
      <c r="AK69" s="1093"/>
      <c r="AL69" s="1093"/>
      <c r="AM69" s="1093"/>
      <c r="AN69" s="1093"/>
      <c r="AO69" s="1093"/>
      <c r="AP69" s="1093"/>
      <c r="AQ69" s="1093"/>
      <c r="AR69" s="1093"/>
      <c r="AS69" s="1093"/>
      <c r="AT69" s="1093"/>
      <c r="AU69" s="1093"/>
      <c r="AV69" s="1093"/>
      <c r="AW69" s="1093"/>
      <c r="AX69" s="1093"/>
      <c r="AY69" s="1093"/>
      <c r="AZ69" s="1093"/>
      <c r="BA69" s="1093"/>
      <c r="BB69" s="1093"/>
      <c r="BC69" s="1093"/>
      <c r="BD69" s="1093"/>
      <c r="BE69" s="1093"/>
      <c r="BF69" s="1093"/>
      <c r="BG69" s="1093"/>
      <c r="BH69" s="1093"/>
      <c r="BI69" s="1093"/>
      <c r="BJ69" s="1093"/>
      <c r="BK69" s="1093"/>
      <c r="BL69" s="1093"/>
      <c r="BM69" s="1093"/>
      <c r="BN69" s="1093"/>
      <c r="BO69" s="1093"/>
      <c r="BP69" s="1093"/>
      <c r="BQ69" s="1093"/>
      <c r="BR69" s="1093"/>
      <c r="BS69" s="1093"/>
      <c r="BT69" s="1093"/>
      <c r="BU69" s="1093"/>
    </row>
    <row r="70" spans="1:73" x14ac:dyDescent="0.25">
      <c r="A70" s="1093"/>
      <c r="B70" s="1105">
        <f t="shared" si="6"/>
        <v>20</v>
      </c>
      <c r="C70" s="1213">
        <f>(C$72=1)*$F$3
+(C$72=2)*$F$3
+(C$72=3)*$F$3
+(C$72=4)*$F$3
+(C$72=5)*$F$3</f>
        <v>1.05</v>
      </c>
      <c r="D70" s="1098">
        <v>1</v>
      </c>
      <c r="E70" s="1098">
        <v>1</v>
      </c>
      <c r="F70" s="1213">
        <f>(F$72=1)*$F$6
+(F$72=2)*$F$6
+(F$72=3)*$F$6
+(F$72=4)*$F$6
+(F$72=5)*$F$6</f>
        <v>0.95</v>
      </c>
      <c r="G70" s="1213">
        <f>(G$72=1)*$F$7
+(G$72=2)*$F$7
+(G$72=3)*$F$7
+(G$72=4)*$F$7
+(G$72=5)*$F$7</f>
        <v>0.95</v>
      </c>
      <c r="H70" s="1213">
        <f>(H$72=1)*$F$8
+(H$72=2)*$F$8
+(H$72=3)*$F$8
+(H$72=4)*$F$8
+(H$72=5)*$F$8</f>
        <v>0.95</v>
      </c>
      <c r="I70" s="1213">
        <f>(I$72=1)*$F$9
+(I$72=2)*$F$9
+(I$72=3)*$F$9
+(I$72=4)*$F$9
+(I$72=5)*$F$9</f>
        <v>0.95</v>
      </c>
      <c r="J70" s="1093"/>
      <c r="K70" s="1111">
        <v>4.817003524178503</v>
      </c>
      <c r="L70" s="1112">
        <v>0</v>
      </c>
      <c r="M70" s="1112">
        <v>3.1084847640916948E-3</v>
      </c>
      <c r="N70" s="1112">
        <v>0.26962477221876996</v>
      </c>
      <c r="O70" s="1112">
        <v>0.13425852294118604</v>
      </c>
      <c r="P70" s="1112">
        <v>1.9099838957605107E-2</v>
      </c>
      <c r="Q70" s="1112">
        <v>1.2415102529228813E-3</v>
      </c>
      <c r="R70" s="1112">
        <v>3.1027699765273013E-3</v>
      </c>
      <c r="S70" s="1112">
        <v>0.3928051048458186</v>
      </c>
      <c r="T70" s="1112">
        <v>3.7955642659342921</v>
      </c>
      <c r="U70" s="1112">
        <v>0</v>
      </c>
      <c r="V70" s="1112">
        <v>1.130476720982382E-2</v>
      </c>
      <c r="W70" s="1112">
        <v>0.16060418937366763</v>
      </c>
      <c r="X70" s="1112">
        <v>2.3737602393030119E-2</v>
      </c>
      <c r="Y70" s="1112">
        <v>8.7686648389477245E-3</v>
      </c>
      <c r="Z70" s="1227"/>
      <c r="AA70" s="1093"/>
      <c r="AB70" s="1093"/>
      <c r="AC70" s="1093"/>
      <c r="AD70" s="1093"/>
      <c r="AE70" s="1093"/>
      <c r="AF70" s="1093"/>
      <c r="AG70" s="1093"/>
      <c r="AH70" s="1093"/>
      <c r="AI70" s="1093"/>
      <c r="AJ70" s="1093"/>
      <c r="AK70" s="1093"/>
      <c r="AL70" s="1093"/>
      <c r="AM70" s="1093"/>
      <c r="AN70" s="1093"/>
      <c r="AO70" s="1093"/>
      <c r="AP70" s="1093"/>
      <c r="AQ70" s="1093"/>
      <c r="AR70" s="1093"/>
      <c r="AS70" s="1093"/>
      <c r="AT70" s="1093"/>
      <c r="AU70" s="1093"/>
      <c r="AV70" s="1093"/>
      <c r="AW70" s="1093"/>
      <c r="AX70" s="1093"/>
      <c r="AY70" s="1093"/>
      <c r="AZ70" s="1093"/>
      <c r="BA70" s="1093"/>
      <c r="BB70" s="1093"/>
      <c r="BC70" s="1093"/>
      <c r="BD70" s="1093"/>
      <c r="BE70" s="1093"/>
      <c r="BF70" s="1093"/>
      <c r="BG70" s="1093"/>
      <c r="BH70" s="1093"/>
      <c r="BI70" s="1093"/>
      <c r="BJ70" s="1093"/>
      <c r="BK70" s="1093"/>
      <c r="BL70" s="1093"/>
      <c r="BM70" s="1093"/>
      <c r="BN70" s="1093"/>
      <c r="BO70" s="1093"/>
      <c r="BP70" s="1093"/>
      <c r="BQ70" s="1093"/>
      <c r="BR70" s="1093"/>
      <c r="BS70" s="1093"/>
      <c r="BT70" s="1093"/>
      <c r="BU70" s="1093"/>
    </row>
    <row r="71" spans="1:73" x14ac:dyDescent="0.25">
      <c r="A71" s="1093"/>
      <c r="B71" s="1093"/>
      <c r="C71" s="1093"/>
      <c r="D71" s="1093"/>
      <c r="E71" s="1093"/>
      <c r="F71" s="1093"/>
      <c r="G71" s="1093"/>
      <c r="H71" s="1093"/>
      <c r="I71" s="1093"/>
      <c r="J71" s="1093"/>
      <c r="K71" s="1093"/>
      <c r="L71" s="1093"/>
      <c r="M71" s="1093"/>
      <c r="N71" s="1093"/>
      <c r="O71" s="1093"/>
      <c r="P71" s="1093"/>
      <c r="Q71" s="1093"/>
      <c r="R71" s="1093"/>
      <c r="S71" s="1093"/>
      <c r="T71" s="1093"/>
      <c r="U71" s="1093"/>
      <c r="V71" s="1093"/>
      <c r="W71" s="1093"/>
      <c r="X71" s="1093"/>
      <c r="Y71" s="1093"/>
      <c r="Z71" s="1093"/>
      <c r="AA71" s="1093"/>
      <c r="AB71" s="1093"/>
      <c r="AC71" s="1093"/>
      <c r="AD71" s="1093"/>
      <c r="AE71" s="1093"/>
      <c r="AF71" s="1093"/>
      <c r="AG71" s="1093"/>
      <c r="AH71" s="1093"/>
      <c r="AI71" s="1093"/>
      <c r="AJ71" s="1093"/>
      <c r="AK71" s="1093"/>
      <c r="AL71" s="1093"/>
      <c r="AM71" s="1093"/>
      <c r="AN71" s="1093"/>
      <c r="AO71" s="1093"/>
      <c r="AP71" s="1093"/>
      <c r="AQ71" s="1093"/>
      <c r="AR71" s="1093"/>
      <c r="AS71" s="1093"/>
      <c r="AT71" s="1093"/>
      <c r="AU71" s="1093"/>
      <c r="AV71" s="1093"/>
      <c r="AW71" s="1093"/>
      <c r="AX71" s="1093"/>
      <c r="AY71" s="1093"/>
      <c r="AZ71" s="1093"/>
      <c r="BA71" s="1093"/>
      <c r="BB71" s="1093"/>
      <c r="BC71" s="1093"/>
      <c r="BD71" s="1093"/>
      <c r="BE71" s="1093"/>
      <c r="BF71" s="1093"/>
      <c r="BG71" s="1093"/>
      <c r="BH71" s="1093"/>
      <c r="BI71" s="1093"/>
      <c r="BJ71" s="1093"/>
      <c r="BK71" s="1093"/>
      <c r="BL71" s="1093"/>
      <c r="BM71" s="1093"/>
      <c r="BN71" s="1093"/>
      <c r="BO71" s="1093"/>
      <c r="BP71" s="1093"/>
      <c r="BQ71" s="1093"/>
      <c r="BR71" s="1093"/>
      <c r="BS71" s="1093"/>
      <c r="BT71" s="1093"/>
      <c r="BU71" s="1093"/>
    </row>
    <row r="72" spans="1:73" x14ac:dyDescent="0.25">
      <c r="A72" s="1093"/>
      <c r="B72" s="1221" t="s">
        <v>1182</v>
      </c>
      <c r="C72" s="1097">
        <f>6-RANK($N$101,($N$101,$N$104:$N$107))</f>
        <v>2</v>
      </c>
      <c r="D72" s="1222"/>
      <c r="E72" s="1222"/>
      <c r="F72" s="1097">
        <f>6-RANK($N$104,($N$101,$N$104:$N$107))</f>
        <v>1</v>
      </c>
      <c r="G72" s="1097">
        <f>6-RANK($N$105,($N$101,$N$104:$N$107))</f>
        <v>5</v>
      </c>
      <c r="H72" s="1097">
        <f>6-RANK($N$106,($N$101,$N$104:$N$107))</f>
        <v>3</v>
      </c>
      <c r="I72" s="1097">
        <f>6-RANK($N$107,($N$101,$N$104:$N$107))</f>
        <v>4</v>
      </c>
      <c r="J72" s="1093"/>
      <c r="K72" s="1093"/>
      <c r="L72" s="1093"/>
      <c r="M72" s="1093"/>
      <c r="N72" s="1093"/>
      <c r="O72" s="1093"/>
      <c r="P72" s="1093"/>
      <c r="Q72" s="1093"/>
      <c r="R72" s="1093"/>
      <c r="S72" s="1093"/>
      <c r="T72" s="1093"/>
      <c r="U72" s="1093"/>
      <c r="V72" s="1093"/>
      <c r="W72" s="1093"/>
      <c r="X72" s="1093"/>
      <c r="Y72" s="1093"/>
      <c r="Z72" s="1093"/>
      <c r="AA72" s="1093"/>
      <c r="AB72" s="1093"/>
      <c r="AC72" s="1093"/>
      <c r="AD72" s="1093"/>
      <c r="AE72" s="1093"/>
      <c r="AF72" s="1093"/>
      <c r="AG72" s="1093"/>
      <c r="AH72" s="1093"/>
      <c r="AI72" s="1093"/>
      <c r="AJ72" s="1093"/>
      <c r="AK72" s="1093"/>
      <c r="AL72" s="1093"/>
      <c r="AM72" s="1093"/>
      <c r="AN72" s="1093"/>
      <c r="AO72" s="1093"/>
      <c r="AP72" s="1093"/>
      <c r="AQ72" s="1093"/>
      <c r="AR72" s="1093"/>
      <c r="AS72" s="1093"/>
      <c r="AT72" s="1093"/>
      <c r="AU72" s="1093"/>
      <c r="AV72" s="1093"/>
      <c r="AW72" s="1093"/>
      <c r="AX72" s="1093"/>
      <c r="AY72" s="1093"/>
      <c r="AZ72" s="1093"/>
      <c r="BA72" s="1093"/>
      <c r="BB72" s="1093"/>
      <c r="BC72" s="1093"/>
      <c r="BD72" s="1093"/>
      <c r="BE72" s="1093"/>
      <c r="BF72" s="1093"/>
      <c r="BG72" s="1093"/>
      <c r="BH72" s="1093"/>
      <c r="BI72" s="1093"/>
      <c r="BJ72" s="1093"/>
      <c r="BK72" s="1093"/>
      <c r="BL72" s="1093"/>
      <c r="BM72" s="1093"/>
      <c r="BN72" s="1093"/>
      <c r="BO72" s="1093"/>
      <c r="BP72" s="1093"/>
      <c r="BQ72" s="1093"/>
      <c r="BR72" s="1093"/>
      <c r="BS72" s="1093"/>
      <c r="BT72" s="1093"/>
      <c r="BU72" s="1093"/>
    </row>
    <row r="73" spans="1:73" x14ac:dyDescent="0.25">
      <c r="A73" s="1093"/>
      <c r="B73" s="1093"/>
      <c r="C73" s="1093"/>
      <c r="D73" s="1093"/>
      <c r="E73" s="1093"/>
      <c r="F73" s="1093"/>
      <c r="G73" s="1093"/>
      <c r="H73" s="1093"/>
      <c r="I73" s="1093"/>
      <c r="J73" s="1093"/>
      <c r="K73" s="1093"/>
      <c r="L73" s="1093"/>
      <c r="M73" s="1093"/>
      <c r="N73" s="1093"/>
      <c r="O73" s="1093"/>
      <c r="P73" s="1093"/>
      <c r="Q73" s="1093"/>
      <c r="R73" s="1093"/>
      <c r="S73" s="1093"/>
      <c r="T73" s="1093"/>
      <c r="U73" s="1093"/>
      <c r="V73" s="1093"/>
      <c r="W73" s="1093"/>
      <c r="X73" s="1093"/>
      <c r="Y73" s="1093"/>
      <c r="Z73" s="1093"/>
      <c r="AA73" s="1093"/>
      <c r="AB73" s="1093"/>
      <c r="AC73" s="1093"/>
      <c r="AD73" s="1093"/>
      <c r="AE73" s="1093"/>
      <c r="AF73" s="1093"/>
      <c r="AG73" s="1093"/>
      <c r="AH73" s="1093"/>
      <c r="AI73" s="1093"/>
      <c r="AJ73" s="1093"/>
      <c r="AK73" s="1093"/>
      <c r="AL73" s="1093"/>
      <c r="AM73" s="1093"/>
      <c r="AN73" s="1093"/>
      <c r="AO73" s="1093"/>
      <c r="AP73" s="1093"/>
      <c r="AQ73" s="1093"/>
      <c r="AR73" s="1093"/>
      <c r="AS73" s="1093"/>
      <c r="AT73" s="1093"/>
      <c r="AU73" s="1093"/>
      <c r="AV73" s="1093"/>
      <c r="AW73" s="1093"/>
      <c r="AX73" s="1093"/>
      <c r="AY73" s="1093"/>
      <c r="AZ73" s="1093"/>
      <c r="BA73" s="1093"/>
      <c r="BB73" s="1093"/>
      <c r="BC73" s="1093"/>
      <c r="BD73" s="1093"/>
      <c r="BE73" s="1093"/>
      <c r="BF73" s="1093"/>
      <c r="BG73" s="1093"/>
      <c r="BH73" s="1093"/>
      <c r="BI73" s="1093"/>
      <c r="BJ73" s="1093"/>
      <c r="BK73" s="1093"/>
      <c r="BL73" s="1093"/>
      <c r="BM73" s="1093"/>
      <c r="BN73" s="1093"/>
      <c r="BO73" s="1093"/>
      <c r="BP73" s="1093"/>
      <c r="BQ73" s="1093"/>
      <c r="BR73" s="1093"/>
      <c r="BS73" s="1093"/>
      <c r="BT73" s="1093"/>
      <c r="BU73" s="1093"/>
    </row>
    <row r="74" spans="1:73" ht="13" x14ac:dyDescent="0.3">
      <c r="A74" s="1093"/>
      <c r="B74" s="1095" t="s">
        <v>1146</v>
      </c>
      <c r="C74" s="1093"/>
      <c r="D74" s="1093"/>
      <c r="E74" s="1093"/>
      <c r="F74" s="1093"/>
      <c r="G74" s="1093"/>
      <c r="H74" s="1093"/>
      <c r="I74" s="1093"/>
      <c r="J74" s="1093"/>
      <c r="K74" s="1093"/>
      <c r="L74" s="1093"/>
      <c r="M74" s="1093"/>
      <c r="N74" s="1093"/>
      <c r="O74" s="1093"/>
      <c r="P74" s="1093"/>
      <c r="Q74" s="1093"/>
      <c r="R74" s="1093"/>
      <c r="S74" s="1093"/>
      <c r="T74" s="1093"/>
      <c r="U74" s="1093"/>
      <c r="V74" s="1093"/>
      <c r="W74" s="1093"/>
      <c r="X74" s="1093"/>
      <c r="Y74" s="1093"/>
      <c r="Z74" s="1093"/>
      <c r="AA74" s="1093"/>
      <c r="AB74" s="1093"/>
      <c r="AC74" s="1093"/>
      <c r="AD74" s="1093"/>
      <c r="AE74" s="1093"/>
      <c r="AF74" s="1093"/>
      <c r="AG74" s="1093"/>
      <c r="AH74" s="1093"/>
      <c r="AI74" s="1093"/>
      <c r="AJ74" s="1093"/>
      <c r="AK74" s="1093"/>
      <c r="AL74" s="1093"/>
      <c r="AM74" s="1093"/>
      <c r="AN74" s="1093"/>
      <c r="AO74" s="1093"/>
      <c r="AP74" s="1093"/>
      <c r="AQ74" s="1093"/>
      <c r="AR74" s="1093"/>
      <c r="AS74" s="1093"/>
      <c r="AT74" s="1093"/>
      <c r="AU74" s="1093"/>
      <c r="AV74" s="1093"/>
      <c r="AW74" s="1093"/>
      <c r="AX74" s="1093"/>
      <c r="AY74" s="1093"/>
      <c r="AZ74" s="1093"/>
      <c r="BA74" s="1093"/>
      <c r="BB74" s="1093"/>
      <c r="BC74" s="1093"/>
      <c r="BD74" s="1093"/>
      <c r="BE74" s="1093"/>
      <c r="BF74" s="1093"/>
      <c r="BG74" s="1093"/>
      <c r="BH74" s="1093"/>
      <c r="BI74" s="1093"/>
      <c r="BJ74" s="1093"/>
      <c r="BK74" s="1093"/>
      <c r="BL74" s="1093"/>
      <c r="BM74" s="1093"/>
      <c r="BN74" s="1093"/>
      <c r="BO74" s="1093"/>
      <c r="BP74" s="1093"/>
      <c r="BQ74" s="1093"/>
      <c r="BR74" s="1093"/>
      <c r="BS74" s="1093"/>
      <c r="BT74" s="1093"/>
      <c r="BU74" s="1093"/>
    </row>
    <row r="75" spans="1:73" x14ac:dyDescent="0.25">
      <c r="A75" s="1093"/>
      <c r="B75" s="1093"/>
      <c r="C75" s="1093"/>
      <c r="D75" s="1093"/>
      <c r="E75" s="1093"/>
      <c r="F75" s="1093"/>
      <c r="G75" s="1093"/>
      <c r="H75" s="1093"/>
      <c r="I75" s="1093"/>
      <c r="J75" s="1093"/>
      <c r="K75" s="1093"/>
      <c r="L75" s="1093"/>
      <c r="M75" s="1093"/>
      <c r="N75" s="1093"/>
      <c r="O75" s="1093"/>
      <c r="P75" s="1093"/>
      <c r="Q75" s="1093"/>
      <c r="R75" s="1093"/>
      <c r="S75" s="1093"/>
      <c r="T75" s="1093"/>
      <c r="U75" s="1093"/>
      <c r="V75" s="1093"/>
      <c r="W75" s="1093"/>
      <c r="X75" s="1093"/>
      <c r="Y75" s="1093"/>
      <c r="Z75" s="1093"/>
      <c r="AA75" s="1093"/>
      <c r="AB75" s="1093"/>
      <c r="AC75" s="1093"/>
      <c r="AD75" s="1093"/>
      <c r="AE75" s="1093"/>
      <c r="AF75" s="1093"/>
      <c r="AG75" s="1093"/>
      <c r="AH75" s="1093"/>
      <c r="AI75" s="1093"/>
      <c r="AJ75" s="1093"/>
      <c r="AK75" s="1093"/>
      <c r="AL75" s="1093"/>
      <c r="AM75" s="1093"/>
      <c r="AN75" s="1093"/>
      <c r="AO75" s="1093"/>
      <c r="AP75" s="1093"/>
      <c r="AQ75" s="1093"/>
      <c r="AR75" s="1093"/>
      <c r="AS75" s="1093"/>
      <c r="AT75" s="1093"/>
      <c r="AU75" s="1093"/>
      <c r="AV75" s="1093"/>
      <c r="AW75" s="1093"/>
      <c r="AX75" s="1093"/>
      <c r="AY75" s="1093"/>
      <c r="AZ75" s="1093"/>
      <c r="BA75" s="1093"/>
      <c r="BB75" s="1093"/>
      <c r="BC75" s="1093"/>
      <c r="BD75" s="1093"/>
      <c r="BE75" s="1093"/>
      <c r="BF75" s="1093"/>
      <c r="BG75" s="1093"/>
      <c r="BH75" s="1093"/>
      <c r="BI75" s="1093"/>
      <c r="BJ75" s="1093"/>
      <c r="BK75" s="1093"/>
      <c r="BL75" s="1093"/>
      <c r="BM75" s="1093"/>
      <c r="BN75" s="1093"/>
      <c r="BO75" s="1093"/>
      <c r="BP75" s="1093"/>
      <c r="BQ75" s="1093"/>
      <c r="BR75" s="1093"/>
      <c r="BS75" s="1093"/>
      <c r="BT75" s="1093"/>
      <c r="BU75" s="1093"/>
    </row>
    <row r="76" spans="1:73" ht="52" x14ac:dyDescent="0.3">
      <c r="A76" s="1093"/>
      <c r="B76" s="1104" t="s">
        <v>1143</v>
      </c>
      <c r="C76" s="1104" t="s">
        <v>1144</v>
      </c>
      <c r="D76" s="1104" t="s">
        <v>1145</v>
      </c>
      <c r="E76" s="1104" t="s">
        <v>1132</v>
      </c>
      <c r="F76" s="1104" t="s">
        <v>1133</v>
      </c>
      <c r="G76" s="1104" t="s">
        <v>992</v>
      </c>
      <c r="H76" s="1104" t="s">
        <v>122</v>
      </c>
      <c r="I76" s="1104" t="s">
        <v>123</v>
      </c>
      <c r="J76" s="1104" t="s">
        <v>1171</v>
      </c>
      <c r="K76" s="1104" t="s">
        <v>135</v>
      </c>
      <c r="L76" s="1104" t="s">
        <v>84</v>
      </c>
      <c r="M76" s="1104" t="s">
        <v>136</v>
      </c>
      <c r="N76" s="1104" t="s">
        <v>1131</v>
      </c>
      <c r="O76" s="1104" t="s">
        <v>137</v>
      </c>
      <c r="P76" s="1104" t="s">
        <v>138</v>
      </c>
      <c r="Q76" s="1104" t="s">
        <v>139</v>
      </c>
      <c r="R76" s="1104" t="s">
        <v>1137</v>
      </c>
      <c r="S76" s="1104" t="s">
        <v>45</v>
      </c>
      <c r="T76" s="1093"/>
      <c r="U76" s="1093"/>
      <c r="V76" s="1093"/>
      <c r="W76" s="1093"/>
      <c r="X76" s="1093"/>
      <c r="Y76" s="1093"/>
      <c r="Z76" s="1093"/>
      <c r="AA76" s="1093"/>
      <c r="AB76" s="1093"/>
      <c r="AC76" s="1093"/>
      <c r="AD76" s="1093"/>
      <c r="AE76" s="1093"/>
      <c r="AF76" s="1093"/>
      <c r="AG76" s="1093"/>
      <c r="AH76" s="1093"/>
      <c r="AI76" s="1093"/>
      <c r="AJ76" s="1093"/>
      <c r="AK76" s="1093"/>
      <c r="AL76" s="1093"/>
      <c r="AM76" s="1093"/>
      <c r="AN76" s="1093"/>
      <c r="AO76" s="1093"/>
      <c r="AP76" s="1093"/>
      <c r="AQ76" s="1093"/>
      <c r="AR76" s="1093"/>
      <c r="AS76" s="1093"/>
      <c r="AT76" s="1093"/>
      <c r="AU76" s="1093"/>
      <c r="AV76" s="1093"/>
      <c r="AW76" s="1093"/>
      <c r="AX76" s="1093"/>
      <c r="AY76" s="1093"/>
      <c r="AZ76" s="1093"/>
      <c r="BA76" s="1093"/>
      <c r="BB76" s="1093"/>
      <c r="BC76" s="1093"/>
      <c r="BD76" s="1093"/>
      <c r="BE76" s="1093"/>
      <c r="BF76" s="1093"/>
      <c r="BG76" s="1093"/>
      <c r="BH76" s="1093"/>
      <c r="BI76" s="1093"/>
      <c r="BJ76" s="1093"/>
      <c r="BK76" s="1093"/>
      <c r="BL76" s="1093"/>
      <c r="BM76" s="1093"/>
      <c r="BN76" s="1093"/>
      <c r="BO76" s="1093"/>
      <c r="BP76" s="1093"/>
      <c r="BQ76" s="1093"/>
      <c r="BR76" s="1093"/>
      <c r="BS76" s="1093"/>
      <c r="BT76" s="1093"/>
      <c r="BU76" s="1093"/>
    </row>
    <row r="77" spans="1:73" x14ac:dyDescent="0.25">
      <c r="A77" s="1093"/>
      <c r="B77" s="1097" t="str">
        <f>+$B$3</f>
        <v>Operating Capacity Factor</v>
      </c>
      <c r="C77" s="1106">
        <f ca="1">+H3</f>
        <v>1.0185</v>
      </c>
      <c r="D77" s="1106" t="str">
        <f ca="1">+B77&amp;" = "&amp;C77*100&amp;"%"</f>
        <v>Operating Capacity Factor = 101.85%</v>
      </c>
      <c r="E77" s="1110">
        <f t="shared" ref="E77:S77" si="7">+K52</f>
        <v>5.1209393959249274</v>
      </c>
      <c r="F77" s="1110">
        <f t="shared" si="7"/>
        <v>0</v>
      </c>
      <c r="G77" s="1110">
        <f t="shared" si="7"/>
        <v>3.4440036694541676E-3</v>
      </c>
      <c r="H77" s="1110">
        <f t="shared" si="7"/>
        <v>0.29878072290728908</v>
      </c>
      <c r="I77" s="1110">
        <f t="shared" si="7"/>
        <v>0.14132476099072222</v>
      </c>
      <c r="J77" s="1110">
        <f t="shared" si="7"/>
        <v>2.0224885964990669E-2</v>
      </c>
      <c r="K77" s="1110">
        <f t="shared" si="7"/>
        <v>1.2415102529228813E-3</v>
      </c>
      <c r="L77" s="1110">
        <f t="shared" si="7"/>
        <v>3.4382888818897746E-3</v>
      </c>
      <c r="M77" s="1110">
        <f t="shared" si="7"/>
        <v>0.44040606337859101</v>
      </c>
      <c r="N77" s="1110">
        <f t="shared" si="7"/>
        <v>3.995330806246626</v>
      </c>
      <c r="O77" s="1110">
        <f t="shared" si="7"/>
        <v>0</v>
      </c>
      <c r="P77" s="1110">
        <f t="shared" si="7"/>
        <v>1.130476720982382E-2</v>
      </c>
      <c r="Q77" s="1110">
        <f t="shared" si="7"/>
        <v>0.17797116862863346</v>
      </c>
      <c r="R77" s="1110">
        <f t="shared" si="7"/>
        <v>2.4643558251731382E-2</v>
      </c>
      <c r="S77" s="1110">
        <f t="shared" si="7"/>
        <v>9.71686688115872E-3</v>
      </c>
      <c r="T77" s="1093"/>
      <c r="U77" s="1093"/>
      <c r="V77" s="1093"/>
      <c r="W77" s="1093"/>
      <c r="X77" s="1093"/>
      <c r="Y77" s="1093"/>
      <c r="Z77" s="1093"/>
      <c r="AA77" s="1093"/>
      <c r="AB77" s="1093"/>
      <c r="AC77" s="1093"/>
      <c r="AD77" s="1093"/>
      <c r="AE77" s="1093"/>
      <c r="AF77" s="1093"/>
      <c r="AG77" s="1093"/>
      <c r="AH77" s="1093"/>
      <c r="AI77" s="1093"/>
      <c r="AJ77" s="1093"/>
      <c r="AK77" s="1093"/>
      <c r="AL77" s="1093"/>
      <c r="AM77" s="1093"/>
      <c r="AN77" s="1093"/>
      <c r="AO77" s="1093"/>
      <c r="AP77" s="1093"/>
      <c r="AQ77" s="1093"/>
      <c r="AR77" s="1093"/>
      <c r="AS77" s="1093"/>
      <c r="AT77" s="1093"/>
      <c r="AU77" s="1093"/>
      <c r="AV77" s="1093"/>
      <c r="AW77" s="1093"/>
      <c r="AX77" s="1093"/>
      <c r="AY77" s="1093"/>
      <c r="AZ77" s="1093"/>
      <c r="BA77" s="1093"/>
      <c r="BB77" s="1093"/>
      <c r="BC77" s="1093"/>
      <c r="BD77" s="1093"/>
      <c r="BE77" s="1093"/>
      <c r="BF77" s="1093"/>
      <c r="BG77" s="1093"/>
      <c r="BH77" s="1093"/>
      <c r="BI77" s="1093"/>
      <c r="BJ77" s="1093"/>
      <c r="BK77" s="1093"/>
      <c r="BL77" s="1093"/>
      <c r="BM77" s="1093"/>
      <c r="BN77" s="1093"/>
      <c r="BO77" s="1093"/>
      <c r="BP77" s="1093"/>
      <c r="BQ77" s="1093"/>
      <c r="BR77" s="1093"/>
      <c r="BS77" s="1093"/>
      <c r="BT77" s="1093"/>
      <c r="BU77" s="1093"/>
    </row>
    <row r="78" spans="1:73" x14ac:dyDescent="0.25">
      <c r="A78" s="1093"/>
      <c r="B78" s="1097" t="str">
        <f t="shared" ref="B78:B79" si="8">+$B$3</f>
        <v>Operating Capacity Factor</v>
      </c>
      <c r="C78" s="1106">
        <f ca="1">+C3</f>
        <v>0.97</v>
      </c>
      <c r="D78" s="1097" t="str">
        <f t="shared" ref="D78:D79" ca="1" si="9">+B78&amp;" = "&amp;C78*100&amp;"%"</f>
        <v>Operating Capacity Factor = 97%</v>
      </c>
      <c r="E78" s="1110">
        <f t="shared" ref="E78:S78" si="10">+K$51</f>
        <v>5.175427725657066</v>
      </c>
      <c r="F78" s="1110">
        <f t="shared" si="10"/>
        <v>0</v>
      </c>
      <c r="G78" s="1110">
        <f t="shared" si="10"/>
        <v>3.6162038529268764E-3</v>
      </c>
      <c r="H78" s="1110">
        <f t="shared" si="10"/>
        <v>0.31371975905265359</v>
      </c>
      <c r="I78" s="1110">
        <f t="shared" si="10"/>
        <v>0.14839099904025835</v>
      </c>
      <c r="J78" s="1110">
        <f t="shared" si="10"/>
        <v>2.0325062994071771E-2</v>
      </c>
      <c r="K78" s="1110">
        <f t="shared" si="10"/>
        <v>1.303585765569026E-3</v>
      </c>
      <c r="L78" s="1110">
        <f t="shared" si="10"/>
        <v>3.6102033259842637E-3</v>
      </c>
      <c r="M78" s="1110">
        <f t="shared" si="10"/>
        <v>0.46242636654752067</v>
      </c>
      <c r="N78" s="1110">
        <f t="shared" si="10"/>
        <v>3.995330806246626</v>
      </c>
      <c r="O78" s="1110">
        <f t="shared" si="10"/>
        <v>0</v>
      </c>
      <c r="P78" s="1110">
        <f t="shared" si="10"/>
        <v>1.1304767209823824E-2</v>
      </c>
      <c r="Q78" s="1110">
        <f t="shared" si="10"/>
        <v>0.18686972706006519</v>
      </c>
      <c r="R78" s="1110">
        <f t="shared" si="10"/>
        <v>2.5559942042201422E-2</v>
      </c>
      <c r="S78" s="1110">
        <f t="shared" si="10"/>
        <v>1.0202710225216656E-2</v>
      </c>
      <c r="T78" s="1093"/>
      <c r="U78" s="1093"/>
      <c r="V78" s="1093"/>
      <c r="W78" s="1093"/>
      <c r="X78" s="1093"/>
      <c r="Y78" s="1093"/>
      <c r="Z78" s="1093"/>
      <c r="AA78" s="1093"/>
      <c r="AB78" s="1093"/>
      <c r="AC78" s="1093"/>
      <c r="AD78" s="1093"/>
      <c r="AE78" s="1093"/>
      <c r="AF78" s="1093"/>
      <c r="AG78" s="1093"/>
      <c r="AH78" s="1093"/>
      <c r="AI78" s="1093"/>
      <c r="AJ78" s="1093"/>
      <c r="AK78" s="1093"/>
      <c r="AL78" s="1093"/>
      <c r="AM78" s="1093"/>
      <c r="AN78" s="1093"/>
      <c r="AO78" s="1093"/>
      <c r="AP78" s="1093"/>
      <c r="AQ78" s="1093"/>
      <c r="AR78" s="1093"/>
      <c r="AS78" s="1093"/>
      <c r="AT78" s="1093"/>
      <c r="AU78" s="1093"/>
      <c r="AV78" s="1093"/>
      <c r="AW78" s="1093"/>
      <c r="AX78" s="1093"/>
      <c r="AY78" s="1093"/>
      <c r="AZ78" s="1093"/>
      <c r="BA78" s="1093"/>
      <c r="BB78" s="1093"/>
      <c r="BC78" s="1093"/>
      <c r="BD78" s="1093"/>
      <c r="BE78" s="1093"/>
      <c r="BF78" s="1093"/>
      <c r="BG78" s="1093"/>
      <c r="BH78" s="1093"/>
      <c r="BI78" s="1093"/>
      <c r="BJ78" s="1093"/>
      <c r="BK78" s="1093"/>
      <c r="BL78" s="1093"/>
      <c r="BM78" s="1093"/>
      <c r="BN78" s="1093"/>
      <c r="BO78" s="1093"/>
      <c r="BP78" s="1093"/>
      <c r="BQ78" s="1093"/>
      <c r="BR78" s="1093"/>
      <c r="BS78" s="1093"/>
      <c r="BT78" s="1093"/>
      <c r="BU78" s="1093"/>
    </row>
    <row r="79" spans="1:73" x14ac:dyDescent="0.25">
      <c r="A79" s="1093"/>
      <c r="B79" s="1097" t="str">
        <f t="shared" si="8"/>
        <v>Operating Capacity Factor</v>
      </c>
      <c r="C79" s="1106">
        <f ca="1">+I3</f>
        <v>0.92149999999999999</v>
      </c>
      <c r="D79" s="1097" t="str">
        <f t="shared" ca="1" si="9"/>
        <v>Operating Capacity Factor = 92.15%</v>
      </c>
      <c r="E79" s="1110">
        <f t="shared" ref="E79:S80" si="11">+K53</f>
        <v>5.2356516690452217</v>
      </c>
      <c r="F79" s="1110">
        <f t="shared" si="11"/>
        <v>0</v>
      </c>
      <c r="G79" s="1110">
        <f t="shared" si="11"/>
        <v>3.8065303715019748E-3</v>
      </c>
      <c r="H79" s="1110">
        <f t="shared" si="11"/>
        <v>0.33023132531858274</v>
      </c>
      <c r="I79" s="1110">
        <f t="shared" si="11"/>
        <v>0.15620105162132455</v>
      </c>
      <c r="J79" s="1110">
        <f t="shared" si="11"/>
        <v>2.0435784973582456E-2</v>
      </c>
      <c r="K79" s="1110">
        <f t="shared" si="11"/>
        <v>1.3721955427042376E-3</v>
      </c>
      <c r="L79" s="1110">
        <f t="shared" si="11"/>
        <v>3.8002140273518566E-3</v>
      </c>
      <c r="M79" s="1110">
        <f t="shared" si="11"/>
        <v>0.48676459636581115</v>
      </c>
      <c r="N79" s="1110">
        <f t="shared" si="11"/>
        <v>3.9953308062466251</v>
      </c>
      <c r="O79" s="1110">
        <f t="shared" si="11"/>
        <v>0</v>
      </c>
      <c r="P79" s="1110">
        <f t="shared" si="11"/>
        <v>1.1304767209823818E-2</v>
      </c>
      <c r="Q79" s="1110">
        <f t="shared" si="11"/>
        <v>0.19670497585270019</v>
      </c>
      <c r="R79" s="1110">
        <f t="shared" si="11"/>
        <v>2.6572787284299362E-2</v>
      </c>
      <c r="S79" s="1110">
        <f t="shared" si="11"/>
        <v>1.073969497391227E-2</v>
      </c>
      <c r="T79" s="1093"/>
      <c r="U79" s="1093"/>
      <c r="V79" s="1093"/>
      <c r="W79" s="1093"/>
      <c r="X79" s="1093"/>
      <c r="Y79" s="1093"/>
      <c r="Z79" s="1093"/>
      <c r="AA79" s="1093"/>
      <c r="AB79" s="1093"/>
      <c r="AC79" s="1093"/>
      <c r="AD79" s="1093"/>
      <c r="AE79" s="1093"/>
      <c r="AF79" s="1093"/>
      <c r="AG79" s="1093"/>
      <c r="AH79" s="1093"/>
      <c r="AI79" s="1093"/>
      <c r="AJ79" s="1093"/>
      <c r="AK79" s="1093"/>
      <c r="AL79" s="1093"/>
      <c r="AM79" s="1093"/>
      <c r="AN79" s="1093"/>
      <c r="AO79" s="1093"/>
      <c r="AP79" s="1093"/>
      <c r="AQ79" s="1093"/>
      <c r="AR79" s="1093"/>
      <c r="AS79" s="1093"/>
      <c r="AT79" s="1093"/>
      <c r="AU79" s="1093"/>
      <c r="AV79" s="1093"/>
      <c r="AW79" s="1093"/>
      <c r="AX79" s="1093"/>
      <c r="AY79" s="1093"/>
      <c r="AZ79" s="1093"/>
      <c r="BA79" s="1093"/>
      <c r="BB79" s="1093"/>
      <c r="BC79" s="1093"/>
      <c r="BD79" s="1093"/>
      <c r="BE79" s="1093"/>
      <c r="BF79" s="1093"/>
      <c r="BG79" s="1093"/>
      <c r="BH79" s="1093"/>
      <c r="BI79" s="1093"/>
      <c r="BJ79" s="1093"/>
      <c r="BK79" s="1093"/>
      <c r="BL79" s="1093"/>
      <c r="BM79" s="1093"/>
      <c r="BN79" s="1093"/>
      <c r="BO79" s="1093"/>
      <c r="BP79" s="1093"/>
      <c r="BQ79" s="1093"/>
      <c r="BR79" s="1093"/>
      <c r="BS79" s="1093"/>
      <c r="BT79" s="1093"/>
      <c r="BU79" s="1093"/>
    </row>
    <row r="80" spans="1:73" x14ac:dyDescent="0.25">
      <c r="A80" s="1093"/>
      <c r="B80" s="1097" t="str">
        <f>+$B$4</f>
        <v>Plant Design Capacity (kg of H2/day)</v>
      </c>
      <c r="C80" s="1115">
        <f ca="1">ROUND(H4,0)</f>
        <v>52500</v>
      </c>
      <c r="D80" s="1097" t="str">
        <f ca="1">+B80&amp;" = "&amp;TEXT(C80,"0,000")</f>
        <v>Plant Design Capacity (kg of H2/day) = 52,500</v>
      </c>
      <c r="E80" s="1110">
        <f t="shared" si="11"/>
        <v>5.157939904429262</v>
      </c>
      <c r="F80" s="1110">
        <f t="shared" si="11"/>
        <v>0</v>
      </c>
      <c r="G80" s="1110">
        <f t="shared" si="11"/>
        <v>3.5463139869438601E-3</v>
      </c>
      <c r="H80" s="1110">
        <f t="shared" si="11"/>
        <v>0.30765654115671892</v>
      </c>
      <c r="I80" s="1110">
        <f t="shared" si="11"/>
        <v>0.14552306696070605</v>
      </c>
      <c r="J80" s="1110">
        <f t="shared" si="11"/>
        <v>2.030532634600225E-2</v>
      </c>
      <c r="K80" s="1110">
        <f t="shared" si="11"/>
        <v>1.2783915458407201E-3</v>
      </c>
      <c r="L80" s="1110">
        <f t="shared" si="11"/>
        <v>3.5404294313460343E-3</v>
      </c>
      <c r="M80" s="1110">
        <f t="shared" si="11"/>
        <v>0.45808797701834775</v>
      </c>
      <c r="N80" s="1110">
        <f t="shared" si="11"/>
        <v>3.995330806246626</v>
      </c>
      <c r="O80" s="1110">
        <f t="shared" si="11"/>
        <v>0</v>
      </c>
      <c r="P80" s="1110">
        <f t="shared" si="11"/>
        <v>1.130476720982382E-2</v>
      </c>
      <c r="Q80" s="1110">
        <f t="shared" si="11"/>
        <v>0.18325812198698832</v>
      </c>
      <c r="R80" s="1110">
        <f t="shared" si="11"/>
        <v>2.5195266641819598E-2</v>
      </c>
      <c r="S80" s="1110">
        <f t="shared" si="11"/>
        <v>1.0005523871984163E-2</v>
      </c>
      <c r="T80" s="1093"/>
      <c r="U80" s="1093"/>
      <c r="V80" s="1093"/>
      <c r="W80" s="1093"/>
      <c r="X80" s="1093"/>
      <c r="Y80" s="1093"/>
      <c r="Z80" s="1093"/>
      <c r="AA80" s="1093"/>
      <c r="AB80" s="1093"/>
      <c r="AC80" s="1093"/>
      <c r="AD80" s="1093"/>
      <c r="AE80" s="1093"/>
      <c r="AF80" s="1093"/>
      <c r="AG80" s="1093"/>
      <c r="AH80" s="1093"/>
      <c r="AI80" s="1093"/>
      <c r="AJ80" s="1093"/>
      <c r="AK80" s="1093"/>
      <c r="AL80" s="1093"/>
      <c r="AM80" s="1093"/>
      <c r="AN80" s="1093"/>
      <c r="AO80" s="1093"/>
      <c r="AP80" s="1093"/>
      <c r="AQ80" s="1093"/>
      <c r="AR80" s="1093"/>
      <c r="AS80" s="1093"/>
      <c r="AT80" s="1093"/>
      <c r="AU80" s="1093"/>
      <c r="AV80" s="1093"/>
      <c r="AW80" s="1093"/>
      <c r="AX80" s="1093"/>
      <c r="AY80" s="1093"/>
      <c r="AZ80" s="1093"/>
      <c r="BA80" s="1093"/>
      <c r="BB80" s="1093"/>
      <c r="BC80" s="1093"/>
      <c r="BD80" s="1093"/>
      <c r="BE80" s="1093"/>
      <c r="BF80" s="1093"/>
      <c r="BG80" s="1093"/>
      <c r="BH80" s="1093"/>
      <c r="BI80" s="1093"/>
      <c r="BJ80" s="1093"/>
      <c r="BK80" s="1093"/>
      <c r="BL80" s="1093"/>
      <c r="BM80" s="1093"/>
      <c r="BN80" s="1093"/>
      <c r="BO80" s="1093"/>
      <c r="BP80" s="1093"/>
      <c r="BQ80" s="1093"/>
      <c r="BR80" s="1093"/>
      <c r="BS80" s="1093"/>
      <c r="BT80" s="1093"/>
      <c r="BU80" s="1093"/>
    </row>
    <row r="81" spans="1:73" x14ac:dyDescent="0.25">
      <c r="A81" s="1093"/>
      <c r="B81" s="1097" t="str">
        <f t="shared" ref="B81:B82" si="12">+$B$4</f>
        <v>Plant Design Capacity (kg of H2/day)</v>
      </c>
      <c r="C81" s="1115">
        <f ca="1">+ROUND(C4,0)</f>
        <v>50000</v>
      </c>
      <c r="D81" s="1097" t="str">
        <f t="shared" ref="D81:D82" ca="1" si="13">+B81&amp;" = "&amp;TEXT(C81,"0,000")</f>
        <v>Plant Design Capacity (kg of H2/day) = 50,000</v>
      </c>
      <c r="E81" s="1110">
        <f t="shared" ref="E81:S81" si="14">+K$51</f>
        <v>5.175427725657066</v>
      </c>
      <c r="F81" s="1110">
        <f t="shared" si="14"/>
        <v>0</v>
      </c>
      <c r="G81" s="1110">
        <f t="shared" si="14"/>
        <v>3.6162038529268764E-3</v>
      </c>
      <c r="H81" s="1110">
        <f t="shared" si="14"/>
        <v>0.31371975905265359</v>
      </c>
      <c r="I81" s="1110">
        <f t="shared" si="14"/>
        <v>0.14839099904025835</v>
      </c>
      <c r="J81" s="1110">
        <f t="shared" si="14"/>
        <v>2.0325062994071771E-2</v>
      </c>
      <c r="K81" s="1110">
        <f t="shared" si="14"/>
        <v>1.303585765569026E-3</v>
      </c>
      <c r="L81" s="1110">
        <f t="shared" si="14"/>
        <v>3.6102033259842637E-3</v>
      </c>
      <c r="M81" s="1110">
        <f t="shared" si="14"/>
        <v>0.46242636654752067</v>
      </c>
      <c r="N81" s="1110">
        <f t="shared" si="14"/>
        <v>3.995330806246626</v>
      </c>
      <c r="O81" s="1110">
        <f t="shared" si="14"/>
        <v>0</v>
      </c>
      <c r="P81" s="1110">
        <f t="shared" si="14"/>
        <v>1.1304767209823824E-2</v>
      </c>
      <c r="Q81" s="1110">
        <f t="shared" si="14"/>
        <v>0.18686972706006519</v>
      </c>
      <c r="R81" s="1110">
        <f t="shared" si="14"/>
        <v>2.5559942042201422E-2</v>
      </c>
      <c r="S81" s="1110">
        <f t="shared" si="14"/>
        <v>1.0202710225216656E-2</v>
      </c>
      <c r="T81" s="1093"/>
      <c r="U81" s="1093"/>
      <c r="V81" s="1093"/>
      <c r="W81" s="1093"/>
      <c r="X81" s="1093"/>
      <c r="Y81" s="1093"/>
      <c r="Z81" s="1093"/>
      <c r="AA81" s="1093"/>
      <c r="AB81" s="1093"/>
      <c r="AC81" s="1093"/>
      <c r="AD81" s="1093"/>
      <c r="AE81" s="1093"/>
      <c r="AF81" s="1093"/>
      <c r="AG81" s="1093"/>
      <c r="AH81" s="1093"/>
      <c r="AI81" s="1093"/>
      <c r="AJ81" s="1093"/>
      <c r="AK81" s="1093"/>
      <c r="AL81" s="1093"/>
      <c r="AM81" s="1093"/>
      <c r="AN81" s="1093"/>
      <c r="AO81" s="1093"/>
      <c r="AP81" s="1093"/>
      <c r="AQ81" s="1093"/>
      <c r="AR81" s="1093"/>
      <c r="AS81" s="1093"/>
      <c r="AT81" s="1093"/>
      <c r="AU81" s="1093"/>
      <c r="AV81" s="1093"/>
      <c r="AW81" s="1093"/>
      <c r="AX81" s="1093"/>
      <c r="AY81" s="1093"/>
      <c r="AZ81" s="1093"/>
      <c r="BA81" s="1093"/>
      <c r="BB81" s="1093"/>
      <c r="BC81" s="1093"/>
      <c r="BD81" s="1093"/>
      <c r="BE81" s="1093"/>
      <c r="BF81" s="1093"/>
      <c r="BG81" s="1093"/>
      <c r="BH81" s="1093"/>
      <c r="BI81" s="1093"/>
      <c r="BJ81" s="1093"/>
      <c r="BK81" s="1093"/>
      <c r="BL81" s="1093"/>
      <c r="BM81" s="1093"/>
      <c r="BN81" s="1093"/>
      <c r="BO81" s="1093"/>
      <c r="BP81" s="1093"/>
      <c r="BQ81" s="1093"/>
      <c r="BR81" s="1093"/>
      <c r="BS81" s="1093"/>
      <c r="BT81" s="1093"/>
      <c r="BU81" s="1093"/>
    </row>
    <row r="82" spans="1:73" x14ac:dyDescent="0.25">
      <c r="A82" s="1093"/>
      <c r="B82" s="1097" t="str">
        <f t="shared" si="12"/>
        <v>Plant Design Capacity (kg of H2/day)</v>
      </c>
      <c r="C82" s="1115">
        <f ca="1">ROUND(I4,0)</f>
        <v>47500</v>
      </c>
      <c r="D82" s="1097" t="str">
        <f t="shared" ca="1" si="13"/>
        <v>Plant Design Capacity (kg of H2/day) = 47,500</v>
      </c>
      <c r="E82" s="1110">
        <f t="shared" ref="E82:S83" si="15">+K55</f>
        <v>5.1942983777133342</v>
      </c>
      <c r="F82" s="1110">
        <f t="shared" si="15"/>
        <v>0</v>
      </c>
      <c r="G82" s="1110">
        <f t="shared" si="15"/>
        <v>3.6911650279462683E-3</v>
      </c>
      <c r="H82" s="1110">
        <f t="shared" si="15"/>
        <v>0.32022293274579416</v>
      </c>
      <c r="I82" s="1110">
        <f t="shared" si="15"/>
        <v>0.15146703238980419</v>
      </c>
      <c r="J82" s="1110">
        <f t="shared" si="15"/>
        <v>2.0346746724325626E-2</v>
      </c>
      <c r="K82" s="1110">
        <f t="shared" si="15"/>
        <v>1.3306081140592853E-3</v>
      </c>
      <c r="L82" s="1110">
        <f t="shared" si="15"/>
        <v>3.6850401146115591E-3</v>
      </c>
      <c r="M82" s="1110">
        <f t="shared" si="15"/>
        <v>0.46719275179973807</v>
      </c>
      <c r="N82" s="1110">
        <f t="shared" si="15"/>
        <v>3.9953308062466251</v>
      </c>
      <c r="O82" s="1110">
        <f t="shared" si="15"/>
        <v>0</v>
      </c>
      <c r="P82" s="1110">
        <f t="shared" si="15"/>
        <v>1.1304767209823818E-2</v>
      </c>
      <c r="Q82" s="1110">
        <f t="shared" si="15"/>
        <v>0.19074339538344745</v>
      </c>
      <c r="R82" s="1110">
        <f t="shared" si="15"/>
        <v>2.5951257309650373E-2</v>
      </c>
      <c r="S82" s="1110">
        <f t="shared" si="15"/>
        <v>1.0414204703395921E-2</v>
      </c>
      <c r="T82" s="1093"/>
      <c r="U82" s="1093"/>
      <c r="V82" s="1093"/>
      <c r="W82" s="1093"/>
      <c r="X82" s="1093"/>
      <c r="Y82" s="1093"/>
      <c r="Z82" s="1093"/>
      <c r="AA82" s="1093"/>
      <c r="AB82" s="1093"/>
      <c r="AC82" s="1093"/>
      <c r="AD82" s="1093"/>
      <c r="AE82" s="1093"/>
      <c r="AF82" s="1093"/>
      <c r="AG82" s="1093"/>
      <c r="AH82" s="1093"/>
      <c r="AI82" s="1093"/>
      <c r="AJ82" s="1093"/>
      <c r="AK82" s="1093"/>
      <c r="AL82" s="1093"/>
      <c r="AM82" s="1093"/>
      <c r="AN82" s="1093"/>
      <c r="AO82" s="1093"/>
      <c r="AP82" s="1093"/>
      <c r="AQ82" s="1093"/>
      <c r="AR82" s="1093"/>
      <c r="AS82" s="1093"/>
      <c r="AT82" s="1093"/>
      <c r="AU82" s="1093"/>
      <c r="AV82" s="1093"/>
      <c r="AW82" s="1093"/>
      <c r="AX82" s="1093"/>
      <c r="AY82" s="1093"/>
      <c r="AZ82" s="1093"/>
      <c r="BA82" s="1093"/>
      <c r="BB82" s="1093"/>
      <c r="BC82" s="1093"/>
      <c r="BD82" s="1093"/>
      <c r="BE82" s="1093"/>
      <c r="BF82" s="1093"/>
      <c r="BG82" s="1093"/>
      <c r="BH82" s="1093"/>
      <c r="BI82" s="1093"/>
      <c r="BJ82" s="1093"/>
      <c r="BK82" s="1093"/>
      <c r="BL82" s="1093"/>
      <c r="BM82" s="1093"/>
      <c r="BN82" s="1093"/>
      <c r="BO82" s="1093"/>
      <c r="BP82" s="1093"/>
      <c r="BQ82" s="1093"/>
      <c r="BR82" s="1093"/>
      <c r="BS82" s="1093"/>
      <c r="BT82" s="1093"/>
      <c r="BU82" s="1093"/>
    </row>
    <row r="83" spans="1:73" x14ac:dyDescent="0.25">
      <c r="A83" s="1093"/>
      <c r="B83" s="1097" t="str">
        <f>+$B$5</f>
        <v>After-tax Real IRR</v>
      </c>
      <c r="C83" s="1106">
        <f ca="1">+ROUND(H5,2)</f>
        <v>0.08</v>
      </c>
      <c r="D83" s="1097" t="str">
        <f t="shared" ref="D83:D85" ca="1" si="16">+B83&amp;" = "&amp;C83*100&amp;"%"</f>
        <v>After-tax Real IRR = 8%</v>
      </c>
      <c r="E83" s="1110">
        <f t="shared" si="15"/>
        <v>5.1655554183140211</v>
      </c>
      <c r="F83" s="1110">
        <f t="shared" si="15"/>
        <v>0</v>
      </c>
      <c r="G83" s="1110">
        <f t="shared" si="15"/>
        <v>4.0160753935213275E-3</v>
      </c>
      <c r="H83" s="1110">
        <f t="shared" si="15"/>
        <v>0.30035264382948562</v>
      </c>
      <c r="I83" s="1110">
        <f t="shared" si="15"/>
        <v>0.14978170002783023</v>
      </c>
      <c r="J83" s="1110">
        <f t="shared" si="15"/>
        <v>1.9592290884360063E-2</v>
      </c>
      <c r="K83" s="1110">
        <f t="shared" si="15"/>
        <v>1.2480419860370576E-3</v>
      </c>
      <c r="L83" s="1110">
        <f t="shared" si="15"/>
        <v>4.0094113420511973E-3</v>
      </c>
      <c r="M83" s="1110">
        <f t="shared" si="15"/>
        <v>0.46242636654752051</v>
      </c>
      <c r="N83" s="1110">
        <f t="shared" si="15"/>
        <v>4.001681848859171</v>
      </c>
      <c r="O83" s="1110">
        <f t="shared" si="15"/>
        <v>0</v>
      </c>
      <c r="P83" s="1110">
        <f t="shared" si="15"/>
        <v>1.1304767209823817E-2</v>
      </c>
      <c r="Q83" s="1110">
        <f t="shared" si="15"/>
        <v>0.18516453604279012</v>
      </c>
      <c r="R83" s="1110">
        <f t="shared" si="15"/>
        <v>2.267898442175624E-2</v>
      </c>
      <c r="S83" s="1110">
        <f t="shared" si="15"/>
        <v>1.1330902556712034E-2</v>
      </c>
      <c r="T83" s="1093"/>
      <c r="U83" s="1093"/>
      <c r="V83" s="1093"/>
      <c r="W83" s="1093"/>
      <c r="X83" s="1093"/>
      <c r="Y83" s="1093"/>
      <c r="Z83" s="1093"/>
      <c r="AA83" s="1093"/>
      <c r="AB83" s="1093"/>
      <c r="AC83" s="1093"/>
      <c r="AD83" s="1093"/>
      <c r="AE83" s="1093"/>
      <c r="AF83" s="1093"/>
      <c r="AG83" s="1093"/>
      <c r="AH83" s="1093"/>
      <c r="AI83" s="1093"/>
      <c r="AJ83" s="1093"/>
      <c r="AK83" s="1093"/>
      <c r="AL83" s="1093"/>
      <c r="AM83" s="1093"/>
      <c r="AN83" s="1093"/>
      <c r="AO83" s="1093"/>
      <c r="AP83" s="1093"/>
      <c r="AQ83" s="1093"/>
      <c r="AR83" s="1093"/>
      <c r="AS83" s="1093"/>
      <c r="AT83" s="1093"/>
      <c r="AU83" s="1093"/>
      <c r="AV83" s="1093"/>
      <c r="AW83" s="1093"/>
      <c r="AX83" s="1093"/>
      <c r="AY83" s="1093"/>
      <c r="AZ83" s="1093"/>
      <c r="BA83" s="1093"/>
      <c r="BB83" s="1093"/>
      <c r="BC83" s="1093"/>
      <c r="BD83" s="1093"/>
      <c r="BE83" s="1093"/>
      <c r="BF83" s="1093"/>
      <c r="BG83" s="1093"/>
      <c r="BH83" s="1093"/>
      <c r="BI83" s="1093"/>
      <c r="BJ83" s="1093"/>
      <c r="BK83" s="1093"/>
      <c r="BL83" s="1093"/>
      <c r="BM83" s="1093"/>
      <c r="BN83" s="1093"/>
      <c r="BO83" s="1093"/>
      <c r="BP83" s="1093"/>
      <c r="BQ83" s="1093"/>
      <c r="BR83" s="1093"/>
      <c r="BS83" s="1093"/>
      <c r="BT83" s="1093"/>
      <c r="BU83" s="1093"/>
    </row>
    <row r="84" spans="1:73" x14ac:dyDescent="0.25">
      <c r="A84" s="1093"/>
      <c r="B84" s="1097" t="str">
        <f t="shared" ref="B84:B85" si="17">+$B$5</f>
        <v>After-tax Real IRR</v>
      </c>
      <c r="C84" s="1106">
        <f ca="1">ROUND(C5,2)</f>
        <v>0.08</v>
      </c>
      <c r="D84" s="1097" t="str">
        <f t="shared" ca="1" si="16"/>
        <v>After-tax Real IRR = 8%</v>
      </c>
      <c r="E84" s="1110">
        <f t="shared" ref="E84:S84" si="18">+K$51</f>
        <v>5.175427725657066</v>
      </c>
      <c r="F84" s="1110">
        <f t="shared" si="18"/>
        <v>0</v>
      </c>
      <c r="G84" s="1110">
        <f t="shared" si="18"/>
        <v>3.6162038529268764E-3</v>
      </c>
      <c r="H84" s="1110">
        <f t="shared" si="18"/>
        <v>0.31371975905265359</v>
      </c>
      <c r="I84" s="1110">
        <f t="shared" si="18"/>
        <v>0.14839099904025835</v>
      </c>
      <c r="J84" s="1110">
        <f t="shared" si="18"/>
        <v>2.0325062994071771E-2</v>
      </c>
      <c r="K84" s="1110">
        <f t="shared" si="18"/>
        <v>1.303585765569026E-3</v>
      </c>
      <c r="L84" s="1110">
        <f t="shared" si="18"/>
        <v>3.6102033259842637E-3</v>
      </c>
      <c r="M84" s="1110">
        <f t="shared" si="18"/>
        <v>0.46242636654752067</v>
      </c>
      <c r="N84" s="1110">
        <f t="shared" si="18"/>
        <v>3.995330806246626</v>
      </c>
      <c r="O84" s="1110">
        <f t="shared" si="18"/>
        <v>0</v>
      </c>
      <c r="P84" s="1110">
        <f t="shared" si="18"/>
        <v>1.1304767209823824E-2</v>
      </c>
      <c r="Q84" s="1110">
        <f t="shared" si="18"/>
        <v>0.18686972706006519</v>
      </c>
      <c r="R84" s="1110">
        <f t="shared" si="18"/>
        <v>2.5559942042201422E-2</v>
      </c>
      <c r="S84" s="1110">
        <f t="shared" si="18"/>
        <v>1.0202710225216656E-2</v>
      </c>
      <c r="T84" s="1093"/>
      <c r="U84" s="1093"/>
      <c r="V84" s="1093"/>
      <c r="W84" s="1093"/>
      <c r="X84" s="1093"/>
      <c r="Y84" s="1093"/>
      <c r="Z84" s="1093"/>
      <c r="AA84" s="1093"/>
      <c r="AB84" s="1093"/>
      <c r="AC84" s="1093"/>
      <c r="AD84" s="1093"/>
      <c r="AE84" s="1093"/>
      <c r="AF84" s="1093"/>
      <c r="AG84" s="1093"/>
      <c r="AH84" s="1093"/>
      <c r="AI84" s="1093"/>
      <c r="AJ84" s="1093"/>
      <c r="AK84" s="1093"/>
      <c r="AL84" s="1093"/>
      <c r="AM84" s="1093"/>
      <c r="AN84" s="1093"/>
      <c r="AO84" s="1093"/>
      <c r="AP84" s="1093"/>
      <c r="AQ84" s="1093"/>
      <c r="AR84" s="1093"/>
      <c r="AS84" s="1093"/>
      <c r="AT84" s="1093"/>
      <c r="AU84" s="1093"/>
      <c r="AV84" s="1093"/>
      <c r="AW84" s="1093"/>
      <c r="AX84" s="1093"/>
      <c r="AY84" s="1093"/>
      <c r="AZ84" s="1093"/>
      <c r="BA84" s="1093"/>
      <c r="BB84" s="1093"/>
      <c r="BC84" s="1093"/>
      <c r="BD84" s="1093"/>
      <c r="BE84" s="1093"/>
      <c r="BF84" s="1093"/>
      <c r="BG84" s="1093"/>
      <c r="BH84" s="1093"/>
      <c r="BI84" s="1093"/>
      <c r="BJ84" s="1093"/>
      <c r="BK84" s="1093"/>
      <c r="BL84" s="1093"/>
      <c r="BM84" s="1093"/>
      <c r="BN84" s="1093"/>
      <c r="BO84" s="1093"/>
      <c r="BP84" s="1093"/>
      <c r="BQ84" s="1093"/>
      <c r="BR84" s="1093"/>
      <c r="BS84" s="1093"/>
      <c r="BT84" s="1093"/>
      <c r="BU84" s="1093"/>
    </row>
    <row r="85" spans="1:73" x14ac:dyDescent="0.25">
      <c r="A85" s="1093"/>
      <c r="B85" s="1097" t="str">
        <f t="shared" si="17"/>
        <v>After-tax Real IRR</v>
      </c>
      <c r="C85" s="1106">
        <f ca="1">ROUND(I5,2)</f>
        <v>0.08</v>
      </c>
      <c r="D85" s="1097" t="str">
        <f t="shared" ca="1" si="16"/>
        <v>After-tax Real IRR = 8%</v>
      </c>
      <c r="E85" s="1110">
        <f t="shared" ref="E85:S86" si="19">+K57</f>
        <v>5.1857887796189761</v>
      </c>
      <c r="F85" s="1110">
        <f t="shared" si="19"/>
        <v>0</v>
      </c>
      <c r="G85" s="1110">
        <f t="shared" si="19"/>
        <v>3.2534945099734463E-3</v>
      </c>
      <c r="H85" s="1110">
        <f t="shared" si="19"/>
        <v>0.32723527640687522</v>
      </c>
      <c r="I85" s="1110">
        <f t="shared" si="19"/>
        <v>0.1469989549371872</v>
      </c>
      <c r="J85" s="1110">
        <f t="shared" si="19"/>
        <v>2.1050636514600336E-2</v>
      </c>
      <c r="K85" s="1110">
        <f t="shared" si="19"/>
        <v>1.3597461938776147E-3</v>
      </c>
      <c r="L85" s="1110">
        <f t="shared" si="19"/>
        <v>3.2480958426806894E-3</v>
      </c>
      <c r="M85" s="1110">
        <f t="shared" si="19"/>
        <v>0.46242636654752117</v>
      </c>
      <c r="N85" s="1110">
        <f t="shared" si="19"/>
        <v>3.9891273460206316</v>
      </c>
      <c r="O85" s="1110">
        <f t="shared" si="19"/>
        <v>0</v>
      </c>
      <c r="P85" s="1110">
        <f t="shared" si="19"/>
        <v>1.130476720982383E-2</v>
      </c>
      <c r="Q85" s="1110">
        <f t="shared" si="19"/>
        <v>0.18854973012063916</v>
      </c>
      <c r="R85" s="1110">
        <f t="shared" si="19"/>
        <v>2.8561987503302202E-2</v>
      </c>
      <c r="S85" s="1110">
        <f t="shared" si="19"/>
        <v>9.1793668318022117E-3</v>
      </c>
      <c r="T85" s="1093"/>
      <c r="U85" s="1093"/>
      <c r="V85" s="1093"/>
      <c r="W85" s="1093"/>
      <c r="X85" s="1093"/>
      <c r="Y85" s="1093"/>
      <c r="Z85" s="1093"/>
      <c r="AA85" s="1093"/>
      <c r="AB85" s="1093"/>
      <c r="AC85" s="1093"/>
      <c r="AD85" s="1093"/>
      <c r="AE85" s="1093"/>
      <c r="AF85" s="1093"/>
      <c r="AG85" s="1093"/>
      <c r="AH85" s="1093"/>
      <c r="AI85" s="1093"/>
      <c r="AJ85" s="1093"/>
      <c r="AK85" s="1093"/>
      <c r="AL85" s="1093"/>
      <c r="AM85" s="1093"/>
      <c r="AN85" s="1093"/>
      <c r="AO85" s="1093"/>
      <c r="AP85" s="1093"/>
      <c r="AQ85" s="1093"/>
      <c r="AR85" s="1093"/>
      <c r="AS85" s="1093"/>
      <c r="AT85" s="1093"/>
      <c r="AU85" s="1093"/>
      <c r="AV85" s="1093"/>
      <c r="AW85" s="1093"/>
      <c r="AX85" s="1093"/>
      <c r="AY85" s="1093"/>
      <c r="AZ85" s="1093"/>
      <c r="BA85" s="1093"/>
      <c r="BB85" s="1093"/>
      <c r="BC85" s="1093"/>
      <c r="BD85" s="1093"/>
      <c r="BE85" s="1093"/>
      <c r="BF85" s="1093"/>
      <c r="BG85" s="1093"/>
      <c r="BH85" s="1093"/>
      <c r="BI85" s="1093"/>
      <c r="BJ85" s="1093"/>
      <c r="BK85" s="1093"/>
      <c r="BL85" s="1093"/>
      <c r="BM85" s="1093"/>
      <c r="BN85" s="1093"/>
      <c r="BO85" s="1093"/>
      <c r="BP85" s="1093"/>
      <c r="BQ85" s="1093"/>
      <c r="BR85" s="1093"/>
      <c r="BS85" s="1093"/>
      <c r="BT85" s="1093"/>
      <c r="BU85" s="1093"/>
    </row>
    <row r="86" spans="1:73" x14ac:dyDescent="0.25">
      <c r="A86" s="1093"/>
      <c r="B86" s="1097" t="str">
        <f>+$B$6</f>
        <v>Feedstock Consumption (% of baseline)</v>
      </c>
      <c r="C86" s="1097">
        <f>+ROUND(H6,3)</f>
        <v>0.95</v>
      </c>
      <c r="D86" s="1096" t="str">
        <f>+B86&amp;" = "&amp;C86*100&amp;"%"</f>
        <v>Feedstock Consumption (% of baseline) = 95%</v>
      </c>
      <c r="E86" s="1118">
        <f t="shared" si="19"/>
        <v>4.9210838261309968</v>
      </c>
      <c r="F86" s="1110">
        <f t="shared" si="19"/>
        <v>0</v>
      </c>
      <c r="G86" s="1110">
        <f t="shared" si="19"/>
        <v>3.4356936866276632E-3</v>
      </c>
      <c r="H86" s="1110">
        <f t="shared" si="19"/>
        <v>0.29803377110002083</v>
      </c>
      <c r="I86" s="1110">
        <f t="shared" si="19"/>
        <v>0.14097144908824535</v>
      </c>
      <c r="J86" s="1110">
        <f t="shared" si="19"/>
        <v>1.932843366830797E-2</v>
      </c>
      <c r="K86" s="1110">
        <f t="shared" si="19"/>
        <v>1.303585765569026E-3</v>
      </c>
      <c r="L86" s="1110">
        <f t="shared" si="19"/>
        <v>3.4296931596850505E-3</v>
      </c>
      <c r="M86" s="1110">
        <f t="shared" si="19"/>
        <v>0.44305339907717955</v>
      </c>
      <c r="N86" s="1110">
        <f t="shared" si="19"/>
        <v>3.7955642659342947</v>
      </c>
      <c r="O86" s="1110">
        <f t="shared" si="19"/>
        <v>0</v>
      </c>
      <c r="P86" s="1110">
        <f t="shared" si="19"/>
        <v>1.1304767209823824E-2</v>
      </c>
      <c r="Q86" s="1110">
        <f t="shared" si="19"/>
        <v>0.17752624070706202</v>
      </c>
      <c r="R86" s="1110">
        <f t="shared" si="19"/>
        <v>2.4311339393478341E-2</v>
      </c>
      <c r="S86" s="1110">
        <f t="shared" si="19"/>
        <v>9.6925747139558205E-3</v>
      </c>
      <c r="T86" s="1093"/>
      <c r="U86" s="1093"/>
      <c r="V86" s="1093"/>
      <c r="W86" s="1093"/>
      <c r="X86" s="1093"/>
      <c r="Y86" s="1093"/>
      <c r="Z86" s="1093"/>
      <c r="AA86" s="1093"/>
      <c r="AB86" s="1093"/>
      <c r="AC86" s="1093"/>
      <c r="AD86" s="1093"/>
      <c r="AE86" s="1093"/>
      <c r="AF86" s="1093"/>
      <c r="AG86" s="1093"/>
      <c r="AH86" s="1093"/>
      <c r="AI86" s="1093"/>
      <c r="AJ86" s="1093"/>
      <c r="AK86" s="1093"/>
      <c r="AL86" s="1093"/>
      <c r="AM86" s="1093"/>
      <c r="AN86" s="1093"/>
      <c r="AO86" s="1093"/>
      <c r="AP86" s="1093"/>
      <c r="AQ86" s="1093"/>
      <c r="AR86" s="1093"/>
      <c r="AS86" s="1093"/>
      <c r="AT86" s="1093"/>
      <c r="AU86" s="1093"/>
      <c r="AV86" s="1093"/>
      <c r="AW86" s="1093"/>
      <c r="AX86" s="1093"/>
      <c r="AY86" s="1093"/>
      <c r="AZ86" s="1093"/>
      <c r="BA86" s="1093"/>
      <c r="BB86" s="1093"/>
      <c r="BC86" s="1093"/>
      <c r="BD86" s="1093"/>
      <c r="BE86" s="1093"/>
      <c r="BF86" s="1093"/>
      <c r="BG86" s="1093"/>
      <c r="BH86" s="1093"/>
      <c r="BI86" s="1093"/>
      <c r="BJ86" s="1093"/>
      <c r="BK86" s="1093"/>
      <c r="BL86" s="1093"/>
      <c r="BM86" s="1093"/>
      <c r="BN86" s="1093"/>
      <c r="BO86" s="1093"/>
      <c r="BP86" s="1093"/>
      <c r="BQ86" s="1093"/>
      <c r="BR86" s="1093"/>
      <c r="BS86" s="1093"/>
      <c r="BT86" s="1093"/>
      <c r="BU86" s="1093"/>
    </row>
    <row r="87" spans="1:73" x14ac:dyDescent="0.25">
      <c r="A87" s="1093"/>
      <c r="B87" s="1097" t="str">
        <f t="shared" ref="B87:B88" si="20">+$B$6</f>
        <v>Feedstock Consumption (% of baseline)</v>
      </c>
      <c r="C87" s="1097">
        <f>+ROUND(C6,3)</f>
        <v>1</v>
      </c>
      <c r="D87" s="1096" t="str">
        <f>+B87&amp;" = "&amp;C87*100&amp;"%"</f>
        <v>Feedstock Consumption (% of baseline) = 100%</v>
      </c>
      <c r="E87" s="1118">
        <f t="shared" ref="E87:S87" si="21">+K$51</f>
        <v>5.175427725657066</v>
      </c>
      <c r="F87" s="1110">
        <f t="shared" si="21"/>
        <v>0</v>
      </c>
      <c r="G87" s="1110">
        <f t="shared" si="21"/>
        <v>3.6162038529268764E-3</v>
      </c>
      <c r="H87" s="1110">
        <f t="shared" si="21"/>
        <v>0.31371975905265359</v>
      </c>
      <c r="I87" s="1110">
        <f t="shared" si="21"/>
        <v>0.14839099904025835</v>
      </c>
      <c r="J87" s="1110">
        <f t="shared" si="21"/>
        <v>2.0325062994071771E-2</v>
      </c>
      <c r="K87" s="1110">
        <f t="shared" si="21"/>
        <v>1.303585765569026E-3</v>
      </c>
      <c r="L87" s="1110">
        <f t="shared" si="21"/>
        <v>3.6102033259842637E-3</v>
      </c>
      <c r="M87" s="1110">
        <f t="shared" si="21"/>
        <v>0.46242636654752067</v>
      </c>
      <c r="N87" s="1110">
        <f t="shared" si="21"/>
        <v>3.995330806246626</v>
      </c>
      <c r="O87" s="1110">
        <f t="shared" si="21"/>
        <v>0</v>
      </c>
      <c r="P87" s="1110">
        <f t="shared" si="21"/>
        <v>1.1304767209823824E-2</v>
      </c>
      <c r="Q87" s="1110">
        <f t="shared" si="21"/>
        <v>0.18686972706006519</v>
      </c>
      <c r="R87" s="1110">
        <f t="shared" si="21"/>
        <v>2.5559942042201422E-2</v>
      </c>
      <c r="S87" s="1110">
        <f t="shared" si="21"/>
        <v>1.0202710225216656E-2</v>
      </c>
      <c r="T87" s="1093"/>
      <c r="U87" s="1093"/>
      <c r="V87" s="1093"/>
      <c r="W87" s="1093"/>
      <c r="X87" s="1093"/>
      <c r="Y87" s="1093"/>
      <c r="Z87" s="1093"/>
      <c r="AA87" s="1093"/>
      <c r="AB87" s="1093"/>
      <c r="AC87" s="1093"/>
      <c r="AD87" s="1093"/>
      <c r="AE87" s="1093"/>
      <c r="AF87" s="1093"/>
      <c r="AG87" s="1093"/>
      <c r="AH87" s="1093"/>
      <c r="AI87" s="1093"/>
      <c r="AJ87" s="1093"/>
      <c r="AK87" s="1093"/>
      <c r="AL87" s="1093"/>
      <c r="AM87" s="1093"/>
      <c r="AN87" s="1093"/>
      <c r="AO87" s="1093"/>
      <c r="AP87" s="1093"/>
      <c r="AQ87" s="1093"/>
      <c r="AR87" s="1093"/>
      <c r="AS87" s="1093"/>
      <c r="AT87" s="1093"/>
      <c r="AU87" s="1093"/>
      <c r="AV87" s="1093"/>
      <c r="AW87" s="1093"/>
      <c r="AX87" s="1093"/>
      <c r="AY87" s="1093"/>
      <c r="AZ87" s="1093"/>
      <c r="BA87" s="1093"/>
      <c r="BB87" s="1093"/>
      <c r="BC87" s="1093"/>
      <c r="BD87" s="1093"/>
      <c r="BE87" s="1093"/>
      <c r="BF87" s="1093"/>
      <c r="BG87" s="1093"/>
      <c r="BH87" s="1093"/>
      <c r="BI87" s="1093"/>
      <c r="BJ87" s="1093"/>
      <c r="BK87" s="1093"/>
      <c r="BL87" s="1093"/>
      <c r="BM87" s="1093"/>
      <c r="BN87" s="1093"/>
      <c r="BO87" s="1093"/>
      <c r="BP87" s="1093"/>
      <c r="BQ87" s="1093"/>
      <c r="BR87" s="1093"/>
      <c r="BS87" s="1093"/>
      <c r="BT87" s="1093"/>
      <c r="BU87" s="1093"/>
    </row>
    <row r="88" spans="1:73" x14ac:dyDescent="0.25">
      <c r="A88" s="1093"/>
      <c r="B88" s="1097" t="str">
        <f t="shared" si="20"/>
        <v>Feedstock Consumption (% of baseline)</v>
      </c>
      <c r="C88" s="1097">
        <f>+ROUND(I6,3)</f>
        <v>1.05</v>
      </c>
      <c r="D88" s="1096" t="str">
        <f>+B88&amp;" = "&amp;C88*100&amp;"%"</f>
        <v>Feedstock Consumption (% of baseline) = 105%</v>
      </c>
      <c r="E88" s="1118">
        <f t="shared" ref="E88:S89" si="22">+K59</f>
        <v>5.4297716251831378</v>
      </c>
      <c r="F88" s="1110">
        <f t="shared" si="22"/>
        <v>0</v>
      </c>
      <c r="G88" s="1110">
        <f t="shared" si="22"/>
        <v>3.7967140192260895E-3</v>
      </c>
      <c r="H88" s="1110">
        <f t="shared" si="22"/>
        <v>0.32940574700528624</v>
      </c>
      <c r="I88" s="1110">
        <f t="shared" si="22"/>
        <v>0.15581054899227126</v>
      </c>
      <c r="J88" s="1110">
        <f t="shared" si="22"/>
        <v>2.1321692319835554E-2</v>
      </c>
      <c r="K88" s="1110">
        <f t="shared" si="22"/>
        <v>1.303585765569026E-3</v>
      </c>
      <c r="L88" s="1110">
        <f t="shared" si="22"/>
        <v>3.7907134922834772E-3</v>
      </c>
      <c r="M88" s="1110">
        <f t="shared" si="22"/>
        <v>0.4817993340178619</v>
      </c>
      <c r="N88" s="1110">
        <f t="shared" si="22"/>
        <v>4.1950973465589581</v>
      </c>
      <c r="O88" s="1110">
        <f t="shared" si="22"/>
        <v>0</v>
      </c>
      <c r="P88" s="1110">
        <f t="shared" si="22"/>
        <v>1.1304767209823824E-2</v>
      </c>
      <c r="Q88" s="1110">
        <f t="shared" si="22"/>
        <v>0.19621321341306847</v>
      </c>
      <c r="R88" s="1110">
        <f t="shared" si="22"/>
        <v>2.6808544690925192E-2</v>
      </c>
      <c r="S88" s="1110">
        <f t="shared" si="22"/>
        <v>1.0712845736477492E-2</v>
      </c>
      <c r="T88" s="1093"/>
      <c r="U88" s="1093"/>
      <c r="V88" s="1093"/>
      <c r="W88" s="1093"/>
      <c r="X88" s="1093"/>
      <c r="Y88" s="1093"/>
      <c r="Z88" s="1093"/>
      <c r="AA88" s="1093"/>
      <c r="AB88" s="1093"/>
      <c r="AC88" s="1093"/>
      <c r="AD88" s="1093"/>
      <c r="AE88" s="1093"/>
      <c r="AF88" s="1093"/>
      <c r="AG88" s="1093"/>
      <c r="AH88" s="1093"/>
      <c r="AI88" s="1093"/>
      <c r="AJ88" s="1093"/>
      <c r="AK88" s="1093"/>
      <c r="AL88" s="1093"/>
      <c r="AM88" s="1093"/>
      <c r="AN88" s="1093"/>
      <c r="AO88" s="1093"/>
      <c r="AP88" s="1093"/>
      <c r="AQ88" s="1093"/>
      <c r="AR88" s="1093"/>
      <c r="AS88" s="1093"/>
      <c r="AT88" s="1093"/>
      <c r="AU88" s="1093"/>
      <c r="AV88" s="1093"/>
      <c r="AW88" s="1093"/>
      <c r="AX88" s="1093"/>
      <c r="AY88" s="1093"/>
      <c r="AZ88" s="1093"/>
      <c r="BA88" s="1093"/>
      <c r="BB88" s="1093"/>
      <c r="BC88" s="1093"/>
      <c r="BD88" s="1093"/>
      <c r="BE88" s="1093"/>
      <c r="BF88" s="1093"/>
      <c r="BG88" s="1093"/>
      <c r="BH88" s="1093"/>
      <c r="BI88" s="1093"/>
      <c r="BJ88" s="1093"/>
      <c r="BK88" s="1093"/>
      <c r="BL88" s="1093"/>
      <c r="BM88" s="1093"/>
      <c r="BN88" s="1093"/>
      <c r="BO88" s="1093"/>
      <c r="BP88" s="1093"/>
      <c r="BQ88" s="1093"/>
      <c r="BR88" s="1093"/>
      <c r="BS88" s="1093"/>
      <c r="BT88" s="1093"/>
      <c r="BU88" s="1093"/>
    </row>
    <row r="89" spans="1:73" x14ac:dyDescent="0.25">
      <c r="A89" s="1093"/>
      <c r="B89" s="1097" t="str">
        <f>+$B$7</f>
        <v>Utilities Consumption (% of baseline)</v>
      </c>
      <c r="C89" s="1097">
        <f>+ROUND(H7,3)</f>
        <v>0.95</v>
      </c>
      <c r="D89" s="1096" t="str">
        <f t="shared" ref="D89:D91" si="23">+B89&amp;" = "&amp;C89*100&amp;"%"</f>
        <v>Utilities Consumption (% of baseline) = 95%</v>
      </c>
      <c r="E89" s="1118">
        <f t="shared" si="22"/>
        <v>5.175427725657066</v>
      </c>
      <c r="F89" s="1118">
        <f t="shared" si="22"/>
        <v>0</v>
      </c>
      <c r="G89" s="1118">
        <f t="shared" si="22"/>
        <v>3.6162038529268764E-3</v>
      </c>
      <c r="H89" s="1118">
        <f t="shared" si="22"/>
        <v>0.31371975905265359</v>
      </c>
      <c r="I89" s="1118">
        <f t="shared" si="22"/>
        <v>0.14839099904025835</v>
      </c>
      <c r="J89" s="1118">
        <f t="shared" si="22"/>
        <v>2.0325062994071771E-2</v>
      </c>
      <c r="K89" s="1118">
        <f t="shared" si="22"/>
        <v>1.303585765569026E-3</v>
      </c>
      <c r="L89" s="1118">
        <f t="shared" si="22"/>
        <v>3.6102033259842637E-3</v>
      </c>
      <c r="M89" s="1118">
        <f t="shared" si="22"/>
        <v>0.46242636654752067</v>
      </c>
      <c r="N89" s="1118">
        <f t="shared" si="22"/>
        <v>3.995330806246626</v>
      </c>
      <c r="O89" s="1118">
        <f t="shared" si="22"/>
        <v>0</v>
      </c>
      <c r="P89" s="1118">
        <f t="shared" si="22"/>
        <v>1.1304767209823824E-2</v>
      </c>
      <c r="Q89" s="1118">
        <f t="shared" si="22"/>
        <v>0.18686972706006519</v>
      </c>
      <c r="R89" s="1118">
        <f t="shared" si="22"/>
        <v>2.5559942042201422E-2</v>
      </c>
      <c r="S89" s="1118">
        <f t="shared" si="22"/>
        <v>1.0202710225216656E-2</v>
      </c>
      <c r="T89" s="1093"/>
      <c r="U89" s="1093"/>
      <c r="V89" s="1093"/>
      <c r="W89" s="1093"/>
      <c r="X89" s="1093"/>
      <c r="Y89" s="1093"/>
      <c r="Z89" s="1093"/>
      <c r="AA89" s="1093"/>
      <c r="AB89" s="1093"/>
      <c r="AC89" s="1093"/>
      <c r="AD89" s="1093"/>
      <c r="AE89" s="1093"/>
      <c r="AF89" s="1093"/>
      <c r="AG89" s="1093"/>
      <c r="AH89" s="1093"/>
      <c r="AI89" s="1093"/>
      <c r="AJ89" s="1093"/>
      <c r="AK89" s="1093"/>
      <c r="AL89" s="1093"/>
      <c r="AM89" s="1093"/>
      <c r="AN89" s="1093"/>
      <c r="AO89" s="1093"/>
      <c r="AP89" s="1093"/>
      <c r="AQ89" s="1093"/>
      <c r="AR89" s="1093"/>
      <c r="AS89" s="1093"/>
      <c r="AT89" s="1093"/>
      <c r="AU89" s="1093"/>
      <c r="AV89" s="1093"/>
      <c r="AW89" s="1093"/>
      <c r="AX89" s="1093"/>
      <c r="AY89" s="1093"/>
      <c r="AZ89" s="1093"/>
      <c r="BA89" s="1093"/>
      <c r="BB89" s="1093"/>
      <c r="BC89" s="1093"/>
      <c r="BD89" s="1093"/>
      <c r="BE89" s="1093"/>
      <c r="BF89" s="1093"/>
      <c r="BG89" s="1093"/>
      <c r="BH89" s="1093"/>
      <c r="BI89" s="1093"/>
      <c r="BJ89" s="1093"/>
      <c r="BK89" s="1093"/>
      <c r="BL89" s="1093"/>
      <c r="BM89" s="1093"/>
      <c r="BN89" s="1093"/>
      <c r="BO89" s="1093"/>
      <c r="BP89" s="1093"/>
      <c r="BQ89" s="1093"/>
      <c r="BR89" s="1093"/>
      <c r="BS89" s="1093"/>
      <c r="BT89" s="1093"/>
      <c r="BU89" s="1093"/>
    </row>
    <row r="90" spans="1:73" x14ac:dyDescent="0.25">
      <c r="A90" s="1093"/>
      <c r="B90" s="1097" t="str">
        <f t="shared" ref="B90:B91" si="24">+$B$7</f>
        <v>Utilities Consumption (% of baseline)</v>
      </c>
      <c r="C90" s="1097">
        <f>+ROUND(C7,3)</f>
        <v>1</v>
      </c>
      <c r="D90" s="1096" t="str">
        <f t="shared" si="23"/>
        <v>Utilities Consumption (% of baseline) = 100%</v>
      </c>
      <c r="E90" s="1118">
        <f>+K$51</f>
        <v>5.175427725657066</v>
      </c>
      <c r="F90" s="1118">
        <f t="shared" ref="F90:S90" si="25">+L$51</f>
        <v>0</v>
      </c>
      <c r="G90" s="1118">
        <f t="shared" si="25"/>
        <v>3.6162038529268764E-3</v>
      </c>
      <c r="H90" s="1118">
        <f t="shared" si="25"/>
        <v>0.31371975905265359</v>
      </c>
      <c r="I90" s="1118">
        <f t="shared" si="25"/>
        <v>0.14839099904025835</v>
      </c>
      <c r="J90" s="1118">
        <f t="shared" si="25"/>
        <v>2.0325062994071771E-2</v>
      </c>
      <c r="K90" s="1118">
        <f t="shared" si="25"/>
        <v>1.303585765569026E-3</v>
      </c>
      <c r="L90" s="1118">
        <f t="shared" si="25"/>
        <v>3.6102033259842637E-3</v>
      </c>
      <c r="M90" s="1118">
        <f t="shared" si="25"/>
        <v>0.46242636654752067</v>
      </c>
      <c r="N90" s="1118">
        <f t="shared" si="25"/>
        <v>3.995330806246626</v>
      </c>
      <c r="O90" s="1118">
        <f t="shared" si="25"/>
        <v>0</v>
      </c>
      <c r="P90" s="1118">
        <f t="shared" si="25"/>
        <v>1.1304767209823824E-2</v>
      </c>
      <c r="Q90" s="1118">
        <f t="shared" si="25"/>
        <v>0.18686972706006519</v>
      </c>
      <c r="R90" s="1118">
        <f t="shared" si="25"/>
        <v>2.5559942042201422E-2</v>
      </c>
      <c r="S90" s="1118">
        <f t="shared" si="25"/>
        <v>1.0202710225216656E-2</v>
      </c>
      <c r="T90" s="1093"/>
      <c r="U90" s="1093"/>
      <c r="V90" s="1093"/>
      <c r="W90" s="1093"/>
      <c r="X90" s="1093"/>
      <c r="Y90" s="1093"/>
      <c r="Z90" s="1093"/>
      <c r="AA90" s="1093"/>
      <c r="AB90" s="1093"/>
      <c r="AC90" s="1093"/>
      <c r="AD90" s="1093"/>
      <c r="AE90" s="1093"/>
      <c r="AF90" s="1093"/>
      <c r="AG90" s="1093"/>
      <c r="AH90" s="1093"/>
      <c r="AI90" s="1093"/>
      <c r="AJ90" s="1093"/>
      <c r="AK90" s="1093"/>
      <c r="AL90" s="1093"/>
      <c r="AM90" s="1093"/>
      <c r="AN90" s="1093"/>
      <c r="AO90" s="1093"/>
      <c r="AP90" s="1093"/>
      <c r="AQ90" s="1093"/>
      <c r="AR90" s="1093"/>
      <c r="AS90" s="1093"/>
      <c r="AT90" s="1093"/>
      <c r="AU90" s="1093"/>
      <c r="AV90" s="1093"/>
      <c r="AW90" s="1093"/>
      <c r="AX90" s="1093"/>
      <c r="AY90" s="1093"/>
      <c r="AZ90" s="1093"/>
      <c r="BA90" s="1093"/>
      <c r="BB90" s="1093"/>
      <c r="BC90" s="1093"/>
      <c r="BD90" s="1093"/>
      <c r="BE90" s="1093"/>
      <c r="BF90" s="1093"/>
      <c r="BG90" s="1093"/>
      <c r="BH90" s="1093"/>
      <c r="BI90" s="1093"/>
      <c r="BJ90" s="1093"/>
      <c r="BK90" s="1093"/>
      <c r="BL90" s="1093"/>
      <c r="BM90" s="1093"/>
      <c r="BN90" s="1093"/>
      <c r="BO90" s="1093"/>
      <c r="BP90" s="1093"/>
      <c r="BQ90" s="1093"/>
      <c r="BR90" s="1093"/>
      <c r="BS90" s="1093"/>
      <c r="BT90" s="1093"/>
      <c r="BU90" s="1093"/>
    </row>
    <row r="91" spans="1:73" x14ac:dyDescent="0.25">
      <c r="A91" s="1093"/>
      <c r="B91" s="1097" t="str">
        <f t="shared" si="24"/>
        <v>Utilities Consumption (% of baseline)</v>
      </c>
      <c r="C91" s="1097">
        <f>+ROUND(I7,3)</f>
        <v>1.05</v>
      </c>
      <c r="D91" s="1096" t="str">
        <f t="shared" si="23"/>
        <v>Utilities Consumption (% of baseline) = 105%</v>
      </c>
      <c r="E91" s="1118">
        <f t="shared" ref="E91:S92" si="26">+K61</f>
        <v>5.175427725657066</v>
      </c>
      <c r="F91" s="1118">
        <f t="shared" si="26"/>
        <v>0</v>
      </c>
      <c r="G91" s="1118">
        <f t="shared" si="26"/>
        <v>3.6162038529268764E-3</v>
      </c>
      <c r="H91" s="1118">
        <f t="shared" si="26"/>
        <v>0.31371975905265359</v>
      </c>
      <c r="I91" s="1118">
        <f t="shared" si="26"/>
        <v>0.14839099904025835</v>
      </c>
      <c r="J91" s="1118">
        <f t="shared" si="26"/>
        <v>2.0325062994071771E-2</v>
      </c>
      <c r="K91" s="1118">
        <f t="shared" si="26"/>
        <v>1.303585765569026E-3</v>
      </c>
      <c r="L91" s="1118">
        <f t="shared" si="26"/>
        <v>3.6102033259842637E-3</v>
      </c>
      <c r="M91" s="1118">
        <f t="shared" si="26"/>
        <v>0.46242636654752067</v>
      </c>
      <c r="N91" s="1118">
        <f t="shared" si="26"/>
        <v>3.995330806246626</v>
      </c>
      <c r="O91" s="1118">
        <f t="shared" si="26"/>
        <v>0</v>
      </c>
      <c r="P91" s="1118">
        <f t="shared" si="26"/>
        <v>1.1304767209823824E-2</v>
      </c>
      <c r="Q91" s="1118">
        <f t="shared" si="26"/>
        <v>0.18686972706006519</v>
      </c>
      <c r="R91" s="1118">
        <f t="shared" si="26"/>
        <v>2.5559942042201422E-2</v>
      </c>
      <c r="S91" s="1118">
        <f t="shared" si="26"/>
        <v>1.0202710225216656E-2</v>
      </c>
      <c r="T91" s="1093"/>
      <c r="U91" s="1093"/>
      <c r="V91" s="1093"/>
      <c r="W91" s="1093"/>
      <c r="X91" s="1093"/>
      <c r="Y91" s="1093"/>
      <c r="Z91" s="1093"/>
      <c r="AA91" s="1093"/>
      <c r="AB91" s="1093"/>
      <c r="AC91" s="1093"/>
      <c r="AD91" s="1093"/>
      <c r="AE91" s="1093"/>
      <c r="AF91" s="1093"/>
      <c r="AG91" s="1093"/>
      <c r="AH91" s="1093"/>
      <c r="AI91" s="1093"/>
      <c r="AJ91" s="1093"/>
      <c r="AK91" s="1093"/>
      <c r="AL91" s="1093"/>
      <c r="AM91" s="1093"/>
      <c r="AN91" s="1093"/>
      <c r="AO91" s="1093"/>
      <c r="AP91" s="1093"/>
      <c r="AQ91" s="1093"/>
      <c r="AR91" s="1093"/>
      <c r="AS91" s="1093"/>
      <c r="AT91" s="1093"/>
      <c r="AU91" s="1093"/>
      <c r="AV91" s="1093"/>
      <c r="AW91" s="1093"/>
      <c r="AX91" s="1093"/>
      <c r="AY91" s="1093"/>
      <c r="AZ91" s="1093"/>
      <c r="BA91" s="1093"/>
      <c r="BB91" s="1093"/>
      <c r="BC91" s="1093"/>
      <c r="BD91" s="1093"/>
      <c r="BE91" s="1093"/>
      <c r="BF91" s="1093"/>
      <c r="BG91" s="1093"/>
      <c r="BH91" s="1093"/>
      <c r="BI91" s="1093"/>
      <c r="BJ91" s="1093"/>
      <c r="BK91" s="1093"/>
      <c r="BL91" s="1093"/>
      <c r="BM91" s="1093"/>
      <c r="BN91" s="1093"/>
      <c r="BO91" s="1093"/>
      <c r="BP91" s="1093"/>
      <c r="BQ91" s="1093"/>
      <c r="BR91" s="1093"/>
      <c r="BS91" s="1093"/>
      <c r="BT91" s="1093"/>
      <c r="BU91" s="1093"/>
    </row>
    <row r="92" spans="1:73" x14ac:dyDescent="0.25">
      <c r="A92" s="1093"/>
      <c r="B92" s="1097" t="str">
        <f>+$B$8</f>
        <v>Total Capital Investment</v>
      </c>
      <c r="C92" s="1115">
        <f ca="1">+ROUND(H8,0)</f>
        <v>157545368</v>
      </c>
      <c r="D92" s="1097" t="str">
        <f t="shared" ref="D92:D97" ca="1" si="27">+B92&amp;" = "&amp;TEXT(C92/1000,"$0,000K")</f>
        <v>Total Capital Investment = $157,545K</v>
      </c>
      <c r="E92" s="1110">
        <f t="shared" si="26"/>
        <v>5.1408006094552849</v>
      </c>
      <c r="F92" s="1110">
        <f t="shared" si="26"/>
        <v>0</v>
      </c>
      <c r="G92" s="1110">
        <f t="shared" si="26"/>
        <v>3.4353936602805322E-3</v>
      </c>
      <c r="H92" s="1110">
        <f t="shared" si="26"/>
        <v>0.29800769938470956</v>
      </c>
      <c r="I92" s="1110">
        <f t="shared" si="26"/>
        <v>0.14839099904025835</v>
      </c>
      <c r="J92" s="1110">
        <f t="shared" si="26"/>
        <v>2.0282445070766715E-2</v>
      </c>
      <c r="K92" s="1110">
        <f t="shared" si="26"/>
        <v>1.303585765569026E-3</v>
      </c>
      <c r="L92" s="1110">
        <f t="shared" si="26"/>
        <v>3.4293931333379203E-3</v>
      </c>
      <c r="M92" s="1110">
        <f t="shared" si="26"/>
        <v>0.45305835473667155</v>
      </c>
      <c r="N92" s="1110">
        <f t="shared" si="26"/>
        <v>3.995330806246626</v>
      </c>
      <c r="O92" s="1110">
        <f t="shared" si="26"/>
        <v>0</v>
      </c>
      <c r="P92" s="1110">
        <f t="shared" si="26"/>
        <v>1.1304767209823824E-2</v>
      </c>
      <c r="Q92" s="1110">
        <f t="shared" si="26"/>
        <v>0.17751071087770429</v>
      </c>
      <c r="R92" s="1110">
        <f t="shared" si="26"/>
        <v>2.5925514833500321E-2</v>
      </c>
      <c r="S92" s="1110">
        <f t="shared" si="26"/>
        <v>9.6917268165929073E-3</v>
      </c>
      <c r="T92" s="1093"/>
      <c r="U92" s="1093"/>
      <c r="V92" s="1093"/>
      <c r="W92" s="1093"/>
      <c r="X92" s="1093"/>
      <c r="Y92" s="1093"/>
      <c r="Z92" s="1093"/>
      <c r="AA92" s="1093"/>
      <c r="AB92" s="1093"/>
      <c r="AC92" s="1093"/>
      <c r="AD92" s="1093"/>
      <c r="AE92" s="1093"/>
      <c r="AF92" s="1093"/>
      <c r="AG92" s="1093"/>
      <c r="AH92" s="1093"/>
      <c r="AI92" s="1093"/>
      <c r="AJ92" s="1093"/>
      <c r="AK92" s="1093"/>
      <c r="AL92" s="1093"/>
      <c r="AM92" s="1093"/>
      <c r="AN92" s="1093"/>
      <c r="AO92" s="1093"/>
      <c r="AP92" s="1093"/>
      <c r="AQ92" s="1093"/>
      <c r="AR92" s="1093"/>
      <c r="AS92" s="1093"/>
      <c r="AT92" s="1093"/>
      <c r="AU92" s="1093"/>
      <c r="AV92" s="1093"/>
      <c r="AW92" s="1093"/>
      <c r="AX92" s="1093"/>
      <c r="AY92" s="1093"/>
      <c r="AZ92" s="1093"/>
      <c r="BA92" s="1093"/>
      <c r="BB92" s="1093"/>
      <c r="BC92" s="1093"/>
      <c r="BD92" s="1093"/>
      <c r="BE92" s="1093"/>
      <c r="BF92" s="1093"/>
      <c r="BG92" s="1093"/>
      <c r="BH92" s="1093"/>
      <c r="BI92" s="1093"/>
      <c r="BJ92" s="1093"/>
      <c r="BK92" s="1093"/>
      <c r="BL92" s="1093"/>
      <c r="BM92" s="1093"/>
      <c r="BN92" s="1093"/>
      <c r="BO92" s="1093"/>
      <c r="BP92" s="1093"/>
      <c r="BQ92" s="1093"/>
      <c r="BR92" s="1093"/>
      <c r="BS92" s="1093"/>
      <c r="BT92" s="1093"/>
      <c r="BU92" s="1093"/>
    </row>
    <row r="93" spans="1:73" x14ac:dyDescent="0.25">
      <c r="A93" s="1093"/>
      <c r="B93" s="1097" t="str">
        <f t="shared" ref="B93:B94" si="28">+$B$8</f>
        <v>Total Capital Investment</v>
      </c>
      <c r="C93" s="1115">
        <f ca="1">+ROUND(C8,0)</f>
        <v>165837229</v>
      </c>
      <c r="D93" s="1097" t="str">
        <f t="shared" ca="1" si="27"/>
        <v>Total Capital Investment = $165,837K</v>
      </c>
      <c r="E93" s="1110">
        <f t="shared" ref="E93:S93" si="29">+K$51</f>
        <v>5.175427725657066</v>
      </c>
      <c r="F93" s="1110">
        <f t="shared" si="29"/>
        <v>0</v>
      </c>
      <c r="G93" s="1110">
        <f t="shared" si="29"/>
        <v>3.6162038529268764E-3</v>
      </c>
      <c r="H93" s="1110">
        <f t="shared" si="29"/>
        <v>0.31371975905265359</v>
      </c>
      <c r="I93" s="1110">
        <f t="shared" si="29"/>
        <v>0.14839099904025835</v>
      </c>
      <c r="J93" s="1110">
        <f t="shared" si="29"/>
        <v>2.0325062994071771E-2</v>
      </c>
      <c r="K93" s="1110">
        <f t="shared" si="29"/>
        <v>1.303585765569026E-3</v>
      </c>
      <c r="L93" s="1110">
        <f t="shared" si="29"/>
        <v>3.6102033259842637E-3</v>
      </c>
      <c r="M93" s="1110">
        <f t="shared" si="29"/>
        <v>0.46242636654752067</v>
      </c>
      <c r="N93" s="1110">
        <f t="shared" si="29"/>
        <v>3.995330806246626</v>
      </c>
      <c r="O93" s="1110">
        <f t="shared" si="29"/>
        <v>0</v>
      </c>
      <c r="P93" s="1110">
        <f t="shared" si="29"/>
        <v>1.1304767209823824E-2</v>
      </c>
      <c r="Q93" s="1110">
        <f t="shared" si="29"/>
        <v>0.18686972706006519</v>
      </c>
      <c r="R93" s="1110">
        <f t="shared" si="29"/>
        <v>2.5559942042201422E-2</v>
      </c>
      <c r="S93" s="1110">
        <f t="shared" si="29"/>
        <v>1.0202710225216656E-2</v>
      </c>
      <c r="T93" s="1093"/>
      <c r="U93" s="1093"/>
      <c r="V93" s="1093"/>
      <c r="W93" s="1093"/>
      <c r="X93" s="1093"/>
      <c r="Y93" s="1093"/>
      <c r="Z93" s="1093"/>
      <c r="AA93" s="1093"/>
      <c r="AB93" s="1093"/>
      <c r="AC93" s="1093"/>
      <c r="AD93" s="1093"/>
      <c r="AE93" s="1093"/>
      <c r="AF93" s="1093"/>
      <c r="AG93" s="1093"/>
      <c r="AH93" s="1093"/>
      <c r="AI93" s="1093"/>
      <c r="AJ93" s="1093"/>
      <c r="AK93" s="1093"/>
      <c r="AL93" s="1093"/>
      <c r="AM93" s="1093"/>
      <c r="AN93" s="1093"/>
      <c r="AO93" s="1093"/>
      <c r="AP93" s="1093"/>
      <c r="AQ93" s="1093"/>
      <c r="AR93" s="1093"/>
      <c r="AS93" s="1093"/>
      <c r="AT93" s="1093"/>
      <c r="AU93" s="1093"/>
      <c r="AV93" s="1093"/>
      <c r="AW93" s="1093"/>
      <c r="AX93" s="1093"/>
      <c r="AY93" s="1093"/>
      <c r="AZ93" s="1093"/>
      <c r="BA93" s="1093"/>
      <c r="BB93" s="1093"/>
      <c r="BC93" s="1093"/>
      <c r="BD93" s="1093"/>
      <c r="BE93" s="1093"/>
      <c r="BF93" s="1093"/>
      <c r="BG93" s="1093"/>
      <c r="BH93" s="1093"/>
      <c r="BI93" s="1093"/>
      <c r="BJ93" s="1093"/>
      <c r="BK93" s="1093"/>
      <c r="BL93" s="1093"/>
      <c r="BM93" s="1093"/>
      <c r="BN93" s="1093"/>
      <c r="BO93" s="1093"/>
      <c r="BP93" s="1093"/>
      <c r="BQ93" s="1093"/>
      <c r="BR93" s="1093"/>
      <c r="BS93" s="1093"/>
      <c r="BT93" s="1093"/>
      <c r="BU93" s="1093"/>
    </row>
    <row r="94" spans="1:73" x14ac:dyDescent="0.25">
      <c r="A94" s="1093"/>
      <c r="B94" s="1097" t="str">
        <f t="shared" si="28"/>
        <v>Total Capital Investment</v>
      </c>
      <c r="C94" s="1115">
        <f ca="1">+ROUND(I8,0)</f>
        <v>174129091</v>
      </c>
      <c r="D94" s="1097" t="str">
        <f t="shared" ca="1" si="27"/>
        <v>Total Capital Investment = $174,129K</v>
      </c>
      <c r="E94" s="1110">
        <f t="shared" ref="E94:S95" si="30">+K63</f>
        <v>5.2100548418588506</v>
      </c>
      <c r="F94" s="1110">
        <f t="shared" si="30"/>
        <v>0</v>
      </c>
      <c r="G94" s="1110">
        <f t="shared" si="30"/>
        <v>3.7970140455732197E-3</v>
      </c>
      <c r="H94" s="1110">
        <f t="shared" si="30"/>
        <v>0.32943181872059774</v>
      </c>
      <c r="I94" s="1110">
        <f t="shared" si="30"/>
        <v>0.14839099904025835</v>
      </c>
      <c r="J94" s="1110">
        <f t="shared" si="30"/>
        <v>2.036768091737683E-2</v>
      </c>
      <c r="K94" s="1110">
        <f t="shared" si="30"/>
        <v>1.303585765569026E-3</v>
      </c>
      <c r="L94" s="1110">
        <f t="shared" si="30"/>
        <v>3.7910135186306091E-3</v>
      </c>
      <c r="M94" s="1110">
        <f t="shared" si="30"/>
        <v>0.47179437835836985</v>
      </c>
      <c r="N94" s="1110">
        <f t="shared" si="30"/>
        <v>3.995330806246626</v>
      </c>
      <c r="O94" s="1110">
        <f t="shared" si="30"/>
        <v>0</v>
      </c>
      <c r="P94" s="1110">
        <f t="shared" si="30"/>
        <v>1.1304767209823824E-2</v>
      </c>
      <c r="Q94" s="1110">
        <f t="shared" si="30"/>
        <v>0.19622874324242617</v>
      </c>
      <c r="R94" s="1110">
        <f t="shared" si="30"/>
        <v>2.5194369250902238E-2</v>
      </c>
      <c r="S94" s="1110">
        <f t="shared" si="30"/>
        <v>1.0713693633840411E-2</v>
      </c>
      <c r="T94" s="1093"/>
      <c r="U94" s="1093"/>
      <c r="V94" s="1093"/>
      <c r="W94" s="1093"/>
      <c r="X94" s="1093"/>
      <c r="Y94" s="1093"/>
      <c r="Z94" s="1093"/>
      <c r="AA94" s="1093"/>
      <c r="AB94" s="1093"/>
      <c r="AC94" s="1093"/>
      <c r="AD94" s="1093"/>
      <c r="AE94" s="1093"/>
      <c r="AF94" s="1093"/>
      <c r="AG94" s="1093"/>
      <c r="AH94" s="1093"/>
      <c r="AI94" s="1093"/>
      <c r="AJ94" s="1093"/>
      <c r="AK94" s="1093"/>
      <c r="AL94" s="1093"/>
      <c r="AM94" s="1093"/>
      <c r="AN94" s="1093"/>
      <c r="AO94" s="1093"/>
      <c r="AP94" s="1093"/>
      <c r="AQ94" s="1093"/>
      <c r="AR94" s="1093"/>
      <c r="AS94" s="1093"/>
      <c r="AT94" s="1093"/>
      <c r="AU94" s="1093"/>
      <c r="AV94" s="1093"/>
      <c r="AW94" s="1093"/>
      <c r="AX94" s="1093"/>
      <c r="AY94" s="1093"/>
      <c r="AZ94" s="1093"/>
      <c r="BA94" s="1093"/>
      <c r="BB94" s="1093"/>
      <c r="BC94" s="1093"/>
      <c r="BD94" s="1093"/>
      <c r="BE94" s="1093"/>
      <c r="BF94" s="1093"/>
      <c r="BG94" s="1093"/>
      <c r="BH94" s="1093"/>
      <c r="BI94" s="1093"/>
      <c r="BJ94" s="1093"/>
      <c r="BK94" s="1093"/>
      <c r="BL94" s="1093"/>
      <c r="BM94" s="1093"/>
      <c r="BN94" s="1093"/>
      <c r="BO94" s="1093"/>
      <c r="BP94" s="1093"/>
      <c r="BQ94" s="1093"/>
      <c r="BR94" s="1093"/>
      <c r="BS94" s="1093"/>
      <c r="BT94" s="1093"/>
      <c r="BU94" s="1093"/>
    </row>
    <row r="95" spans="1:73" x14ac:dyDescent="0.25">
      <c r="A95" s="1093"/>
      <c r="B95" s="1097" t="str">
        <f>+$B$9</f>
        <v>Total Fixed Operating Cost</v>
      </c>
      <c r="C95" s="1115">
        <f ca="1">+ROUND(H9,0)</f>
        <v>7776798</v>
      </c>
      <c r="D95" s="1097" t="str">
        <f t="shared" ca="1" si="27"/>
        <v>Total Fixed Operating Cost = $7,777K</v>
      </c>
      <c r="E95" s="1110">
        <f t="shared" si="30"/>
        <v>5.1521647619209459</v>
      </c>
      <c r="F95" s="1110">
        <f t="shared" si="30"/>
        <v>0</v>
      </c>
      <c r="G95" s="1110">
        <f t="shared" si="30"/>
        <v>3.6162038529268764E-3</v>
      </c>
      <c r="H95" s="1110">
        <f t="shared" si="30"/>
        <v>0.31371975905265359</v>
      </c>
      <c r="I95" s="1110">
        <f t="shared" si="30"/>
        <v>0.14839099904025835</v>
      </c>
      <c r="J95" s="1110">
        <f t="shared" si="30"/>
        <v>2.0219877113536608E-2</v>
      </c>
      <c r="K95" s="1110">
        <f t="shared" si="30"/>
        <v>1.303585765569026E-3</v>
      </c>
      <c r="L95" s="1110">
        <f t="shared" si="30"/>
        <v>3.6102033259842637E-3</v>
      </c>
      <c r="M95" s="1110">
        <f t="shared" si="30"/>
        <v>0.43930504822014471</v>
      </c>
      <c r="N95" s="1110">
        <f t="shared" si="30"/>
        <v>3.995330806246626</v>
      </c>
      <c r="O95" s="1110">
        <f t="shared" si="30"/>
        <v>0</v>
      </c>
      <c r="P95" s="1110">
        <f t="shared" si="30"/>
        <v>1.1304767209823824E-2</v>
      </c>
      <c r="Q95" s="1110">
        <f t="shared" si="30"/>
        <v>0.18686972706006519</v>
      </c>
      <c r="R95" s="1110">
        <f t="shared" si="30"/>
        <v>2.5523482513989962E-2</v>
      </c>
      <c r="S95" s="1110">
        <f t="shared" si="30"/>
        <v>1.0202710225216656E-2</v>
      </c>
      <c r="T95" s="1093"/>
      <c r="U95" s="1093"/>
      <c r="V95" s="1093"/>
      <c r="W95" s="1093"/>
      <c r="X95" s="1093"/>
      <c r="Y95" s="1093"/>
      <c r="Z95" s="1093"/>
      <c r="AA95" s="1093"/>
      <c r="AB95" s="1093"/>
      <c r="AC95" s="1093"/>
      <c r="AD95" s="1093"/>
      <c r="AE95" s="1093"/>
      <c r="AF95" s="1093"/>
      <c r="AG95" s="1093"/>
      <c r="AH95" s="1093"/>
      <c r="AI95" s="1093"/>
      <c r="AJ95" s="1093"/>
      <c r="AK95" s="1093"/>
      <c r="AL95" s="1093"/>
      <c r="AM95" s="1093"/>
      <c r="AN95" s="1093"/>
      <c r="AO95" s="1093"/>
      <c r="AP95" s="1093"/>
      <c r="AQ95" s="1093"/>
      <c r="AR95" s="1093"/>
      <c r="AS95" s="1093"/>
      <c r="AT95" s="1093"/>
      <c r="AU95" s="1093"/>
      <c r="AV95" s="1093"/>
      <c r="AW95" s="1093"/>
      <c r="AX95" s="1093"/>
      <c r="AY95" s="1093"/>
      <c r="AZ95" s="1093"/>
      <c r="BA95" s="1093"/>
      <c r="BB95" s="1093"/>
      <c r="BC95" s="1093"/>
      <c r="BD95" s="1093"/>
      <c r="BE95" s="1093"/>
      <c r="BF95" s="1093"/>
      <c r="BG95" s="1093"/>
      <c r="BH95" s="1093"/>
      <c r="BI95" s="1093"/>
      <c r="BJ95" s="1093"/>
      <c r="BK95" s="1093"/>
      <c r="BL95" s="1093"/>
      <c r="BM95" s="1093"/>
      <c r="BN95" s="1093"/>
      <c r="BO95" s="1093"/>
      <c r="BP95" s="1093"/>
      <c r="BQ95" s="1093"/>
      <c r="BR95" s="1093"/>
      <c r="BS95" s="1093"/>
      <c r="BT95" s="1093"/>
      <c r="BU95" s="1093"/>
    </row>
    <row r="96" spans="1:73" x14ac:dyDescent="0.25">
      <c r="A96" s="1093"/>
      <c r="B96" s="1097" t="str">
        <f t="shared" ref="B96:B97" si="31">+$B$9</f>
        <v>Total Fixed Operating Cost</v>
      </c>
      <c r="C96" s="1115">
        <f ca="1">+ROUND(C9,0)</f>
        <v>8186103</v>
      </c>
      <c r="D96" s="1097" t="str">
        <f t="shared" ca="1" si="27"/>
        <v>Total Fixed Operating Cost = $8,186K</v>
      </c>
      <c r="E96" s="1110">
        <f t="shared" ref="E96:S96" si="32">+K$51</f>
        <v>5.175427725657066</v>
      </c>
      <c r="F96" s="1110">
        <f t="shared" si="32"/>
        <v>0</v>
      </c>
      <c r="G96" s="1110">
        <f t="shared" si="32"/>
        <v>3.6162038529268764E-3</v>
      </c>
      <c r="H96" s="1110">
        <f t="shared" si="32"/>
        <v>0.31371975905265359</v>
      </c>
      <c r="I96" s="1110">
        <f t="shared" si="32"/>
        <v>0.14839099904025835</v>
      </c>
      <c r="J96" s="1110">
        <f t="shared" si="32"/>
        <v>2.0325062994071771E-2</v>
      </c>
      <c r="K96" s="1110">
        <f t="shared" si="32"/>
        <v>1.303585765569026E-3</v>
      </c>
      <c r="L96" s="1110">
        <f t="shared" si="32"/>
        <v>3.6102033259842637E-3</v>
      </c>
      <c r="M96" s="1110">
        <f t="shared" si="32"/>
        <v>0.46242636654752067</v>
      </c>
      <c r="N96" s="1110">
        <f t="shared" si="32"/>
        <v>3.995330806246626</v>
      </c>
      <c r="O96" s="1110">
        <f t="shared" si="32"/>
        <v>0</v>
      </c>
      <c r="P96" s="1110">
        <f t="shared" si="32"/>
        <v>1.1304767209823824E-2</v>
      </c>
      <c r="Q96" s="1110">
        <f t="shared" si="32"/>
        <v>0.18686972706006519</v>
      </c>
      <c r="R96" s="1110">
        <f t="shared" si="32"/>
        <v>2.5559942042201422E-2</v>
      </c>
      <c r="S96" s="1110">
        <f t="shared" si="32"/>
        <v>1.0202710225216656E-2</v>
      </c>
      <c r="T96" s="1093"/>
      <c r="U96" s="1093"/>
      <c r="V96" s="1093"/>
      <c r="W96" s="1093"/>
      <c r="X96" s="1093"/>
      <c r="Y96" s="1093"/>
      <c r="Z96" s="1093"/>
      <c r="AA96" s="1093"/>
      <c r="AB96" s="1093"/>
      <c r="AC96" s="1093"/>
      <c r="AD96" s="1093"/>
      <c r="AE96" s="1093"/>
      <c r="AF96" s="1093"/>
      <c r="AG96" s="1093"/>
      <c r="AH96" s="1093"/>
      <c r="AI96" s="1093"/>
      <c r="AJ96" s="1093"/>
      <c r="AK96" s="1093"/>
      <c r="AL96" s="1093"/>
      <c r="AM96" s="1093"/>
      <c r="AN96" s="1093"/>
      <c r="AO96" s="1093"/>
      <c r="AP96" s="1093"/>
      <c r="AQ96" s="1093"/>
      <c r="AR96" s="1093"/>
      <c r="AS96" s="1093"/>
      <c r="AT96" s="1093"/>
      <c r="AU96" s="1093"/>
      <c r="AV96" s="1093"/>
      <c r="AW96" s="1093"/>
      <c r="AX96" s="1093"/>
      <c r="AY96" s="1093"/>
      <c r="AZ96" s="1093"/>
      <c r="BA96" s="1093"/>
      <c r="BB96" s="1093"/>
      <c r="BC96" s="1093"/>
      <c r="BD96" s="1093"/>
      <c r="BE96" s="1093"/>
      <c r="BF96" s="1093"/>
      <c r="BG96" s="1093"/>
      <c r="BH96" s="1093"/>
      <c r="BI96" s="1093"/>
      <c r="BJ96" s="1093"/>
      <c r="BK96" s="1093"/>
      <c r="BL96" s="1093"/>
      <c r="BM96" s="1093"/>
      <c r="BN96" s="1093"/>
      <c r="BO96" s="1093"/>
      <c r="BP96" s="1093"/>
      <c r="BQ96" s="1093"/>
      <c r="BR96" s="1093"/>
      <c r="BS96" s="1093"/>
      <c r="BT96" s="1093"/>
      <c r="BU96" s="1093"/>
    </row>
    <row r="97" spans="1:73" x14ac:dyDescent="0.25">
      <c r="A97" s="1093"/>
      <c r="B97" s="1097" t="str">
        <f t="shared" si="31"/>
        <v>Total Fixed Operating Cost</v>
      </c>
      <c r="C97" s="1115">
        <f ca="1">+ROUND(I9,0)</f>
        <v>8595408</v>
      </c>
      <c r="D97" s="1097" t="str">
        <f t="shared" ca="1" si="27"/>
        <v>Total Fixed Operating Cost = $8,595K</v>
      </c>
      <c r="E97" s="1110">
        <f t="shared" ref="E97:S97" si="33">+K65</f>
        <v>5.1986906893931879</v>
      </c>
      <c r="F97" s="1110">
        <f t="shared" si="33"/>
        <v>0</v>
      </c>
      <c r="G97" s="1110">
        <f t="shared" si="33"/>
        <v>3.6162038529268764E-3</v>
      </c>
      <c r="H97" s="1110">
        <f t="shared" si="33"/>
        <v>0.31371975905265359</v>
      </c>
      <c r="I97" s="1110">
        <f t="shared" si="33"/>
        <v>0.14839099904025835</v>
      </c>
      <c r="J97" s="1110">
        <f t="shared" si="33"/>
        <v>2.0430248874606916E-2</v>
      </c>
      <c r="K97" s="1110">
        <f t="shared" si="33"/>
        <v>1.303585765569026E-3</v>
      </c>
      <c r="L97" s="1110">
        <f t="shared" si="33"/>
        <v>3.6102033259842637E-3</v>
      </c>
      <c r="M97" s="1110">
        <f t="shared" si="33"/>
        <v>0.48554768487489663</v>
      </c>
      <c r="N97" s="1110">
        <f t="shared" si="33"/>
        <v>3.995330806246626</v>
      </c>
      <c r="O97" s="1110">
        <f t="shared" si="33"/>
        <v>0</v>
      </c>
      <c r="P97" s="1110">
        <f t="shared" si="33"/>
        <v>1.1304767209823824E-2</v>
      </c>
      <c r="Q97" s="1110">
        <f t="shared" si="33"/>
        <v>0.18686972706006519</v>
      </c>
      <c r="R97" s="1110">
        <f t="shared" si="33"/>
        <v>2.5596401570412739E-2</v>
      </c>
      <c r="S97" s="1110">
        <f t="shared" si="33"/>
        <v>1.0202710225216656E-2</v>
      </c>
      <c r="T97" s="1093"/>
      <c r="U97" s="1093"/>
      <c r="V97" s="1093"/>
      <c r="W97" s="1093"/>
      <c r="X97" s="1093"/>
      <c r="Y97" s="1093"/>
      <c r="Z97" s="1093"/>
      <c r="AA97" s="1093"/>
      <c r="AB97" s="1093"/>
      <c r="AC97" s="1093"/>
      <c r="AD97" s="1093"/>
      <c r="AE97" s="1093"/>
      <c r="AF97" s="1093"/>
      <c r="AG97" s="1093"/>
      <c r="AH97" s="1093"/>
      <c r="AI97" s="1093"/>
      <c r="AJ97" s="1093"/>
      <c r="AK97" s="1093"/>
      <c r="AL97" s="1093"/>
      <c r="AM97" s="1093"/>
      <c r="AN97" s="1093"/>
      <c r="AO97" s="1093"/>
      <c r="AP97" s="1093"/>
      <c r="AQ97" s="1093"/>
      <c r="AR97" s="1093"/>
      <c r="AS97" s="1093"/>
      <c r="AT97" s="1093"/>
      <c r="AU97" s="1093"/>
      <c r="AV97" s="1093"/>
      <c r="AW97" s="1093"/>
      <c r="AX97" s="1093"/>
      <c r="AY97" s="1093"/>
      <c r="AZ97" s="1093"/>
      <c r="BA97" s="1093"/>
      <c r="BB97" s="1093"/>
      <c r="BC97" s="1093"/>
      <c r="BD97" s="1093"/>
      <c r="BE97" s="1093"/>
      <c r="BF97" s="1093"/>
      <c r="BG97" s="1093"/>
      <c r="BH97" s="1093"/>
      <c r="BI97" s="1093"/>
      <c r="BJ97" s="1093"/>
      <c r="BK97" s="1093"/>
      <c r="BL97" s="1093"/>
      <c r="BM97" s="1093"/>
      <c r="BN97" s="1093"/>
      <c r="BO97" s="1093"/>
      <c r="BP97" s="1093"/>
      <c r="BQ97" s="1093"/>
      <c r="BR97" s="1093"/>
      <c r="BS97" s="1093"/>
      <c r="BT97" s="1093"/>
      <c r="BU97" s="1093"/>
    </row>
    <row r="98" spans="1:73" x14ac:dyDescent="0.25">
      <c r="A98" s="1093"/>
      <c r="B98" s="1093"/>
      <c r="C98" s="1093"/>
      <c r="D98" s="1093"/>
      <c r="E98" s="1093"/>
      <c r="F98" s="1093"/>
      <c r="G98" s="1093"/>
      <c r="H98" s="1093"/>
      <c r="I98" s="1093"/>
      <c r="J98" s="1093"/>
      <c r="K98" s="1093"/>
      <c r="L98" s="1093"/>
      <c r="M98" s="1093"/>
      <c r="N98" s="1093"/>
      <c r="O98" s="1093"/>
      <c r="P98" s="1093"/>
      <c r="Q98" s="1093"/>
      <c r="R98" s="1093"/>
      <c r="S98" s="1093"/>
      <c r="T98" s="1093"/>
      <c r="U98" s="1093"/>
      <c r="V98" s="1093"/>
      <c r="W98" s="1093"/>
      <c r="X98" s="1093"/>
      <c r="Y98" s="1093"/>
      <c r="Z98" s="1093"/>
      <c r="AA98" s="1093"/>
      <c r="AB98" s="1093"/>
      <c r="AC98" s="1093"/>
      <c r="AD98" s="1093"/>
      <c r="AE98" s="1093"/>
      <c r="AF98" s="1093"/>
      <c r="AG98" s="1093"/>
      <c r="AH98" s="1093"/>
      <c r="AI98" s="1093"/>
      <c r="AJ98" s="1093"/>
      <c r="AK98" s="1093"/>
      <c r="AL98" s="1093"/>
      <c r="AM98" s="1093"/>
      <c r="AN98" s="1093"/>
      <c r="AO98" s="1093"/>
      <c r="AP98" s="1093"/>
      <c r="AQ98" s="1093"/>
      <c r="AR98" s="1093"/>
      <c r="AS98" s="1093"/>
      <c r="AT98" s="1093"/>
      <c r="AU98" s="1093"/>
      <c r="AV98" s="1093"/>
      <c r="AW98" s="1093"/>
      <c r="AX98" s="1093"/>
      <c r="AY98" s="1093"/>
      <c r="AZ98" s="1093"/>
      <c r="BA98" s="1093"/>
      <c r="BB98" s="1093"/>
      <c r="BC98" s="1093"/>
      <c r="BD98" s="1093"/>
      <c r="BE98" s="1093"/>
      <c r="BF98" s="1093"/>
      <c r="BG98" s="1093"/>
      <c r="BH98" s="1093"/>
      <c r="BI98" s="1093"/>
      <c r="BJ98" s="1093"/>
      <c r="BK98" s="1093"/>
      <c r="BL98" s="1093"/>
      <c r="BM98" s="1093"/>
      <c r="BN98" s="1093"/>
      <c r="BO98" s="1093"/>
      <c r="BP98" s="1093"/>
      <c r="BQ98" s="1093"/>
      <c r="BR98" s="1093"/>
      <c r="BS98" s="1093"/>
      <c r="BT98" s="1093"/>
      <c r="BU98" s="1093"/>
    </row>
    <row r="99" spans="1:73" x14ac:dyDescent="0.25">
      <c r="A99" s="1093"/>
      <c r="B99" s="1093"/>
      <c r="C99" s="1093"/>
      <c r="D99" s="1093"/>
      <c r="E99" s="1093"/>
      <c r="F99" s="1093"/>
      <c r="G99" s="1093"/>
      <c r="H99" s="1093"/>
      <c r="I99" s="1093"/>
      <c r="J99" s="1093"/>
      <c r="K99" s="1093"/>
      <c r="L99" s="1093"/>
      <c r="M99" s="1093"/>
      <c r="N99" s="1093"/>
      <c r="O99" s="1093"/>
      <c r="P99" s="1093"/>
      <c r="Q99" s="1093"/>
      <c r="R99" s="1093"/>
      <c r="S99" s="1093"/>
      <c r="T99" s="1093"/>
      <c r="U99" s="1093"/>
      <c r="V99" s="1093"/>
      <c r="W99" s="1093"/>
      <c r="X99" s="1093"/>
      <c r="Y99" s="1093"/>
      <c r="Z99" s="1093"/>
      <c r="AA99" s="1093"/>
      <c r="AB99" s="1093"/>
      <c r="AC99" s="1093"/>
      <c r="AD99" s="1093"/>
      <c r="AE99" s="1093"/>
      <c r="AF99" s="1093"/>
      <c r="AG99" s="1093"/>
      <c r="AH99" s="1093"/>
      <c r="AI99" s="1093"/>
      <c r="AJ99" s="1093"/>
      <c r="AK99" s="1093"/>
      <c r="AL99" s="1093"/>
      <c r="AM99" s="1093"/>
      <c r="AN99" s="1093"/>
      <c r="AO99" s="1093"/>
      <c r="AP99" s="1093"/>
      <c r="AQ99" s="1093"/>
      <c r="AR99" s="1093"/>
      <c r="AS99" s="1093"/>
      <c r="AT99" s="1093"/>
      <c r="AU99" s="1093"/>
      <c r="AV99" s="1093"/>
      <c r="AW99" s="1093"/>
      <c r="AX99" s="1093"/>
      <c r="AY99" s="1093"/>
      <c r="AZ99" s="1093"/>
      <c r="BA99" s="1093"/>
      <c r="BB99" s="1093"/>
      <c r="BC99" s="1093"/>
      <c r="BD99" s="1093"/>
      <c r="BE99" s="1093"/>
      <c r="BF99" s="1093"/>
      <c r="BG99" s="1093"/>
      <c r="BH99" s="1093"/>
      <c r="BI99" s="1093"/>
      <c r="BJ99" s="1093"/>
      <c r="BK99" s="1093"/>
      <c r="BL99" s="1093"/>
      <c r="BM99" s="1093"/>
      <c r="BN99" s="1093"/>
      <c r="BO99" s="1093"/>
      <c r="BP99" s="1093"/>
      <c r="BQ99" s="1093"/>
      <c r="BR99" s="1093"/>
      <c r="BS99" s="1093"/>
      <c r="BT99" s="1093"/>
      <c r="BU99" s="1093"/>
    </row>
    <row r="100" spans="1:73" ht="26" x14ac:dyDescent="0.3">
      <c r="A100" s="1093"/>
      <c r="B100" s="1095" t="s">
        <v>1148</v>
      </c>
      <c r="C100" s="1116" t="s">
        <v>1147</v>
      </c>
      <c r="D100" s="1" t="s">
        <v>1157</v>
      </c>
      <c r="E100" s="1095" t="s">
        <v>1153</v>
      </c>
      <c r="F100" s="1095" t="s">
        <v>1154</v>
      </c>
      <c r="G100" s="1095" t="s">
        <v>1155</v>
      </c>
      <c r="H100" s="1095" t="s">
        <v>1149</v>
      </c>
      <c r="I100" s="1095" t="s">
        <v>1150</v>
      </c>
      <c r="J100" s="1095" t="s">
        <v>1151</v>
      </c>
      <c r="K100" s="1093"/>
      <c r="L100" s="1095" t="s">
        <v>1156</v>
      </c>
      <c r="M100" s="1104" t="s">
        <v>1159</v>
      </c>
      <c r="N100" s="1104" t="s">
        <v>1142</v>
      </c>
      <c r="O100" s="1093"/>
      <c r="P100" s="1093"/>
      <c r="Q100" s="1093"/>
      <c r="R100" s="1093"/>
      <c r="S100" s="1093"/>
      <c r="T100" s="1093"/>
      <c r="U100" s="1093"/>
      <c r="V100" s="1093"/>
      <c r="W100" s="1093"/>
      <c r="X100" s="1093"/>
      <c r="Y100" s="1093"/>
      <c r="Z100" s="1093"/>
      <c r="AA100" s="1093"/>
      <c r="AB100" s="1093"/>
      <c r="AC100" s="1093"/>
      <c r="AD100" s="1093"/>
      <c r="AE100" s="1093"/>
      <c r="AF100" s="1093"/>
      <c r="AG100" s="1093"/>
      <c r="AH100" s="1093"/>
      <c r="AI100" s="1093"/>
      <c r="AJ100" s="1093"/>
      <c r="AK100" s="1093"/>
      <c r="AL100" s="1093"/>
      <c r="AM100" s="1093"/>
      <c r="AN100" s="1093"/>
      <c r="AO100" s="1093"/>
      <c r="AP100" s="1093"/>
      <c r="AQ100" s="1093"/>
      <c r="AR100" s="1093"/>
      <c r="AS100" s="1093"/>
      <c r="AT100" s="1093"/>
      <c r="AU100" s="1093"/>
      <c r="AV100" s="1093"/>
      <c r="AW100" s="1093"/>
      <c r="AX100" s="1093"/>
      <c r="AY100" s="1093"/>
      <c r="AZ100" s="1093"/>
      <c r="BA100" s="1093"/>
      <c r="BB100" s="1093"/>
      <c r="BC100" s="1093"/>
      <c r="BD100" s="1093"/>
      <c r="BE100" s="1093"/>
      <c r="BF100" s="1093"/>
      <c r="BG100" s="1093"/>
      <c r="BH100" s="1093"/>
      <c r="BI100" s="1093"/>
      <c r="BJ100" s="1093"/>
      <c r="BK100" s="1093"/>
      <c r="BL100" s="1093"/>
      <c r="BM100" s="1093"/>
      <c r="BN100" s="1093"/>
      <c r="BO100" s="1093"/>
      <c r="BP100" s="1093"/>
      <c r="BQ100" s="1093"/>
      <c r="BR100" s="1093"/>
      <c r="BS100" s="1093"/>
      <c r="BT100" s="1093"/>
      <c r="BU100" s="1093"/>
    </row>
    <row r="101" spans="1:73" ht="13" x14ac:dyDescent="0.3">
      <c r="A101" s="1093"/>
      <c r="B101" s="1093"/>
      <c r="C101" s="1117">
        <v>1</v>
      </c>
      <c r="D101" s="1097" t="str">
        <f t="shared" ref="D101:D107" ca="1" si="34">OFFSET(L$100,MATCH($C101,$N$101:$N$107,0),0)</f>
        <v>Feedstock Consumption (% of baseline)
(95%, 100%, 105%)</v>
      </c>
      <c r="E101" s="1192">
        <f t="shared" ref="E101:E107" ca="1" si="35">OFFSET(E$76,MATCH($C101,$N$101:$N$107,0)*3-2,0)</f>
        <v>4.9210838261309968</v>
      </c>
      <c r="F101" s="1192">
        <f t="shared" ref="F101:F107" si="36">+$K$51</f>
        <v>5.175427725657066</v>
      </c>
      <c r="G101" s="1192">
        <f t="shared" ref="G101:G107" ca="1" si="37">OFFSET(E$76,MATCH($C101,$N$101:$N$107,0)*3,0)</f>
        <v>5.4297716251831378</v>
      </c>
      <c r="H101" s="1097">
        <f ca="1">+E101</f>
        <v>4.9210838261309968</v>
      </c>
      <c r="I101" s="1097">
        <f ca="1">+F101-E101</f>
        <v>0.25434389952606917</v>
      </c>
      <c r="J101" s="1097">
        <f ca="1">+G101-F101</f>
        <v>0.25434389952607184</v>
      </c>
      <c r="K101" s="1093"/>
      <c r="L101" s="1097" t="str">
        <f ca="1">+B3&amp;"
("&amp;TEXT(H3,"0%, ")&amp;TEXT(C3,"0%, ")&amp;TEXT(I3,"0%)")</f>
        <v>Operating Capacity Factor
(102%, 97%, 92%)</v>
      </c>
      <c r="M101" s="1107">
        <f>ABS(K52-K53)+0.000000001</f>
        <v>0.11471227412029431</v>
      </c>
      <c r="N101" s="1097">
        <f t="shared" ref="N101:N107" si="38">+RANK(M101,$M$101:$M$107)</f>
        <v>2</v>
      </c>
      <c r="O101" s="1104"/>
      <c r="P101" s="1093"/>
      <c r="Q101" s="1093"/>
      <c r="R101" s="1093"/>
      <c r="S101" s="1093"/>
      <c r="T101" s="1093"/>
      <c r="U101" s="1093"/>
      <c r="V101" s="1093"/>
      <c r="W101" s="1093"/>
      <c r="X101" s="1093"/>
      <c r="Y101" s="1093"/>
      <c r="Z101" s="1093"/>
      <c r="AA101" s="1093"/>
      <c r="AB101" s="1093"/>
      <c r="AC101" s="1093"/>
      <c r="AD101" s="1093"/>
      <c r="AE101" s="1093"/>
      <c r="AF101" s="1093"/>
      <c r="AG101" s="1093"/>
      <c r="AH101" s="1093"/>
      <c r="AI101" s="1093"/>
      <c r="AJ101" s="1093"/>
      <c r="AK101" s="1093"/>
      <c r="AL101" s="1093"/>
      <c r="AM101" s="1093"/>
      <c r="AN101" s="1093"/>
      <c r="AO101" s="1093"/>
      <c r="AP101" s="1093"/>
      <c r="AQ101" s="1093"/>
      <c r="AR101" s="1093"/>
      <c r="AS101" s="1093"/>
      <c r="AT101" s="1093"/>
      <c r="AU101" s="1093"/>
      <c r="AV101" s="1093"/>
      <c r="AW101" s="1093"/>
      <c r="AX101" s="1093"/>
      <c r="AY101" s="1093"/>
      <c r="AZ101" s="1093"/>
      <c r="BA101" s="1093"/>
      <c r="BB101" s="1093"/>
      <c r="BC101" s="1093"/>
      <c r="BD101" s="1093"/>
      <c r="BE101" s="1093"/>
      <c r="BF101" s="1093"/>
      <c r="BG101" s="1093"/>
      <c r="BH101" s="1093"/>
      <c r="BI101" s="1093"/>
      <c r="BJ101" s="1093"/>
      <c r="BK101" s="1093"/>
      <c r="BL101" s="1093"/>
      <c r="BM101" s="1093"/>
      <c r="BN101" s="1093"/>
      <c r="BO101" s="1093"/>
      <c r="BP101" s="1093"/>
      <c r="BQ101" s="1093"/>
      <c r="BR101" s="1093"/>
      <c r="BS101" s="1093"/>
      <c r="BT101" s="1093"/>
      <c r="BU101" s="1093"/>
    </row>
    <row r="102" spans="1:73" ht="13" x14ac:dyDescent="0.3">
      <c r="A102" s="1093"/>
      <c r="B102" s="1093"/>
      <c r="C102" s="1117">
        <v>2</v>
      </c>
      <c r="D102" s="1097" t="str">
        <f t="shared" ca="1" si="34"/>
        <v>Operating Capacity Factor
(102%, 97%, 92%)</v>
      </c>
      <c r="E102" s="1192">
        <f t="shared" ca="1" si="35"/>
        <v>5.1209393959249274</v>
      </c>
      <c r="F102" s="1192">
        <f t="shared" si="36"/>
        <v>5.175427725657066</v>
      </c>
      <c r="G102" s="1192">
        <f t="shared" ca="1" si="37"/>
        <v>5.2356516690452217</v>
      </c>
      <c r="H102" s="1097">
        <f t="shared" ref="H102:H107" ca="1" si="39">+E102</f>
        <v>5.1209393959249274</v>
      </c>
      <c r="I102" s="1097">
        <f t="shared" ref="I102:I107" ca="1" si="40">+F102-E102</f>
        <v>5.4488329732138574E-2</v>
      </c>
      <c r="J102" s="1097">
        <f t="shared" ref="J102:J107" ca="1" si="41">+G102-F102</f>
        <v>6.0223943388155732E-2</v>
      </c>
      <c r="K102" s="1093"/>
      <c r="L102" s="1097" t="str">
        <f ca="1">+B4&amp;"
("&amp;TEXT(H4,"0,000")&amp;", "&amp;TEXT(C4,"0,000")&amp;", "&amp;TEXT(I4,"0,000")&amp;") "</f>
        <v xml:space="preserve">Plant Design Capacity (kg of H2/day)
(52,500, 50,000, 47,500) </v>
      </c>
      <c r="M102" s="1107">
        <f>+ABS(K54-K55)+0.000000002</f>
        <v>3.6358475284072267E-2</v>
      </c>
      <c r="N102" s="1097">
        <f t="shared" si="38"/>
        <v>5</v>
      </c>
      <c r="O102" s="1104"/>
      <c r="P102" s="1093"/>
      <c r="Q102" s="1093"/>
      <c r="R102" s="1093"/>
      <c r="S102" s="1093"/>
      <c r="T102" s="1093"/>
      <c r="U102" s="1093"/>
      <c r="V102" s="1093"/>
      <c r="W102" s="1093"/>
      <c r="X102" s="1093"/>
      <c r="Y102" s="1093"/>
      <c r="Z102" s="1093"/>
      <c r="AA102" s="1093"/>
      <c r="AB102" s="1093"/>
      <c r="AC102" s="1093"/>
      <c r="AD102" s="1093"/>
      <c r="AE102" s="1093"/>
      <c r="AF102" s="1093"/>
      <c r="AG102" s="1093"/>
      <c r="AH102" s="1093"/>
      <c r="AI102" s="1093"/>
      <c r="AJ102" s="1093"/>
      <c r="AK102" s="1093"/>
      <c r="AL102" s="1093"/>
      <c r="AM102" s="1093"/>
      <c r="AN102" s="1093"/>
      <c r="AO102" s="1093"/>
      <c r="AP102" s="1093"/>
      <c r="AQ102" s="1093"/>
      <c r="AR102" s="1093"/>
      <c r="AS102" s="1093"/>
      <c r="AT102" s="1093"/>
      <c r="AU102" s="1093"/>
      <c r="AV102" s="1093"/>
      <c r="AW102" s="1093"/>
      <c r="AX102" s="1093"/>
      <c r="AY102" s="1093"/>
      <c r="AZ102" s="1093"/>
      <c r="BA102" s="1093"/>
      <c r="BB102" s="1093"/>
      <c r="BC102" s="1093"/>
      <c r="BD102" s="1093"/>
      <c r="BE102" s="1093"/>
      <c r="BF102" s="1093"/>
      <c r="BG102" s="1093"/>
      <c r="BH102" s="1093"/>
      <c r="BI102" s="1093"/>
      <c r="BJ102" s="1093"/>
      <c r="BK102" s="1093"/>
      <c r="BL102" s="1093"/>
      <c r="BM102" s="1093"/>
      <c r="BN102" s="1093"/>
      <c r="BO102" s="1093"/>
      <c r="BP102" s="1093"/>
      <c r="BQ102" s="1093"/>
      <c r="BR102" s="1093"/>
      <c r="BS102" s="1093"/>
      <c r="BT102" s="1093"/>
      <c r="BU102" s="1093"/>
    </row>
    <row r="103" spans="1:73" ht="13" x14ac:dyDescent="0.3">
      <c r="A103" s="1093"/>
      <c r="B103" s="1093"/>
      <c r="C103" s="1117">
        <v>3</v>
      </c>
      <c r="D103" s="1097" t="str">
        <f t="shared" ca="1" si="34"/>
        <v xml:space="preserve">Total Capital Investment
($157,545K, $165,837K, $174,129K) </v>
      </c>
      <c r="E103" s="1192">
        <f t="shared" ca="1" si="35"/>
        <v>5.1408006094552849</v>
      </c>
      <c r="F103" s="1192">
        <f t="shared" si="36"/>
        <v>5.175427725657066</v>
      </c>
      <c r="G103" s="1192">
        <f t="shared" ca="1" si="37"/>
        <v>5.2100548418588506</v>
      </c>
      <c r="H103" s="1097">
        <f t="shared" ca="1" si="39"/>
        <v>5.1408006094552849</v>
      </c>
      <c r="I103" s="1097">
        <f t="shared" ca="1" si="40"/>
        <v>3.462711620178105E-2</v>
      </c>
      <c r="J103" s="1097">
        <f t="shared" ca="1" si="41"/>
        <v>3.4627116201784602E-2</v>
      </c>
      <c r="K103" s="1093"/>
      <c r="L103" s="1097" t="str">
        <f ca="1">+B5&amp;"
("&amp;TEXT(H5,"0%, ")&amp;TEXT(C5,"0%, ")&amp;TEXT(I5,"0%)")</f>
        <v>After-tax Real IRR
(8%, 8%, 8%)</v>
      </c>
      <c r="M103" s="1107">
        <f>+ABS(K56-K57)+0.000000003</f>
        <v>2.0233364304955009E-2</v>
      </c>
      <c r="N103" s="1097">
        <f t="shared" si="38"/>
        <v>6</v>
      </c>
      <c r="O103" s="1104"/>
      <c r="P103" s="1093"/>
      <c r="Q103" s="1093"/>
      <c r="R103" s="1093"/>
      <c r="S103" s="1093"/>
      <c r="T103" s="1093"/>
      <c r="U103" s="1093"/>
      <c r="V103" s="1093"/>
      <c r="W103" s="1093"/>
      <c r="X103" s="1093"/>
      <c r="Y103" s="1093"/>
      <c r="Z103" s="1093"/>
      <c r="AA103" s="1093"/>
      <c r="AB103" s="1093"/>
      <c r="AC103" s="1093"/>
      <c r="AD103" s="1093"/>
      <c r="AE103" s="1093"/>
      <c r="AF103" s="1093"/>
      <c r="AG103" s="1093"/>
      <c r="AH103" s="1093"/>
      <c r="AI103" s="1093"/>
      <c r="AJ103" s="1093"/>
      <c r="AK103" s="1093"/>
      <c r="AL103" s="1093"/>
      <c r="AM103" s="1093"/>
      <c r="AN103" s="1093"/>
      <c r="AO103" s="1093"/>
      <c r="AP103" s="1093"/>
      <c r="AQ103" s="1093"/>
      <c r="AR103" s="1093"/>
      <c r="AS103" s="1093"/>
      <c r="AT103" s="1093"/>
      <c r="AU103" s="1093"/>
      <c r="AV103" s="1093"/>
      <c r="AW103" s="1093"/>
      <c r="AX103" s="1093"/>
      <c r="AY103" s="1093"/>
      <c r="AZ103" s="1093"/>
      <c r="BA103" s="1093"/>
      <c r="BB103" s="1093"/>
      <c r="BC103" s="1093"/>
      <c r="BD103" s="1093"/>
      <c r="BE103" s="1093"/>
      <c r="BF103" s="1093"/>
      <c r="BG103" s="1093"/>
      <c r="BH103" s="1093"/>
      <c r="BI103" s="1093"/>
      <c r="BJ103" s="1093"/>
      <c r="BK103" s="1093"/>
      <c r="BL103" s="1093"/>
      <c r="BM103" s="1093"/>
      <c r="BN103" s="1093"/>
      <c r="BO103" s="1093"/>
      <c r="BP103" s="1093"/>
      <c r="BQ103" s="1093"/>
      <c r="BR103" s="1093"/>
      <c r="BS103" s="1093"/>
      <c r="BT103" s="1093"/>
      <c r="BU103" s="1093"/>
    </row>
    <row r="104" spans="1:73" ht="13" x14ac:dyDescent="0.3">
      <c r="A104" s="1093"/>
      <c r="B104" s="1093"/>
      <c r="C104" s="1117">
        <v>4</v>
      </c>
      <c r="D104" s="1097" t="str">
        <f t="shared" ca="1" si="34"/>
        <v xml:space="preserve">Total Fixed Operating Cost
($7,777K, $8,186K, $8,595K) </v>
      </c>
      <c r="E104" s="1192">
        <f t="shared" ca="1" si="35"/>
        <v>5.1521647619209459</v>
      </c>
      <c r="F104" s="1192">
        <f t="shared" si="36"/>
        <v>5.175427725657066</v>
      </c>
      <c r="G104" s="1192">
        <f t="shared" ca="1" si="37"/>
        <v>5.1986906893931879</v>
      </c>
      <c r="H104" s="1097">
        <f t="shared" ca="1" si="39"/>
        <v>5.1521647619209459</v>
      </c>
      <c r="I104" s="1097">
        <f t="shared" ca="1" si="40"/>
        <v>2.3262963736120135E-2</v>
      </c>
      <c r="J104" s="1097">
        <f t="shared" ca="1" si="41"/>
        <v>2.3262963736121911E-2</v>
      </c>
      <c r="K104" s="1093"/>
      <c r="L104" s="1097" t="str">
        <f>+B6&amp;"
("&amp;TEXT(H6,"0%, ")&amp;TEXT(C6,"0%, ")&amp;TEXT(I6,"0%)")</f>
        <v>Feedstock Consumption (% of baseline)
(95%, 100%, 105%)</v>
      </c>
      <c r="M104" s="1107">
        <f>+ABS(K58-K59)+0.000000004</f>
        <v>0.50868780305214101</v>
      </c>
      <c r="N104" s="1097">
        <f t="shared" si="38"/>
        <v>1</v>
      </c>
      <c r="O104" s="1104"/>
      <c r="P104" s="1093"/>
      <c r="Q104" s="1093"/>
      <c r="R104" s="1093"/>
      <c r="S104" s="1093"/>
      <c r="T104" s="1093"/>
      <c r="U104" s="1093"/>
      <c r="V104" s="1093"/>
      <c r="W104" s="1093"/>
      <c r="X104" s="1093"/>
      <c r="Y104" s="1093"/>
      <c r="Z104" s="1093"/>
      <c r="AA104" s="1093"/>
      <c r="AB104" s="1093"/>
      <c r="AC104" s="1093"/>
      <c r="AD104" s="1093"/>
      <c r="AE104" s="1093"/>
      <c r="AF104" s="1093"/>
      <c r="AG104" s="1093"/>
      <c r="AH104" s="1093"/>
      <c r="AI104" s="1093"/>
      <c r="AJ104" s="1093"/>
      <c r="AK104" s="1093"/>
      <c r="AL104" s="1093"/>
      <c r="AM104" s="1093"/>
      <c r="AN104" s="1093"/>
      <c r="AO104" s="1093"/>
      <c r="AP104" s="1093"/>
      <c r="AQ104" s="1093"/>
      <c r="AR104" s="1093"/>
      <c r="AS104" s="1093"/>
      <c r="AT104" s="1093"/>
      <c r="AU104" s="1093"/>
      <c r="AV104" s="1093"/>
      <c r="AW104" s="1093"/>
      <c r="AX104" s="1093"/>
      <c r="AY104" s="1093"/>
      <c r="AZ104" s="1093"/>
      <c r="BA104" s="1093"/>
      <c r="BB104" s="1093"/>
      <c r="BC104" s="1093"/>
      <c r="BD104" s="1093"/>
      <c r="BE104" s="1093"/>
      <c r="BF104" s="1093"/>
      <c r="BG104" s="1093"/>
      <c r="BH104" s="1093"/>
      <c r="BI104" s="1093"/>
      <c r="BJ104" s="1093"/>
      <c r="BK104" s="1093"/>
      <c r="BL104" s="1093"/>
      <c r="BM104" s="1093"/>
      <c r="BN104" s="1093"/>
      <c r="BO104" s="1093"/>
      <c r="BP104" s="1093"/>
      <c r="BQ104" s="1093"/>
      <c r="BR104" s="1093"/>
      <c r="BS104" s="1093"/>
      <c r="BT104" s="1093"/>
      <c r="BU104" s="1093"/>
    </row>
    <row r="105" spans="1:73" ht="13" x14ac:dyDescent="0.3">
      <c r="A105" s="1093"/>
      <c r="B105" s="1093"/>
      <c r="C105" s="1117">
        <v>5</v>
      </c>
      <c r="D105" s="1097" t="str">
        <f t="shared" ca="1" si="34"/>
        <v xml:space="preserve">Plant Design Capacity (kg of H2/day)
(52,500, 50,000, 47,500) </v>
      </c>
      <c r="E105" s="1192">
        <f t="shared" ca="1" si="35"/>
        <v>5.157939904429262</v>
      </c>
      <c r="F105" s="1192">
        <f t="shared" si="36"/>
        <v>5.175427725657066</v>
      </c>
      <c r="G105" s="1192">
        <f t="shared" ca="1" si="37"/>
        <v>5.1942983777133342</v>
      </c>
      <c r="H105" s="1097">
        <f t="shared" ref="H105" ca="1" si="42">+E105</f>
        <v>5.157939904429262</v>
      </c>
      <c r="I105" s="1097">
        <f t="shared" ref="I105" ca="1" si="43">+F105-E105</f>
        <v>1.7487821227804012E-2</v>
      </c>
      <c r="J105" s="1097">
        <f t="shared" ref="J105" ca="1" si="44">+G105-F105</f>
        <v>1.8870652056268256E-2</v>
      </c>
      <c r="K105" s="1093"/>
      <c r="L105" s="1097" t="str">
        <f>+B7&amp;"
("&amp;TEXT(H7,"0%, ")&amp;TEXT(C7,"0%, ")&amp;TEXT(I7,"0%)")</f>
        <v>Utilities Consumption (% of baseline)
(95%, 100%, 105%)</v>
      </c>
      <c r="M105" s="1107">
        <f>+ABS(K60-K61)+0.000000004</f>
        <v>4.0000000000000002E-9</v>
      </c>
      <c r="N105" s="1097">
        <f t="shared" si="38"/>
        <v>7</v>
      </c>
      <c r="O105" s="1104"/>
      <c r="P105" s="1093"/>
      <c r="Q105" s="1093"/>
      <c r="R105" s="1093"/>
      <c r="S105" s="1093"/>
      <c r="T105" s="1093"/>
      <c r="U105" s="1093"/>
      <c r="V105" s="1093"/>
      <c r="W105" s="1093"/>
      <c r="X105" s="1093"/>
      <c r="Y105" s="1093"/>
      <c r="Z105" s="1093"/>
      <c r="AA105" s="1093"/>
      <c r="AB105" s="1093"/>
      <c r="AC105" s="1093"/>
      <c r="AD105" s="1093"/>
      <c r="AE105" s="1093"/>
      <c r="AF105" s="1093"/>
      <c r="AG105" s="1093"/>
      <c r="AH105" s="1093"/>
      <c r="AI105" s="1093"/>
      <c r="AJ105" s="1093"/>
      <c r="AK105" s="1093"/>
      <c r="AL105" s="1093"/>
      <c r="AM105" s="1093"/>
      <c r="AN105" s="1093"/>
      <c r="AO105" s="1093"/>
      <c r="AP105" s="1093"/>
      <c r="AQ105" s="1093"/>
      <c r="AR105" s="1093"/>
      <c r="AS105" s="1093"/>
      <c r="AT105" s="1093"/>
      <c r="AU105" s="1093"/>
      <c r="AV105" s="1093"/>
      <c r="AW105" s="1093"/>
      <c r="AX105" s="1093"/>
      <c r="AY105" s="1093"/>
      <c r="AZ105" s="1093"/>
      <c r="BA105" s="1093"/>
      <c r="BB105" s="1093"/>
      <c r="BC105" s="1093"/>
      <c r="BD105" s="1093"/>
      <c r="BE105" s="1093"/>
      <c r="BF105" s="1093"/>
      <c r="BG105" s="1093"/>
      <c r="BH105" s="1093"/>
      <c r="BI105" s="1093"/>
      <c r="BJ105" s="1093"/>
      <c r="BK105" s="1093"/>
      <c r="BL105" s="1093"/>
      <c r="BM105" s="1093"/>
      <c r="BN105" s="1093"/>
      <c r="BO105" s="1093"/>
      <c r="BP105" s="1093"/>
      <c r="BQ105" s="1093"/>
      <c r="BR105" s="1093"/>
      <c r="BS105" s="1093"/>
      <c r="BT105" s="1093"/>
      <c r="BU105" s="1093"/>
    </row>
    <row r="106" spans="1:73" ht="13" x14ac:dyDescent="0.3">
      <c r="A106" s="1093"/>
      <c r="B106" s="1093"/>
      <c r="C106" s="1117">
        <v>6</v>
      </c>
      <c r="D106" s="1097" t="str">
        <f t="shared" ca="1" si="34"/>
        <v>After-tax Real IRR
(8%, 8%, 8%)</v>
      </c>
      <c r="E106" s="1192">
        <f t="shared" ca="1" si="35"/>
        <v>5.1655554183140211</v>
      </c>
      <c r="F106" s="1192">
        <f t="shared" si="36"/>
        <v>5.175427725657066</v>
      </c>
      <c r="G106" s="1192">
        <f t="shared" ca="1" si="37"/>
        <v>5.1857887796189761</v>
      </c>
      <c r="H106" s="1097">
        <f t="shared" ca="1" si="39"/>
        <v>5.1655554183140211</v>
      </c>
      <c r="I106" s="1097">
        <f t="shared" ca="1" si="40"/>
        <v>9.8723073430448949E-3</v>
      </c>
      <c r="J106" s="1097">
        <f t="shared" ca="1" si="41"/>
        <v>1.0361053961910116E-2</v>
      </c>
      <c r="K106" s="1093"/>
      <c r="L106" s="1097" t="str">
        <f ca="1">+B8&amp;"
("&amp;TEXT(H8/1000,"$0,000K")&amp;", "&amp;TEXT(C8/1000,"$0,000K")&amp;", "&amp;TEXT(I8/1000,"$0,000K")&amp;") "</f>
        <v xml:space="preserve">Total Capital Investment
($157,545K, $165,837K, $174,129K) </v>
      </c>
      <c r="M106" s="1107">
        <f>+ABS(K62-K63)+0.000000006</f>
        <v>6.9254238403565649E-2</v>
      </c>
      <c r="N106" s="1097">
        <f t="shared" si="38"/>
        <v>3</v>
      </c>
      <c r="O106" s="1104"/>
      <c r="P106" s="1093"/>
      <c r="Q106" s="1093"/>
      <c r="R106" s="1093"/>
      <c r="S106" s="1093"/>
      <c r="T106" s="1093"/>
      <c r="U106" s="1093"/>
      <c r="V106" s="1093"/>
      <c r="W106" s="1093"/>
      <c r="X106" s="1093"/>
      <c r="Y106" s="1093"/>
      <c r="Z106" s="1093"/>
      <c r="AA106" s="1093"/>
      <c r="AB106" s="1093"/>
      <c r="AC106" s="1093"/>
      <c r="AD106" s="1093"/>
      <c r="AE106" s="1093"/>
      <c r="AF106" s="1093"/>
      <c r="AG106" s="1093"/>
      <c r="AH106" s="1093"/>
      <c r="AI106" s="1093"/>
      <c r="AJ106" s="1093"/>
      <c r="AK106" s="1093"/>
      <c r="AL106" s="1093"/>
      <c r="AM106" s="1093"/>
      <c r="AN106" s="1093"/>
      <c r="AO106" s="1093"/>
      <c r="AP106" s="1093"/>
      <c r="AQ106" s="1093"/>
      <c r="AR106" s="1093"/>
      <c r="AS106" s="1093"/>
      <c r="AT106" s="1093"/>
      <c r="AU106" s="1093"/>
      <c r="AV106" s="1093"/>
      <c r="AW106" s="1093"/>
      <c r="AX106" s="1093"/>
      <c r="AY106" s="1093"/>
      <c r="AZ106" s="1093"/>
      <c r="BA106" s="1093"/>
      <c r="BB106" s="1093"/>
      <c r="BC106" s="1093"/>
      <c r="BD106" s="1093"/>
      <c r="BE106" s="1093"/>
      <c r="BF106" s="1093"/>
      <c r="BG106" s="1093"/>
      <c r="BH106" s="1093"/>
      <c r="BI106" s="1093"/>
      <c r="BJ106" s="1093"/>
      <c r="BK106" s="1093"/>
      <c r="BL106" s="1093"/>
      <c r="BM106" s="1093"/>
      <c r="BN106" s="1093"/>
      <c r="BO106" s="1093"/>
      <c r="BP106" s="1093"/>
      <c r="BQ106" s="1093"/>
      <c r="BR106" s="1093"/>
      <c r="BS106" s="1093"/>
      <c r="BT106" s="1093"/>
      <c r="BU106" s="1093"/>
    </row>
    <row r="107" spans="1:73" ht="13" x14ac:dyDescent="0.3">
      <c r="A107" s="1093"/>
      <c r="B107" s="1093"/>
      <c r="C107" s="1117">
        <v>7</v>
      </c>
      <c r="D107" s="1097" t="str">
        <f t="shared" ca="1" si="34"/>
        <v>Utilities Consumption (% of baseline)
(95%, 100%, 105%)</v>
      </c>
      <c r="E107" s="1192">
        <f t="shared" ca="1" si="35"/>
        <v>5.175427725657066</v>
      </c>
      <c r="F107" s="1192">
        <f t="shared" si="36"/>
        <v>5.175427725657066</v>
      </c>
      <c r="G107" s="1192">
        <f t="shared" ca="1" si="37"/>
        <v>5.175427725657066</v>
      </c>
      <c r="H107" s="1097">
        <f t="shared" ca="1" si="39"/>
        <v>5.175427725657066</v>
      </c>
      <c r="I107" s="1097">
        <f t="shared" ca="1" si="40"/>
        <v>0</v>
      </c>
      <c r="J107" s="1097">
        <f t="shared" ca="1" si="41"/>
        <v>0</v>
      </c>
      <c r="K107" s="1093"/>
      <c r="L107" s="1097" t="str">
        <f ca="1">+B9&amp;"
("&amp;TEXT(H9/1000,"$0,000K")&amp;", "&amp;TEXT(C9/1000,"$0,000K")&amp;", "&amp;TEXT(I9/1000,"$0,000K")&amp;") "</f>
        <v xml:space="preserve">Total Fixed Operating Cost
($7,777K, $8,186K, $8,595K) </v>
      </c>
      <c r="M107" s="1107">
        <f>+ABS(K64-K65)+0.00000007</f>
        <v>4.6525997472242044E-2</v>
      </c>
      <c r="N107" s="1097">
        <f t="shared" si="38"/>
        <v>4</v>
      </c>
      <c r="O107" s="1104"/>
      <c r="P107" s="1093"/>
      <c r="Q107" s="1093"/>
      <c r="R107" s="1093"/>
      <c r="S107" s="1093"/>
      <c r="T107" s="1093"/>
      <c r="U107" s="1093"/>
      <c r="V107" s="1093"/>
      <c r="W107" s="1093"/>
      <c r="X107" s="1093"/>
      <c r="Y107" s="1093"/>
      <c r="Z107" s="1093"/>
      <c r="AA107" s="1093"/>
      <c r="AB107" s="1093"/>
      <c r="AC107" s="1093"/>
      <c r="AD107" s="1093"/>
      <c r="AE107" s="1093"/>
      <c r="AF107" s="1093"/>
      <c r="AG107" s="1093"/>
      <c r="AH107" s="1093"/>
      <c r="AI107" s="1093"/>
      <c r="AJ107" s="1093"/>
      <c r="AK107" s="1093"/>
      <c r="AL107" s="1093"/>
      <c r="AM107" s="1093"/>
      <c r="AN107" s="1093"/>
      <c r="AO107" s="1093"/>
      <c r="AP107" s="1093"/>
      <c r="AQ107" s="1093"/>
      <c r="AR107" s="1093"/>
      <c r="AS107" s="1093"/>
      <c r="AT107" s="1093"/>
      <c r="AU107" s="1093"/>
      <c r="AV107" s="1093"/>
      <c r="AW107" s="1093"/>
      <c r="AX107" s="1093"/>
      <c r="AY107" s="1093"/>
      <c r="AZ107" s="1093"/>
      <c r="BA107" s="1093"/>
      <c r="BB107" s="1093"/>
      <c r="BC107" s="1093"/>
      <c r="BD107" s="1093"/>
      <c r="BE107" s="1093"/>
      <c r="BF107" s="1093"/>
      <c r="BG107" s="1093"/>
      <c r="BH107" s="1093"/>
      <c r="BI107" s="1093"/>
      <c r="BJ107" s="1093"/>
      <c r="BK107" s="1093"/>
      <c r="BL107" s="1093"/>
      <c r="BM107" s="1093"/>
      <c r="BN107" s="1093"/>
      <c r="BO107" s="1093"/>
      <c r="BP107" s="1093"/>
      <c r="BQ107" s="1093"/>
      <c r="BR107" s="1093"/>
      <c r="BS107" s="1093"/>
      <c r="BT107" s="1093"/>
      <c r="BU107" s="1093"/>
    </row>
    <row r="108" spans="1:73" x14ac:dyDescent="0.25">
      <c r="A108" s="1093"/>
      <c r="B108" s="1093"/>
      <c r="C108" s="1093"/>
      <c r="D108" s="1093"/>
      <c r="E108" s="1093"/>
      <c r="F108" s="1093"/>
      <c r="G108" s="1093"/>
      <c r="H108" s="1093"/>
      <c r="I108" s="1093"/>
      <c r="J108" s="1093"/>
      <c r="K108" s="1093"/>
      <c r="L108" s="1093"/>
      <c r="M108" s="1093"/>
      <c r="N108" s="1093"/>
      <c r="O108" s="1093"/>
      <c r="P108" s="1093"/>
      <c r="Q108" s="1093"/>
      <c r="R108" s="1093"/>
      <c r="S108" s="1093"/>
      <c r="T108" s="1093"/>
      <c r="U108" s="1093"/>
      <c r="V108" s="1093"/>
      <c r="W108" s="1093"/>
      <c r="X108" s="1093"/>
      <c r="Y108" s="1093"/>
      <c r="Z108" s="1093"/>
      <c r="AA108" s="1093"/>
      <c r="AB108" s="1093"/>
      <c r="AC108" s="1093"/>
      <c r="AD108" s="1093"/>
      <c r="AE108" s="1093"/>
      <c r="AF108" s="1093"/>
      <c r="AG108" s="1093"/>
      <c r="AH108" s="1093"/>
      <c r="AI108" s="1093"/>
      <c r="AJ108" s="1093"/>
      <c r="AK108" s="1093"/>
      <c r="AL108" s="1093"/>
      <c r="AM108" s="1093"/>
      <c r="AN108" s="1093"/>
      <c r="AO108" s="1093"/>
      <c r="AP108" s="1093"/>
      <c r="AQ108" s="1093"/>
      <c r="AR108" s="1093"/>
      <c r="AS108" s="1093"/>
      <c r="AT108" s="1093"/>
      <c r="AU108" s="1093"/>
      <c r="AV108" s="1093"/>
      <c r="AW108" s="1093"/>
      <c r="AX108" s="1093"/>
      <c r="AY108" s="1093"/>
      <c r="AZ108" s="1093"/>
      <c r="BA108" s="1093"/>
      <c r="BB108" s="1093"/>
      <c r="BC108" s="1093"/>
      <c r="BD108" s="1093"/>
      <c r="BE108" s="1093"/>
      <c r="BF108" s="1093"/>
      <c r="BG108" s="1093"/>
      <c r="BH108" s="1093"/>
      <c r="BI108" s="1093"/>
      <c r="BJ108" s="1093"/>
      <c r="BK108" s="1093"/>
      <c r="BL108" s="1093"/>
      <c r="BM108" s="1093"/>
      <c r="BN108" s="1093"/>
      <c r="BO108" s="1093"/>
      <c r="BP108" s="1093"/>
      <c r="BQ108" s="1093"/>
      <c r="BR108" s="1093"/>
      <c r="BS108" s="1093"/>
      <c r="BT108" s="1093"/>
      <c r="BU108" s="1093"/>
    </row>
    <row r="109" spans="1:73" x14ac:dyDescent="0.25">
      <c r="A109" s="1093"/>
      <c r="B109" s="1093"/>
      <c r="C109" s="1093"/>
      <c r="D109" s="1093"/>
      <c r="E109" s="1093"/>
      <c r="F109" s="1093"/>
      <c r="G109" s="1093"/>
      <c r="H109" s="1093"/>
      <c r="I109" s="1093"/>
      <c r="J109" s="1093"/>
      <c r="K109" s="1093"/>
      <c r="L109" s="1093"/>
      <c r="M109" s="1093"/>
      <c r="N109" s="1093"/>
      <c r="O109" s="1093"/>
      <c r="P109" s="1093"/>
      <c r="Q109" s="1093"/>
      <c r="R109" s="1093"/>
      <c r="S109" s="1093"/>
      <c r="T109" s="1093"/>
      <c r="U109" s="1093"/>
      <c r="V109" s="1093"/>
      <c r="W109" s="1093"/>
      <c r="X109" s="1093"/>
      <c r="Y109" s="1093"/>
      <c r="Z109" s="1093"/>
      <c r="AA109" s="1093"/>
      <c r="AB109" s="1093"/>
      <c r="AC109" s="1093"/>
      <c r="AD109" s="1093"/>
      <c r="AE109" s="1093"/>
      <c r="AF109" s="1093"/>
      <c r="AG109" s="1093"/>
      <c r="AH109" s="1093"/>
      <c r="AI109" s="1093"/>
      <c r="AJ109" s="1093"/>
      <c r="AK109" s="1093"/>
      <c r="AL109" s="1093"/>
      <c r="AM109" s="1093"/>
      <c r="AN109" s="1093"/>
      <c r="AO109" s="1093"/>
      <c r="AP109" s="1093"/>
      <c r="AQ109" s="1093"/>
      <c r="AR109" s="1093"/>
      <c r="AS109" s="1093"/>
      <c r="AT109" s="1093"/>
      <c r="AU109" s="1093"/>
      <c r="AV109" s="1093"/>
      <c r="AW109" s="1093"/>
      <c r="AX109" s="1093"/>
      <c r="AY109" s="1093"/>
      <c r="AZ109" s="1093"/>
      <c r="BA109" s="1093"/>
      <c r="BB109" s="1093"/>
      <c r="BC109" s="1093"/>
      <c r="BD109" s="1093"/>
      <c r="BE109" s="1093"/>
      <c r="BF109" s="1093"/>
      <c r="BG109" s="1093"/>
      <c r="BH109" s="1093"/>
      <c r="BI109" s="1093"/>
      <c r="BJ109" s="1093"/>
      <c r="BK109" s="1093"/>
      <c r="BL109" s="1093"/>
      <c r="BM109" s="1093"/>
      <c r="BN109" s="1093"/>
      <c r="BO109" s="1093"/>
      <c r="BP109" s="1093"/>
      <c r="BQ109" s="1093"/>
      <c r="BR109" s="1093"/>
      <c r="BS109" s="1093"/>
      <c r="BT109" s="1093"/>
      <c r="BU109" s="1093"/>
    </row>
    <row r="110" spans="1:73" ht="52" x14ac:dyDescent="0.3">
      <c r="A110" s="1093"/>
      <c r="B110" s="1095" t="s">
        <v>1160</v>
      </c>
      <c r="C110" s="1116" t="s">
        <v>1147</v>
      </c>
      <c r="D110" s="1104" t="str">
        <f t="shared" ref="D110:G110" si="45">+D76</f>
        <v>Chart titles</v>
      </c>
      <c r="E110" s="1104" t="s">
        <v>1180</v>
      </c>
      <c r="F110" s="1104" t="s">
        <v>1181</v>
      </c>
      <c r="G110" s="1104" t="str">
        <f t="shared" si="45"/>
        <v>Salvage Value</v>
      </c>
      <c r="H110" s="1104" t="str">
        <f t="shared" ref="H110:S110" si="46">+H76</f>
        <v>Initial Equity Depreciable Capital</v>
      </c>
      <c r="I110" s="1104" t="str">
        <f t="shared" si="46"/>
        <v>Yearly Replacement Costs</v>
      </c>
      <c r="J110" s="1104" t="str">
        <f t="shared" si="46"/>
        <v>Cash for Working Capital Reserve</v>
      </c>
      <c r="K110" s="1104" t="str">
        <f t="shared" si="46"/>
        <v>Other Non-Depreciable Capital Costs</v>
      </c>
      <c r="L110" s="1104" t="str">
        <f t="shared" si="46"/>
        <v>Decommissioning Costs</v>
      </c>
      <c r="M110" s="1104" t="str">
        <f t="shared" si="46"/>
        <v>Fixed Operating Cost</v>
      </c>
      <c r="N110" s="1104" t="str">
        <f t="shared" si="46"/>
        <v>Feedstock Cost</v>
      </c>
      <c r="O110" s="1104" t="str">
        <f t="shared" si="46"/>
        <v>Other Raw Material Cost</v>
      </c>
      <c r="P110" s="1104" t="str">
        <f t="shared" si="46"/>
        <v>Other Variable Operating Costs</v>
      </c>
      <c r="Q110" s="1104" t="str">
        <f t="shared" si="46"/>
        <v>Debt Interest</v>
      </c>
      <c r="R110" s="1104" t="str">
        <f t="shared" si="46"/>
        <v>Taxes</v>
      </c>
      <c r="S110" s="1104" t="str">
        <f t="shared" si="46"/>
        <v>Principal Payment</v>
      </c>
      <c r="T110" s="1093"/>
      <c r="U110" s="1093"/>
      <c r="V110" s="1093"/>
      <c r="W110" s="1093"/>
      <c r="X110" s="1093"/>
      <c r="Y110" s="1093"/>
      <c r="Z110" s="1093"/>
      <c r="AA110" s="1093"/>
      <c r="AB110" s="1093"/>
      <c r="AC110" s="1093"/>
      <c r="AD110" s="1093"/>
      <c r="AE110" s="1093"/>
      <c r="AF110" s="1093"/>
      <c r="AG110" s="1093"/>
      <c r="AH110" s="1093"/>
      <c r="AI110" s="1093"/>
      <c r="AJ110" s="1093"/>
      <c r="AK110" s="1093"/>
      <c r="AL110" s="1093"/>
      <c r="AM110" s="1093"/>
      <c r="AN110" s="1093"/>
      <c r="AO110" s="1093"/>
      <c r="AP110" s="1093"/>
      <c r="AQ110" s="1093"/>
      <c r="AR110" s="1093"/>
      <c r="AS110" s="1093"/>
      <c r="AT110" s="1093"/>
      <c r="AU110" s="1093"/>
      <c r="AV110" s="1093"/>
      <c r="AW110" s="1093"/>
      <c r="AX110" s="1093"/>
      <c r="AY110" s="1093"/>
      <c r="AZ110" s="1093"/>
      <c r="BA110" s="1093"/>
      <c r="BB110" s="1093"/>
      <c r="BC110" s="1093"/>
      <c r="BD110" s="1093"/>
      <c r="BE110" s="1093"/>
      <c r="BF110" s="1093"/>
      <c r="BG110" s="1093"/>
      <c r="BH110" s="1093"/>
      <c r="BI110" s="1093"/>
      <c r="BJ110" s="1093"/>
      <c r="BK110" s="1093"/>
      <c r="BL110" s="1093"/>
      <c r="BM110" s="1093"/>
      <c r="BN110" s="1093"/>
      <c r="BO110" s="1093"/>
      <c r="BP110" s="1093"/>
      <c r="BQ110" s="1093"/>
      <c r="BR110" s="1093"/>
      <c r="BS110" s="1093"/>
      <c r="BT110" s="1093"/>
      <c r="BU110" s="1093"/>
    </row>
    <row r="111" spans="1:73" x14ac:dyDescent="0.25">
      <c r="A111" s="1093"/>
      <c r="B111" s="1093"/>
      <c r="C111" s="1117">
        <v>1</v>
      </c>
      <c r="D111" s="1096" t="s">
        <v>1179</v>
      </c>
      <c r="E111" s="1110">
        <f ca="1">OFFSET(E$76,MATCH($C111,$N$101:$N$107,0)*3-1,0)</f>
        <v>5.175427725657066</v>
      </c>
      <c r="F111" s="1110">
        <f ca="1">OFFSET(F$76,MATCH($C111,$N$101:$N$107,0)*3-1,0)</f>
        <v>0</v>
      </c>
      <c r="G111" s="1110">
        <f ca="1">OFFSET(G$76,MATCH($C111,$N$101:$N$107,0)*3-1,0)</f>
        <v>3.6162038529268764E-3</v>
      </c>
      <c r="H111" s="1097"/>
      <c r="I111" s="1097"/>
      <c r="J111" s="1097"/>
      <c r="K111" s="1097"/>
      <c r="L111" s="1097"/>
      <c r="M111" s="1097"/>
      <c r="N111" s="1097"/>
      <c r="O111" s="1097"/>
      <c r="P111" s="1097"/>
      <c r="Q111" s="1097"/>
      <c r="R111" s="1097"/>
      <c r="S111" s="1097"/>
      <c r="T111" s="1093"/>
      <c r="U111" s="1093"/>
      <c r="V111" s="1093"/>
      <c r="W111" s="1093"/>
      <c r="X111" s="1093"/>
      <c r="Y111" s="1093"/>
      <c r="Z111" s="1093"/>
      <c r="AA111" s="1093"/>
      <c r="AB111" s="1093"/>
      <c r="AC111" s="1093"/>
      <c r="AD111" s="1093"/>
      <c r="AE111" s="1093"/>
      <c r="AF111" s="1093"/>
      <c r="AG111" s="1093"/>
      <c r="AH111" s="1093"/>
      <c r="AI111" s="1093"/>
      <c r="AJ111" s="1093"/>
      <c r="AK111" s="1093"/>
      <c r="AL111" s="1093"/>
      <c r="AM111" s="1093"/>
      <c r="AN111" s="1093"/>
      <c r="AO111" s="1093"/>
      <c r="AP111" s="1093"/>
      <c r="AQ111" s="1093"/>
      <c r="AR111" s="1093"/>
      <c r="AS111" s="1093"/>
      <c r="AT111" s="1093"/>
      <c r="AU111" s="1093"/>
      <c r="AV111" s="1093"/>
      <c r="AW111" s="1093"/>
      <c r="AX111" s="1093"/>
      <c r="AY111" s="1093"/>
      <c r="AZ111" s="1093"/>
      <c r="BA111" s="1093"/>
      <c r="BB111" s="1093"/>
      <c r="BC111" s="1093"/>
      <c r="BD111" s="1093"/>
      <c r="BE111" s="1093"/>
      <c r="BF111" s="1093"/>
      <c r="BG111" s="1093"/>
      <c r="BH111" s="1093"/>
      <c r="BI111" s="1093"/>
      <c r="BJ111" s="1093"/>
      <c r="BK111" s="1093"/>
      <c r="BL111" s="1093"/>
      <c r="BM111" s="1093"/>
      <c r="BN111" s="1093"/>
      <c r="BO111" s="1093"/>
      <c r="BP111" s="1093"/>
      <c r="BQ111" s="1093"/>
      <c r="BR111" s="1093"/>
      <c r="BS111" s="1093"/>
      <c r="BT111" s="1093"/>
      <c r="BU111" s="1093"/>
    </row>
    <row r="112" spans="1:73" ht="13" x14ac:dyDescent="0.3">
      <c r="A112" s="1093"/>
      <c r="B112" s="1095"/>
      <c r="C112" s="1198"/>
      <c r="D112" s="1199"/>
      <c r="E112" s="1200"/>
      <c r="F112" s="1200"/>
      <c r="G112" s="1200"/>
      <c r="H112" s="1110">
        <f t="shared" ref="H112:S112" ca="1" si="47">OFFSET(H$76,MATCH($C111,$N$101:$N$107,0)*3-1,0)</f>
        <v>0.31371975905265359</v>
      </c>
      <c r="I112" s="1110">
        <f t="shared" ca="1" si="47"/>
        <v>0.14839099904025835</v>
      </c>
      <c r="J112" s="1110">
        <f t="shared" ca="1" si="47"/>
        <v>2.0325062994071771E-2</v>
      </c>
      <c r="K112" s="1110">
        <f t="shared" ca="1" si="47"/>
        <v>1.303585765569026E-3</v>
      </c>
      <c r="L112" s="1110">
        <f t="shared" ca="1" si="47"/>
        <v>3.6102033259842637E-3</v>
      </c>
      <c r="M112" s="1110">
        <f t="shared" ca="1" si="47"/>
        <v>0.46242636654752067</v>
      </c>
      <c r="N112" s="1110">
        <f t="shared" ca="1" si="47"/>
        <v>3.995330806246626</v>
      </c>
      <c r="O112" s="1110">
        <f t="shared" ca="1" si="47"/>
        <v>0</v>
      </c>
      <c r="P112" s="1110">
        <f t="shared" ca="1" si="47"/>
        <v>1.1304767209823824E-2</v>
      </c>
      <c r="Q112" s="1110">
        <f t="shared" ca="1" si="47"/>
        <v>0.18686972706006519</v>
      </c>
      <c r="R112" s="1110">
        <f t="shared" ca="1" si="47"/>
        <v>2.5559942042201422E-2</v>
      </c>
      <c r="S112" s="1110">
        <f t="shared" ca="1" si="47"/>
        <v>1.0202710225216656E-2</v>
      </c>
      <c r="T112" s="1093"/>
      <c r="U112" s="1093"/>
      <c r="V112" s="1093"/>
      <c r="W112" s="1093"/>
      <c r="X112" s="1093"/>
      <c r="Y112" s="1093"/>
      <c r="Z112" s="1093"/>
      <c r="AA112" s="1093"/>
      <c r="AB112" s="1093"/>
      <c r="AC112" s="1093"/>
      <c r="AD112" s="1093"/>
      <c r="AE112" s="1093"/>
      <c r="AF112" s="1093"/>
      <c r="AG112" s="1093"/>
      <c r="AH112" s="1093"/>
      <c r="AI112" s="1093"/>
      <c r="AJ112" s="1093"/>
      <c r="AK112" s="1093"/>
      <c r="AL112" s="1093"/>
      <c r="AM112" s="1093"/>
      <c r="AN112" s="1093"/>
      <c r="AO112" s="1093"/>
      <c r="AP112" s="1093"/>
      <c r="AQ112" s="1093"/>
      <c r="AR112" s="1093"/>
      <c r="AS112" s="1093"/>
      <c r="AT112" s="1093"/>
      <c r="AU112" s="1093"/>
      <c r="AV112" s="1093"/>
      <c r="AW112" s="1093"/>
      <c r="AX112" s="1093"/>
      <c r="AY112" s="1093"/>
      <c r="AZ112" s="1093"/>
      <c r="BA112" s="1093"/>
      <c r="BB112" s="1093"/>
      <c r="BC112" s="1093"/>
      <c r="BD112" s="1093"/>
      <c r="BE112" s="1093"/>
      <c r="BF112" s="1093"/>
      <c r="BG112" s="1093"/>
      <c r="BH112" s="1093"/>
      <c r="BI112" s="1093"/>
      <c r="BJ112" s="1093"/>
      <c r="BK112" s="1093"/>
      <c r="BL112" s="1093"/>
      <c r="BM112" s="1093"/>
      <c r="BN112" s="1093"/>
      <c r="BO112" s="1093"/>
      <c r="BP112" s="1093"/>
      <c r="BQ112" s="1093"/>
      <c r="BR112" s="1093"/>
      <c r="BS112" s="1093"/>
      <c r="BT112" s="1093"/>
      <c r="BU112" s="1093"/>
    </row>
    <row r="113" spans="1:73" ht="13" x14ac:dyDescent="0.3">
      <c r="A113" s="1093"/>
      <c r="B113" s="1095"/>
      <c r="C113" s="1198"/>
      <c r="D113" s="1199"/>
      <c r="E113" s="1200"/>
      <c r="F113" s="1200"/>
      <c r="G113" s="1200"/>
      <c r="H113" s="1110"/>
      <c r="I113" s="1110"/>
      <c r="J113" s="1110"/>
      <c r="K113" s="1110"/>
      <c r="L113" s="1110"/>
      <c r="M113" s="1110"/>
      <c r="N113" s="1110"/>
      <c r="O113" s="1110"/>
      <c r="P113" s="1110"/>
      <c r="Q113" s="1110"/>
      <c r="R113" s="1110"/>
      <c r="S113" s="1110"/>
      <c r="T113" s="1093"/>
      <c r="U113" s="1093"/>
      <c r="V113" s="1093"/>
      <c r="W113" s="1093"/>
      <c r="X113" s="1093"/>
      <c r="Y113" s="1093"/>
      <c r="Z113" s="1093"/>
      <c r="AA113" s="1093"/>
      <c r="AB113" s="1093"/>
      <c r="AC113" s="1093"/>
      <c r="AD113" s="1093"/>
      <c r="AE113" s="1093"/>
      <c r="AF113" s="1093"/>
      <c r="AG113" s="1093"/>
      <c r="AH113" s="1093"/>
      <c r="AI113" s="1093"/>
      <c r="AJ113" s="1093"/>
      <c r="AK113" s="1093"/>
      <c r="AL113" s="1093"/>
      <c r="AM113" s="1093"/>
      <c r="AN113" s="1093"/>
      <c r="AO113" s="1093"/>
      <c r="AP113" s="1093"/>
      <c r="AQ113" s="1093"/>
      <c r="AR113" s="1093"/>
      <c r="AS113" s="1093"/>
      <c r="AT113" s="1093"/>
      <c r="AU113" s="1093"/>
      <c r="AV113" s="1093"/>
      <c r="AW113" s="1093"/>
      <c r="AX113" s="1093"/>
      <c r="AY113" s="1093"/>
      <c r="AZ113" s="1093"/>
      <c r="BA113" s="1093"/>
      <c r="BB113" s="1093"/>
      <c r="BC113" s="1093"/>
      <c r="BD113" s="1093"/>
      <c r="BE113" s="1093"/>
      <c r="BF113" s="1093"/>
      <c r="BG113" s="1093"/>
      <c r="BH113" s="1093"/>
      <c r="BI113" s="1093"/>
      <c r="BJ113" s="1093"/>
      <c r="BK113" s="1093"/>
      <c r="BL113" s="1093"/>
      <c r="BM113" s="1093"/>
      <c r="BN113" s="1093"/>
      <c r="BO113" s="1093"/>
      <c r="BP113" s="1093"/>
      <c r="BQ113" s="1093"/>
      <c r="BR113" s="1093"/>
      <c r="BS113" s="1093"/>
      <c r="BT113" s="1093"/>
      <c r="BU113" s="1093"/>
    </row>
    <row r="114" spans="1:73" ht="13" x14ac:dyDescent="0.3">
      <c r="A114" s="1093"/>
      <c r="B114" s="1095"/>
      <c r="C114" s="1198"/>
      <c r="D114" s="1200"/>
      <c r="E114" s="1200"/>
      <c r="F114" s="1200"/>
      <c r="G114" s="1200"/>
      <c r="H114" s="1200"/>
      <c r="I114" s="1200"/>
      <c r="J114" s="1200"/>
      <c r="K114" s="1200"/>
      <c r="L114" s="1200"/>
      <c r="M114" s="1200"/>
      <c r="N114" s="1200"/>
      <c r="O114" s="1200"/>
      <c r="P114" s="1200"/>
      <c r="Q114" s="1200"/>
      <c r="R114" s="1200"/>
      <c r="S114" s="1200"/>
      <c r="T114" s="1093"/>
      <c r="U114" s="1093"/>
      <c r="V114" s="1093"/>
      <c r="W114" s="1093"/>
      <c r="X114" s="1093"/>
      <c r="Y114" s="1093"/>
      <c r="Z114" s="1093"/>
      <c r="AA114" s="1093"/>
      <c r="AB114" s="1093"/>
      <c r="AC114" s="1093"/>
      <c r="AD114" s="1093"/>
      <c r="AE114" s="1093"/>
      <c r="AF114" s="1093"/>
      <c r="AG114" s="1093"/>
      <c r="AH114" s="1093"/>
      <c r="AI114" s="1093"/>
      <c r="AJ114" s="1093"/>
      <c r="AK114" s="1093"/>
      <c r="AL114" s="1093"/>
      <c r="AM114" s="1093"/>
      <c r="AN114" s="1093"/>
      <c r="AO114" s="1093"/>
      <c r="AP114" s="1093"/>
      <c r="AQ114" s="1093"/>
      <c r="AR114" s="1093"/>
      <c r="AS114" s="1093"/>
      <c r="AT114" s="1093"/>
      <c r="AU114" s="1093"/>
      <c r="AV114" s="1093"/>
      <c r="AW114" s="1093"/>
      <c r="AX114" s="1093"/>
      <c r="AY114" s="1093"/>
      <c r="AZ114" s="1093"/>
      <c r="BA114" s="1093"/>
      <c r="BB114" s="1093"/>
      <c r="BC114" s="1093"/>
      <c r="BD114" s="1093"/>
      <c r="BE114" s="1093"/>
      <c r="BF114" s="1093"/>
      <c r="BG114" s="1093"/>
      <c r="BH114" s="1093"/>
      <c r="BI114" s="1093"/>
      <c r="BJ114" s="1093"/>
      <c r="BK114" s="1093"/>
      <c r="BL114" s="1093"/>
      <c r="BM114" s="1093"/>
      <c r="BN114" s="1093"/>
      <c r="BO114" s="1093"/>
      <c r="BP114" s="1093"/>
      <c r="BQ114" s="1093"/>
      <c r="BR114" s="1093"/>
      <c r="BS114" s="1093"/>
      <c r="BT114" s="1093"/>
      <c r="BU114" s="1093"/>
    </row>
    <row r="115" spans="1:73" ht="13" x14ac:dyDescent="0.3">
      <c r="A115" s="1093"/>
      <c r="B115" s="1095"/>
      <c r="C115" s="1117">
        <v>1</v>
      </c>
      <c r="D115" s="1097" t="str">
        <f t="shared" ref="D115:G115" ca="1" si="48">OFFSET(D$76,MATCH($C115,$N$101:$N$107,0)*3-2,0)</f>
        <v>Feedstock Consumption (% of baseline) = 95%</v>
      </c>
      <c r="E115" s="1110">
        <f t="shared" ca="1" si="48"/>
        <v>4.9210838261309968</v>
      </c>
      <c r="F115" s="1110">
        <f t="shared" ca="1" si="48"/>
        <v>0</v>
      </c>
      <c r="G115" s="1110">
        <f t="shared" ca="1" si="48"/>
        <v>3.4356936866276632E-3</v>
      </c>
      <c r="H115" s="1200"/>
      <c r="I115" s="1200"/>
      <c r="J115" s="1200"/>
      <c r="K115" s="1200"/>
      <c r="L115" s="1200"/>
      <c r="M115" s="1200"/>
      <c r="N115" s="1200"/>
      <c r="O115" s="1200"/>
      <c r="P115" s="1200"/>
      <c r="Q115" s="1200"/>
      <c r="R115" s="1200"/>
      <c r="S115" s="1200"/>
      <c r="T115" s="1093"/>
      <c r="U115" s="1093"/>
      <c r="V115" s="1093"/>
      <c r="W115" s="1093"/>
      <c r="X115" s="1093"/>
      <c r="Y115" s="1093"/>
      <c r="Z115" s="1093"/>
      <c r="AA115" s="1093"/>
      <c r="AB115" s="1093"/>
      <c r="AC115" s="1093"/>
      <c r="AD115" s="1093"/>
      <c r="AE115" s="1093"/>
      <c r="AF115" s="1093"/>
      <c r="AG115" s="1093"/>
      <c r="AH115" s="1093"/>
      <c r="AI115" s="1093"/>
      <c r="AJ115" s="1093"/>
      <c r="AK115" s="1093"/>
      <c r="AL115" s="1093"/>
      <c r="AM115" s="1093"/>
      <c r="AN115" s="1093"/>
      <c r="AO115" s="1093"/>
      <c r="AP115" s="1093"/>
      <c r="AQ115" s="1093"/>
      <c r="AR115" s="1093"/>
      <c r="AS115" s="1093"/>
      <c r="AT115" s="1093"/>
      <c r="AU115" s="1093"/>
      <c r="AV115" s="1093"/>
      <c r="AW115" s="1093"/>
      <c r="AX115" s="1093"/>
      <c r="AY115" s="1093"/>
      <c r="AZ115" s="1093"/>
      <c r="BA115" s="1093"/>
      <c r="BB115" s="1093"/>
      <c r="BC115" s="1093"/>
      <c r="BD115" s="1093"/>
      <c r="BE115" s="1093"/>
      <c r="BF115" s="1093"/>
      <c r="BG115" s="1093"/>
      <c r="BH115" s="1093"/>
      <c r="BI115" s="1093"/>
      <c r="BJ115" s="1093"/>
      <c r="BK115" s="1093"/>
      <c r="BL115" s="1093"/>
      <c r="BM115" s="1093"/>
      <c r="BN115" s="1093"/>
      <c r="BO115" s="1093"/>
      <c r="BP115" s="1093"/>
      <c r="BQ115" s="1093"/>
      <c r="BR115" s="1093"/>
      <c r="BS115" s="1093"/>
      <c r="BT115" s="1093"/>
      <c r="BU115" s="1093"/>
    </row>
    <row r="116" spans="1:73" ht="13" x14ac:dyDescent="0.3">
      <c r="A116" s="1093"/>
      <c r="B116" s="1095"/>
      <c r="C116" s="1097"/>
      <c r="D116" s="1097"/>
      <c r="E116" s="1097"/>
      <c r="F116" s="1097"/>
      <c r="G116" s="1097"/>
      <c r="H116" s="1110">
        <f t="shared" ref="H116:S116" ca="1" si="49">OFFSET(H$76,MATCH($C115,$N$101:$N$107,0)*3-2,0)</f>
        <v>0.29803377110002083</v>
      </c>
      <c r="I116" s="1110">
        <f t="shared" ca="1" si="49"/>
        <v>0.14097144908824535</v>
      </c>
      <c r="J116" s="1110">
        <f t="shared" ca="1" si="49"/>
        <v>1.932843366830797E-2</v>
      </c>
      <c r="K116" s="1110">
        <f t="shared" ca="1" si="49"/>
        <v>1.303585765569026E-3</v>
      </c>
      <c r="L116" s="1110">
        <f t="shared" ca="1" si="49"/>
        <v>3.4296931596850505E-3</v>
      </c>
      <c r="M116" s="1110">
        <f t="shared" ca="1" si="49"/>
        <v>0.44305339907717955</v>
      </c>
      <c r="N116" s="1110">
        <f t="shared" ca="1" si="49"/>
        <v>3.7955642659342947</v>
      </c>
      <c r="O116" s="1110">
        <f t="shared" ca="1" si="49"/>
        <v>0</v>
      </c>
      <c r="P116" s="1110">
        <f t="shared" ca="1" si="49"/>
        <v>1.1304767209823824E-2</v>
      </c>
      <c r="Q116" s="1110">
        <f t="shared" ca="1" si="49"/>
        <v>0.17752624070706202</v>
      </c>
      <c r="R116" s="1110">
        <f t="shared" ca="1" si="49"/>
        <v>2.4311339393478341E-2</v>
      </c>
      <c r="S116" s="1110">
        <f t="shared" ca="1" si="49"/>
        <v>9.6925747139558205E-3</v>
      </c>
      <c r="T116" s="1093"/>
      <c r="U116" s="1093"/>
      <c r="V116" s="1093"/>
      <c r="W116" s="1093"/>
      <c r="X116" s="1093"/>
      <c r="Y116" s="1093"/>
      <c r="Z116" s="1093"/>
      <c r="AA116" s="1093"/>
      <c r="AB116" s="1093"/>
      <c r="AC116" s="1093"/>
      <c r="AD116" s="1093"/>
      <c r="AE116" s="1093"/>
      <c r="AF116" s="1093"/>
      <c r="AG116" s="1093"/>
      <c r="AH116" s="1093"/>
      <c r="AI116" s="1093"/>
      <c r="AJ116" s="1093"/>
      <c r="AK116" s="1093"/>
      <c r="AL116" s="1093"/>
      <c r="AM116" s="1093"/>
      <c r="AN116" s="1093"/>
      <c r="AO116" s="1093"/>
      <c r="AP116" s="1093"/>
      <c r="AQ116" s="1093"/>
      <c r="AR116" s="1093"/>
      <c r="AS116" s="1093"/>
      <c r="AT116" s="1093"/>
      <c r="AU116" s="1093"/>
      <c r="AV116" s="1093"/>
      <c r="AW116" s="1093"/>
      <c r="AX116" s="1093"/>
      <c r="AY116" s="1093"/>
      <c r="AZ116" s="1093"/>
      <c r="BA116" s="1093"/>
      <c r="BB116" s="1093"/>
      <c r="BC116" s="1093"/>
      <c r="BD116" s="1093"/>
      <c r="BE116" s="1093"/>
      <c r="BF116" s="1093"/>
      <c r="BG116" s="1093"/>
      <c r="BH116" s="1093"/>
      <c r="BI116" s="1093"/>
      <c r="BJ116" s="1093"/>
      <c r="BK116" s="1093"/>
      <c r="BL116" s="1093"/>
      <c r="BM116" s="1093"/>
      <c r="BN116" s="1093"/>
      <c r="BO116" s="1093"/>
      <c r="BP116" s="1093"/>
      <c r="BQ116" s="1093"/>
      <c r="BR116" s="1093"/>
      <c r="BS116" s="1093"/>
      <c r="BT116" s="1093"/>
      <c r="BU116" s="1093"/>
    </row>
    <row r="117" spans="1:73" ht="13" x14ac:dyDescent="0.3">
      <c r="A117" s="1093"/>
      <c r="B117" s="1095"/>
      <c r="C117" s="1117">
        <v>1</v>
      </c>
      <c r="D117" s="1097" t="str">
        <f t="shared" ref="D117:G117" ca="1" si="50">OFFSET(D$76,MATCH($C117,$N$101:$N$107,0)*3,0)</f>
        <v>Feedstock Consumption (% of baseline) = 105%</v>
      </c>
      <c r="E117" s="1110">
        <f t="shared" ca="1" si="50"/>
        <v>5.4297716251831378</v>
      </c>
      <c r="F117" s="1110">
        <f t="shared" ca="1" si="50"/>
        <v>0</v>
      </c>
      <c r="G117" s="1110">
        <f t="shared" ca="1" si="50"/>
        <v>3.7967140192260895E-3</v>
      </c>
      <c r="H117" s="1097"/>
      <c r="I117" s="1097"/>
      <c r="J117" s="1097"/>
      <c r="K117" s="1097"/>
      <c r="L117" s="1097"/>
      <c r="M117" s="1097"/>
      <c r="N117" s="1097"/>
      <c r="O117" s="1097"/>
      <c r="P117" s="1097"/>
      <c r="Q117" s="1097"/>
      <c r="R117" s="1097"/>
      <c r="S117" s="1097"/>
      <c r="T117" s="1093"/>
      <c r="U117" s="1093"/>
      <c r="V117" s="1093"/>
      <c r="W117" s="1093"/>
      <c r="X117" s="1093"/>
      <c r="Y117" s="1093"/>
      <c r="Z117" s="1093"/>
      <c r="AA117" s="1093"/>
      <c r="AB117" s="1093"/>
      <c r="AC117" s="1093"/>
      <c r="AD117" s="1093"/>
      <c r="AE117" s="1093"/>
      <c r="AF117" s="1093"/>
      <c r="AG117" s="1093"/>
      <c r="AH117" s="1093"/>
      <c r="AI117" s="1093"/>
      <c r="AJ117" s="1093"/>
      <c r="AK117" s="1093"/>
      <c r="AL117" s="1093"/>
      <c r="AM117" s="1093"/>
      <c r="AN117" s="1093"/>
      <c r="AO117" s="1093"/>
      <c r="AP117" s="1093"/>
      <c r="AQ117" s="1093"/>
      <c r="AR117" s="1093"/>
      <c r="AS117" s="1093"/>
      <c r="AT117" s="1093"/>
      <c r="AU117" s="1093"/>
      <c r="AV117" s="1093"/>
      <c r="AW117" s="1093"/>
      <c r="AX117" s="1093"/>
      <c r="AY117" s="1093"/>
      <c r="AZ117" s="1093"/>
      <c r="BA117" s="1093"/>
      <c r="BB117" s="1093"/>
      <c r="BC117" s="1093"/>
      <c r="BD117" s="1093"/>
      <c r="BE117" s="1093"/>
      <c r="BF117" s="1093"/>
      <c r="BG117" s="1093"/>
      <c r="BH117" s="1093"/>
      <c r="BI117" s="1093"/>
      <c r="BJ117" s="1093"/>
      <c r="BK117" s="1093"/>
      <c r="BL117" s="1093"/>
      <c r="BM117" s="1093"/>
      <c r="BN117" s="1093"/>
      <c r="BO117" s="1093"/>
      <c r="BP117" s="1093"/>
      <c r="BQ117" s="1093"/>
      <c r="BR117" s="1093"/>
      <c r="BS117" s="1093"/>
      <c r="BT117" s="1093"/>
      <c r="BU117" s="1093"/>
    </row>
    <row r="118" spans="1:73" ht="13" x14ac:dyDescent="0.3">
      <c r="A118" s="1093"/>
      <c r="B118" s="1095"/>
      <c r="C118" s="1117"/>
      <c r="D118" s="1097"/>
      <c r="E118" s="1110"/>
      <c r="F118" s="1110"/>
      <c r="G118" s="1110"/>
      <c r="H118" s="1110">
        <f t="shared" ref="H118:S118" ca="1" si="51">OFFSET(H$76,MATCH($C117,$N$101:$N$107,0)*3,0)</f>
        <v>0.32940574700528624</v>
      </c>
      <c r="I118" s="1110">
        <f t="shared" ca="1" si="51"/>
        <v>0.15581054899227126</v>
      </c>
      <c r="J118" s="1110">
        <f t="shared" ca="1" si="51"/>
        <v>2.1321692319835554E-2</v>
      </c>
      <c r="K118" s="1110">
        <f t="shared" ca="1" si="51"/>
        <v>1.303585765569026E-3</v>
      </c>
      <c r="L118" s="1110">
        <f t="shared" ca="1" si="51"/>
        <v>3.7907134922834772E-3</v>
      </c>
      <c r="M118" s="1110">
        <f t="shared" ca="1" si="51"/>
        <v>0.4817993340178619</v>
      </c>
      <c r="N118" s="1110">
        <f t="shared" ca="1" si="51"/>
        <v>4.1950973465589581</v>
      </c>
      <c r="O118" s="1110">
        <f t="shared" ca="1" si="51"/>
        <v>0</v>
      </c>
      <c r="P118" s="1110">
        <f t="shared" ca="1" si="51"/>
        <v>1.1304767209823824E-2</v>
      </c>
      <c r="Q118" s="1110">
        <f t="shared" ca="1" si="51"/>
        <v>0.19621321341306847</v>
      </c>
      <c r="R118" s="1110">
        <f t="shared" ca="1" si="51"/>
        <v>2.6808544690925192E-2</v>
      </c>
      <c r="S118" s="1110">
        <f t="shared" ca="1" si="51"/>
        <v>1.0712845736477492E-2</v>
      </c>
      <c r="T118" s="1093"/>
      <c r="U118" s="1093"/>
      <c r="V118" s="1093"/>
      <c r="W118" s="1093"/>
      <c r="X118" s="1093"/>
      <c r="Y118" s="1093"/>
      <c r="Z118" s="1093"/>
      <c r="AA118" s="1093"/>
      <c r="AB118" s="1093"/>
      <c r="AC118" s="1093"/>
      <c r="AD118" s="1093"/>
      <c r="AE118" s="1093"/>
      <c r="AF118" s="1093"/>
      <c r="AG118" s="1093"/>
      <c r="AH118" s="1093"/>
      <c r="AI118" s="1093"/>
      <c r="AJ118" s="1093"/>
      <c r="AK118" s="1093"/>
      <c r="AL118" s="1093"/>
      <c r="AM118" s="1093"/>
      <c r="AN118" s="1093"/>
      <c r="AO118" s="1093"/>
      <c r="AP118" s="1093"/>
      <c r="AQ118" s="1093"/>
      <c r="AR118" s="1093"/>
      <c r="AS118" s="1093"/>
      <c r="AT118" s="1093"/>
      <c r="AU118" s="1093"/>
      <c r="AV118" s="1093"/>
      <c r="AW118" s="1093"/>
      <c r="AX118" s="1093"/>
      <c r="AY118" s="1093"/>
      <c r="AZ118" s="1093"/>
      <c r="BA118" s="1093"/>
      <c r="BB118" s="1093"/>
      <c r="BC118" s="1093"/>
      <c r="BD118" s="1093"/>
      <c r="BE118" s="1093"/>
      <c r="BF118" s="1093"/>
      <c r="BG118" s="1093"/>
      <c r="BH118" s="1093"/>
      <c r="BI118" s="1093"/>
      <c r="BJ118" s="1093"/>
      <c r="BK118" s="1093"/>
      <c r="BL118" s="1093"/>
      <c r="BM118" s="1093"/>
      <c r="BN118" s="1093"/>
      <c r="BO118" s="1093"/>
      <c r="BP118" s="1093"/>
      <c r="BQ118" s="1093"/>
      <c r="BR118" s="1093"/>
      <c r="BS118" s="1093"/>
      <c r="BT118" s="1093"/>
      <c r="BU118" s="1093"/>
    </row>
    <row r="119" spans="1:73" ht="13" x14ac:dyDescent="0.3">
      <c r="A119" s="1093"/>
      <c r="B119" s="1095"/>
      <c r="C119" s="1117"/>
      <c r="D119" s="1097"/>
      <c r="E119" s="1110"/>
      <c r="F119" s="1110"/>
      <c r="G119" s="1110"/>
      <c r="H119" s="1110"/>
      <c r="I119" s="1110"/>
      <c r="J119" s="1110"/>
      <c r="K119" s="1110"/>
      <c r="L119" s="1110"/>
      <c r="M119" s="1110"/>
      <c r="N119" s="1110"/>
      <c r="O119" s="1110"/>
      <c r="P119" s="1110"/>
      <c r="Q119" s="1110"/>
      <c r="R119" s="1110"/>
      <c r="S119" s="1110"/>
      <c r="T119" s="1093"/>
      <c r="U119" s="1093"/>
      <c r="V119" s="1093"/>
      <c r="W119" s="1093"/>
      <c r="X119" s="1093"/>
      <c r="Y119" s="1093"/>
      <c r="Z119" s="1093"/>
      <c r="AA119" s="1093"/>
      <c r="AB119" s="1093"/>
      <c r="AC119" s="1093"/>
      <c r="AD119" s="1093"/>
      <c r="AE119" s="1093"/>
      <c r="AF119" s="1093"/>
      <c r="AG119" s="1093"/>
      <c r="AH119" s="1093"/>
      <c r="AI119" s="1093"/>
      <c r="AJ119" s="1093"/>
      <c r="AK119" s="1093"/>
      <c r="AL119" s="1093"/>
      <c r="AM119" s="1093"/>
      <c r="AN119" s="1093"/>
      <c r="AO119" s="1093"/>
      <c r="AP119" s="1093"/>
      <c r="AQ119" s="1093"/>
      <c r="AR119" s="1093"/>
      <c r="AS119" s="1093"/>
      <c r="AT119" s="1093"/>
      <c r="AU119" s="1093"/>
      <c r="AV119" s="1093"/>
      <c r="AW119" s="1093"/>
      <c r="AX119" s="1093"/>
      <c r="AY119" s="1093"/>
      <c r="AZ119" s="1093"/>
      <c r="BA119" s="1093"/>
      <c r="BB119" s="1093"/>
      <c r="BC119" s="1093"/>
      <c r="BD119" s="1093"/>
      <c r="BE119" s="1093"/>
      <c r="BF119" s="1093"/>
      <c r="BG119" s="1093"/>
      <c r="BH119" s="1093"/>
      <c r="BI119" s="1093"/>
      <c r="BJ119" s="1093"/>
      <c r="BK119" s="1093"/>
      <c r="BL119" s="1093"/>
      <c r="BM119" s="1093"/>
      <c r="BN119" s="1093"/>
      <c r="BO119" s="1093"/>
      <c r="BP119" s="1093"/>
      <c r="BQ119" s="1093"/>
      <c r="BR119" s="1093"/>
      <c r="BS119" s="1093"/>
      <c r="BT119" s="1093"/>
      <c r="BU119" s="1093"/>
    </row>
    <row r="120" spans="1:73" x14ac:dyDescent="0.25">
      <c r="A120" s="1093"/>
      <c r="B120" s="1093"/>
      <c r="C120" s="1117">
        <v>2</v>
      </c>
      <c r="D120" s="1097" t="str">
        <f t="shared" ref="D120:G120" ca="1" si="52">OFFSET(D$76,MATCH($C120,$N$101:$N$107,0)*3-2,0)</f>
        <v>Operating Capacity Factor = 101.85%</v>
      </c>
      <c r="E120" s="1110">
        <f t="shared" ca="1" si="52"/>
        <v>5.1209393959249274</v>
      </c>
      <c r="F120" s="1110">
        <f t="shared" ca="1" si="52"/>
        <v>0</v>
      </c>
      <c r="G120" s="1110">
        <f t="shared" ca="1" si="52"/>
        <v>3.4440036694541676E-3</v>
      </c>
      <c r="H120" s="1110"/>
      <c r="I120" s="1110"/>
      <c r="J120" s="1110"/>
      <c r="K120" s="1110"/>
      <c r="L120" s="1110"/>
      <c r="M120" s="1110"/>
      <c r="N120" s="1110"/>
      <c r="O120" s="1110"/>
      <c r="P120" s="1110"/>
      <c r="Q120" s="1110"/>
      <c r="R120" s="1110"/>
      <c r="S120" s="1110"/>
      <c r="T120" s="1093"/>
      <c r="U120" s="1093"/>
      <c r="V120" s="1093"/>
      <c r="W120" s="1093"/>
      <c r="X120" s="1093"/>
      <c r="Y120" s="1093"/>
      <c r="Z120" s="1093"/>
      <c r="AA120" s="1093"/>
      <c r="AB120" s="1093"/>
      <c r="AC120" s="1093"/>
      <c r="AD120" s="1093"/>
      <c r="AE120" s="1093"/>
      <c r="AF120" s="1093"/>
      <c r="AG120" s="1093"/>
      <c r="AH120" s="1093"/>
      <c r="AI120" s="1093"/>
      <c r="AJ120" s="1093"/>
      <c r="AK120" s="1093"/>
      <c r="AL120" s="1093"/>
      <c r="AM120" s="1093"/>
      <c r="AN120" s="1093"/>
      <c r="AO120" s="1093"/>
      <c r="AP120" s="1093"/>
      <c r="AQ120" s="1093"/>
      <c r="AR120" s="1093"/>
      <c r="AS120" s="1093"/>
      <c r="AT120" s="1093"/>
      <c r="AU120" s="1093"/>
      <c r="AV120" s="1093"/>
      <c r="AW120" s="1093"/>
      <c r="AX120" s="1093"/>
      <c r="AY120" s="1093"/>
      <c r="AZ120" s="1093"/>
      <c r="BA120" s="1093"/>
      <c r="BB120" s="1093"/>
      <c r="BC120" s="1093"/>
      <c r="BD120" s="1093"/>
      <c r="BE120" s="1093"/>
      <c r="BF120" s="1093"/>
      <c r="BG120" s="1093"/>
      <c r="BH120" s="1093"/>
      <c r="BI120" s="1093"/>
      <c r="BJ120" s="1093"/>
      <c r="BK120" s="1093"/>
      <c r="BL120" s="1093"/>
      <c r="BM120" s="1093"/>
      <c r="BN120" s="1093"/>
      <c r="BO120" s="1093"/>
      <c r="BP120" s="1093"/>
      <c r="BQ120" s="1093"/>
      <c r="BR120" s="1093"/>
      <c r="BS120" s="1093"/>
      <c r="BT120" s="1093"/>
      <c r="BU120" s="1093"/>
    </row>
    <row r="121" spans="1:73" x14ac:dyDescent="0.25">
      <c r="A121" s="1093"/>
      <c r="B121" s="1093"/>
      <c r="C121" s="1117"/>
      <c r="D121" s="1097"/>
      <c r="E121" s="1110"/>
      <c r="F121" s="1110"/>
      <c r="G121" s="1110"/>
      <c r="H121" s="1110">
        <f t="shared" ref="H121:S121" ca="1" si="53">OFFSET(H$76,MATCH($C120,$N$101:$N$107,0)*3-2,0)</f>
        <v>0.29878072290728908</v>
      </c>
      <c r="I121" s="1110">
        <f t="shared" ca="1" si="53"/>
        <v>0.14132476099072222</v>
      </c>
      <c r="J121" s="1110">
        <f t="shared" ca="1" si="53"/>
        <v>2.0224885964990669E-2</v>
      </c>
      <c r="K121" s="1110">
        <f t="shared" ca="1" si="53"/>
        <v>1.2415102529228813E-3</v>
      </c>
      <c r="L121" s="1110">
        <f t="shared" ca="1" si="53"/>
        <v>3.4382888818897746E-3</v>
      </c>
      <c r="M121" s="1110">
        <f t="shared" ca="1" si="53"/>
        <v>0.44040606337859101</v>
      </c>
      <c r="N121" s="1110">
        <f t="shared" ca="1" si="53"/>
        <v>3.995330806246626</v>
      </c>
      <c r="O121" s="1110">
        <f t="shared" ca="1" si="53"/>
        <v>0</v>
      </c>
      <c r="P121" s="1110">
        <f t="shared" ca="1" si="53"/>
        <v>1.130476720982382E-2</v>
      </c>
      <c r="Q121" s="1110">
        <f t="shared" ca="1" si="53"/>
        <v>0.17797116862863346</v>
      </c>
      <c r="R121" s="1110">
        <f t="shared" ca="1" si="53"/>
        <v>2.4643558251731382E-2</v>
      </c>
      <c r="S121" s="1110">
        <f t="shared" ca="1" si="53"/>
        <v>9.71686688115872E-3</v>
      </c>
      <c r="T121" s="1093"/>
      <c r="U121" s="1093"/>
      <c r="V121" s="1093"/>
      <c r="W121" s="1093"/>
      <c r="X121" s="1093"/>
      <c r="Y121" s="1093"/>
      <c r="Z121" s="1093"/>
      <c r="AA121" s="1093"/>
      <c r="AB121" s="1093"/>
      <c r="AC121" s="1093"/>
      <c r="AD121" s="1093"/>
      <c r="AE121" s="1093"/>
      <c r="AF121" s="1093"/>
      <c r="AG121" s="1093"/>
      <c r="AH121" s="1093"/>
      <c r="AI121" s="1093"/>
      <c r="AJ121" s="1093"/>
      <c r="AK121" s="1093"/>
      <c r="AL121" s="1093"/>
      <c r="AM121" s="1093"/>
      <c r="AN121" s="1093"/>
      <c r="AO121" s="1093"/>
      <c r="AP121" s="1093"/>
      <c r="AQ121" s="1093"/>
      <c r="AR121" s="1093"/>
      <c r="AS121" s="1093"/>
      <c r="AT121" s="1093"/>
      <c r="AU121" s="1093"/>
      <c r="AV121" s="1093"/>
      <c r="AW121" s="1093"/>
      <c r="AX121" s="1093"/>
      <c r="AY121" s="1093"/>
      <c r="AZ121" s="1093"/>
      <c r="BA121" s="1093"/>
      <c r="BB121" s="1093"/>
      <c r="BC121" s="1093"/>
      <c r="BD121" s="1093"/>
      <c r="BE121" s="1093"/>
      <c r="BF121" s="1093"/>
      <c r="BG121" s="1093"/>
      <c r="BH121" s="1093"/>
      <c r="BI121" s="1093"/>
      <c r="BJ121" s="1093"/>
      <c r="BK121" s="1093"/>
      <c r="BL121" s="1093"/>
      <c r="BM121" s="1093"/>
      <c r="BN121" s="1093"/>
      <c r="BO121" s="1093"/>
      <c r="BP121" s="1093"/>
      <c r="BQ121" s="1093"/>
      <c r="BR121" s="1093"/>
      <c r="BS121" s="1093"/>
      <c r="BT121" s="1093"/>
      <c r="BU121" s="1093"/>
    </row>
    <row r="122" spans="1:73" x14ac:dyDescent="0.25">
      <c r="A122" s="1093"/>
      <c r="B122" s="1093"/>
      <c r="C122" s="1117">
        <v>2</v>
      </c>
      <c r="D122" s="1097" t="str">
        <f t="shared" ref="D122:G122" ca="1" si="54">OFFSET(D$76,MATCH($C122,$N$101:$N$107,0)*3,0)</f>
        <v>Operating Capacity Factor = 92.15%</v>
      </c>
      <c r="E122" s="1110">
        <f t="shared" ca="1" si="54"/>
        <v>5.2356516690452217</v>
      </c>
      <c r="F122" s="1110">
        <f t="shared" ca="1" si="54"/>
        <v>0</v>
      </c>
      <c r="G122" s="1110">
        <f t="shared" ca="1" si="54"/>
        <v>3.8065303715019748E-3</v>
      </c>
      <c r="H122" s="1110"/>
      <c r="I122" s="1110"/>
      <c r="J122" s="1110"/>
      <c r="K122" s="1110"/>
      <c r="L122" s="1110"/>
      <c r="M122" s="1110"/>
      <c r="N122" s="1110"/>
      <c r="O122" s="1110"/>
      <c r="P122" s="1110"/>
      <c r="Q122" s="1110"/>
      <c r="R122" s="1110"/>
      <c r="S122" s="1110"/>
      <c r="T122" s="1093"/>
      <c r="U122" s="1093"/>
      <c r="V122" s="1093"/>
      <c r="W122" s="1093"/>
      <c r="X122" s="1093"/>
      <c r="Y122" s="1093"/>
      <c r="Z122" s="1093"/>
      <c r="AA122" s="1093"/>
      <c r="AB122" s="1093"/>
      <c r="AC122" s="1093"/>
      <c r="AD122" s="1093"/>
      <c r="AE122" s="1093"/>
      <c r="AF122" s="1093"/>
      <c r="AG122" s="1093"/>
      <c r="AH122" s="1093"/>
      <c r="AI122" s="1093"/>
      <c r="AJ122" s="1093"/>
      <c r="AK122" s="1093"/>
      <c r="AL122" s="1093"/>
      <c r="AM122" s="1093"/>
      <c r="AN122" s="1093"/>
      <c r="AO122" s="1093"/>
      <c r="AP122" s="1093"/>
      <c r="AQ122" s="1093"/>
      <c r="AR122" s="1093"/>
      <c r="AS122" s="1093"/>
      <c r="AT122" s="1093"/>
      <c r="AU122" s="1093"/>
      <c r="AV122" s="1093"/>
      <c r="AW122" s="1093"/>
      <c r="AX122" s="1093"/>
      <c r="AY122" s="1093"/>
      <c r="AZ122" s="1093"/>
      <c r="BA122" s="1093"/>
      <c r="BB122" s="1093"/>
      <c r="BC122" s="1093"/>
      <c r="BD122" s="1093"/>
      <c r="BE122" s="1093"/>
      <c r="BF122" s="1093"/>
      <c r="BG122" s="1093"/>
      <c r="BH122" s="1093"/>
      <c r="BI122" s="1093"/>
      <c r="BJ122" s="1093"/>
      <c r="BK122" s="1093"/>
      <c r="BL122" s="1093"/>
      <c r="BM122" s="1093"/>
      <c r="BN122" s="1093"/>
      <c r="BO122" s="1093"/>
      <c r="BP122" s="1093"/>
      <c r="BQ122" s="1093"/>
      <c r="BR122" s="1093"/>
      <c r="BS122" s="1093"/>
      <c r="BT122" s="1093"/>
      <c r="BU122" s="1093"/>
    </row>
    <row r="123" spans="1:73" x14ac:dyDescent="0.25">
      <c r="A123" s="1093"/>
      <c r="B123" s="1093"/>
      <c r="C123" s="1117"/>
      <c r="D123" s="1097"/>
      <c r="E123" s="1110"/>
      <c r="F123" s="1110"/>
      <c r="G123" s="1110"/>
      <c r="H123" s="1110">
        <f t="shared" ref="H123:S123" ca="1" si="55">OFFSET(H$76,MATCH($C122,$N$101:$N$107,0)*3,0)</f>
        <v>0.33023132531858274</v>
      </c>
      <c r="I123" s="1110">
        <f t="shared" ca="1" si="55"/>
        <v>0.15620105162132455</v>
      </c>
      <c r="J123" s="1110">
        <f t="shared" ca="1" si="55"/>
        <v>2.0435784973582456E-2</v>
      </c>
      <c r="K123" s="1110">
        <f t="shared" ca="1" si="55"/>
        <v>1.3721955427042376E-3</v>
      </c>
      <c r="L123" s="1110">
        <f t="shared" ca="1" si="55"/>
        <v>3.8002140273518566E-3</v>
      </c>
      <c r="M123" s="1110">
        <f t="shared" ca="1" si="55"/>
        <v>0.48676459636581115</v>
      </c>
      <c r="N123" s="1110">
        <f t="shared" ca="1" si="55"/>
        <v>3.9953308062466251</v>
      </c>
      <c r="O123" s="1110">
        <f t="shared" ca="1" si="55"/>
        <v>0</v>
      </c>
      <c r="P123" s="1110">
        <f t="shared" ca="1" si="55"/>
        <v>1.1304767209823818E-2</v>
      </c>
      <c r="Q123" s="1110">
        <f t="shared" ca="1" si="55"/>
        <v>0.19670497585270019</v>
      </c>
      <c r="R123" s="1110">
        <f t="shared" ca="1" si="55"/>
        <v>2.6572787284299362E-2</v>
      </c>
      <c r="S123" s="1110">
        <f t="shared" ca="1" si="55"/>
        <v>1.073969497391227E-2</v>
      </c>
      <c r="T123" s="1093"/>
      <c r="U123" s="1093"/>
      <c r="V123" s="1093"/>
      <c r="W123" s="1093"/>
      <c r="X123" s="1093"/>
      <c r="Y123" s="1093"/>
      <c r="Z123" s="1093"/>
      <c r="AA123" s="1093"/>
      <c r="AB123" s="1093"/>
      <c r="AC123" s="1093"/>
      <c r="AD123" s="1093"/>
      <c r="AE123" s="1093"/>
      <c r="AF123" s="1093"/>
      <c r="AG123" s="1093"/>
      <c r="AH123" s="1093"/>
      <c r="AI123" s="1093"/>
      <c r="AJ123" s="1093"/>
      <c r="AK123" s="1093"/>
      <c r="AL123" s="1093"/>
      <c r="AM123" s="1093"/>
      <c r="AN123" s="1093"/>
      <c r="AO123" s="1093"/>
      <c r="AP123" s="1093"/>
      <c r="AQ123" s="1093"/>
      <c r="AR123" s="1093"/>
      <c r="AS123" s="1093"/>
      <c r="AT123" s="1093"/>
      <c r="AU123" s="1093"/>
      <c r="AV123" s="1093"/>
      <c r="AW123" s="1093"/>
      <c r="AX123" s="1093"/>
      <c r="AY123" s="1093"/>
      <c r="AZ123" s="1093"/>
      <c r="BA123" s="1093"/>
      <c r="BB123" s="1093"/>
      <c r="BC123" s="1093"/>
      <c r="BD123" s="1093"/>
      <c r="BE123" s="1093"/>
      <c r="BF123" s="1093"/>
      <c r="BG123" s="1093"/>
      <c r="BH123" s="1093"/>
      <c r="BI123" s="1093"/>
      <c r="BJ123" s="1093"/>
      <c r="BK123" s="1093"/>
      <c r="BL123" s="1093"/>
      <c r="BM123" s="1093"/>
      <c r="BN123" s="1093"/>
      <c r="BO123" s="1093"/>
      <c r="BP123" s="1093"/>
      <c r="BQ123" s="1093"/>
      <c r="BR123" s="1093"/>
      <c r="BS123" s="1093"/>
      <c r="BT123" s="1093"/>
      <c r="BU123" s="1093"/>
    </row>
    <row r="124" spans="1:73" x14ac:dyDescent="0.25">
      <c r="A124" s="1093"/>
      <c r="B124" s="1093"/>
      <c r="C124" s="1117"/>
      <c r="D124" s="1097"/>
      <c r="E124" s="1110"/>
      <c r="F124" s="1110"/>
      <c r="G124" s="1110"/>
      <c r="H124" s="1110"/>
      <c r="I124" s="1110"/>
      <c r="J124" s="1110"/>
      <c r="K124" s="1110"/>
      <c r="L124" s="1110"/>
      <c r="M124" s="1110"/>
      <c r="N124" s="1110"/>
      <c r="O124" s="1110"/>
      <c r="P124" s="1110"/>
      <c r="Q124" s="1110"/>
      <c r="R124" s="1110"/>
      <c r="S124" s="1110"/>
      <c r="T124" s="1093"/>
      <c r="U124" s="1093"/>
      <c r="V124" s="1093"/>
      <c r="W124" s="1093"/>
      <c r="X124" s="1093"/>
      <c r="Y124" s="1093"/>
      <c r="Z124" s="1093"/>
      <c r="AA124" s="1093"/>
      <c r="AB124" s="1093"/>
      <c r="AC124" s="1093"/>
      <c r="AD124" s="1093"/>
      <c r="AE124" s="1093"/>
      <c r="AF124" s="1093"/>
      <c r="AG124" s="1093"/>
      <c r="AH124" s="1093"/>
      <c r="AI124" s="1093"/>
      <c r="AJ124" s="1093"/>
      <c r="AK124" s="1093"/>
      <c r="AL124" s="1093"/>
      <c r="AM124" s="1093"/>
      <c r="AN124" s="1093"/>
      <c r="AO124" s="1093"/>
      <c r="AP124" s="1093"/>
      <c r="AQ124" s="1093"/>
      <c r="AR124" s="1093"/>
      <c r="AS124" s="1093"/>
      <c r="AT124" s="1093"/>
      <c r="AU124" s="1093"/>
      <c r="AV124" s="1093"/>
      <c r="AW124" s="1093"/>
      <c r="AX124" s="1093"/>
      <c r="AY124" s="1093"/>
      <c r="AZ124" s="1093"/>
      <c r="BA124" s="1093"/>
      <c r="BB124" s="1093"/>
      <c r="BC124" s="1093"/>
      <c r="BD124" s="1093"/>
      <c r="BE124" s="1093"/>
      <c r="BF124" s="1093"/>
      <c r="BG124" s="1093"/>
      <c r="BH124" s="1093"/>
      <c r="BI124" s="1093"/>
      <c r="BJ124" s="1093"/>
      <c r="BK124" s="1093"/>
      <c r="BL124" s="1093"/>
      <c r="BM124" s="1093"/>
      <c r="BN124" s="1093"/>
      <c r="BO124" s="1093"/>
      <c r="BP124" s="1093"/>
      <c r="BQ124" s="1093"/>
      <c r="BR124" s="1093"/>
      <c r="BS124" s="1093"/>
      <c r="BT124" s="1093"/>
      <c r="BU124" s="1093"/>
    </row>
    <row r="125" spans="1:73" x14ac:dyDescent="0.25">
      <c r="A125" s="1093"/>
      <c r="B125" s="1093"/>
      <c r="C125" s="1117">
        <v>3</v>
      </c>
      <c r="D125" s="1097" t="str">
        <f t="shared" ref="D125:G125" ca="1" si="56">OFFSET(D$76,MATCH($C125,$N$101:$N$107,0)*3-2,0)</f>
        <v>Total Capital Investment = $157,545K</v>
      </c>
      <c r="E125" s="1110">
        <f t="shared" ca="1" si="56"/>
        <v>5.1408006094552849</v>
      </c>
      <c r="F125" s="1110">
        <f t="shared" ca="1" si="56"/>
        <v>0</v>
      </c>
      <c r="G125" s="1110">
        <f t="shared" ca="1" si="56"/>
        <v>3.4353936602805322E-3</v>
      </c>
      <c r="H125" s="1110"/>
      <c r="I125" s="1110"/>
      <c r="J125" s="1110"/>
      <c r="K125" s="1110"/>
      <c r="L125" s="1110"/>
      <c r="M125" s="1110"/>
      <c r="N125" s="1110"/>
      <c r="O125" s="1110"/>
      <c r="P125" s="1110"/>
      <c r="Q125" s="1110"/>
      <c r="R125" s="1110"/>
      <c r="S125" s="1110"/>
      <c r="T125" s="1093"/>
      <c r="U125" s="1093"/>
      <c r="V125" s="1093"/>
      <c r="W125" s="1093"/>
      <c r="X125" s="1093"/>
      <c r="Y125" s="1093"/>
      <c r="Z125" s="1093"/>
      <c r="AA125" s="1093"/>
      <c r="AB125" s="1093"/>
      <c r="AC125" s="1093"/>
      <c r="AD125" s="1093"/>
      <c r="AE125" s="1093"/>
      <c r="AF125" s="1093"/>
      <c r="AG125" s="1093"/>
      <c r="AH125" s="1093"/>
      <c r="AI125" s="1093"/>
      <c r="AJ125" s="1093"/>
      <c r="AK125" s="1093"/>
      <c r="AL125" s="1093"/>
      <c r="AM125" s="1093"/>
      <c r="AN125" s="1093"/>
      <c r="AO125" s="1093"/>
      <c r="AP125" s="1093"/>
      <c r="AQ125" s="1093"/>
      <c r="AR125" s="1093"/>
      <c r="AS125" s="1093"/>
      <c r="AT125" s="1093"/>
      <c r="AU125" s="1093"/>
      <c r="AV125" s="1093"/>
      <c r="AW125" s="1093"/>
      <c r="AX125" s="1093"/>
      <c r="AY125" s="1093"/>
      <c r="AZ125" s="1093"/>
      <c r="BA125" s="1093"/>
      <c r="BB125" s="1093"/>
      <c r="BC125" s="1093"/>
      <c r="BD125" s="1093"/>
      <c r="BE125" s="1093"/>
      <c r="BF125" s="1093"/>
      <c r="BG125" s="1093"/>
      <c r="BH125" s="1093"/>
      <c r="BI125" s="1093"/>
      <c r="BJ125" s="1093"/>
      <c r="BK125" s="1093"/>
      <c r="BL125" s="1093"/>
      <c r="BM125" s="1093"/>
      <c r="BN125" s="1093"/>
      <c r="BO125" s="1093"/>
      <c r="BP125" s="1093"/>
      <c r="BQ125" s="1093"/>
      <c r="BR125" s="1093"/>
      <c r="BS125" s="1093"/>
      <c r="BT125" s="1093"/>
      <c r="BU125" s="1093"/>
    </row>
    <row r="126" spans="1:73" x14ac:dyDescent="0.25">
      <c r="A126" s="1093"/>
      <c r="B126" s="1093"/>
      <c r="C126" s="1117"/>
      <c r="D126" s="1097"/>
      <c r="E126" s="1110"/>
      <c r="F126" s="1110"/>
      <c r="G126" s="1110"/>
      <c r="H126" s="1110">
        <f t="shared" ref="H126:S126" ca="1" si="57">OFFSET(H$76,MATCH($C125,$N$101:$N$107,0)*3-2,0)</f>
        <v>0.29800769938470956</v>
      </c>
      <c r="I126" s="1110">
        <f t="shared" ca="1" si="57"/>
        <v>0.14839099904025835</v>
      </c>
      <c r="J126" s="1110">
        <f t="shared" ca="1" si="57"/>
        <v>2.0282445070766715E-2</v>
      </c>
      <c r="K126" s="1110">
        <f t="shared" ca="1" si="57"/>
        <v>1.303585765569026E-3</v>
      </c>
      <c r="L126" s="1110">
        <f t="shared" ca="1" si="57"/>
        <v>3.4293931333379203E-3</v>
      </c>
      <c r="M126" s="1110">
        <f t="shared" ca="1" si="57"/>
        <v>0.45305835473667155</v>
      </c>
      <c r="N126" s="1110">
        <f t="shared" ca="1" si="57"/>
        <v>3.995330806246626</v>
      </c>
      <c r="O126" s="1110">
        <f t="shared" ca="1" si="57"/>
        <v>0</v>
      </c>
      <c r="P126" s="1110">
        <f t="shared" ca="1" si="57"/>
        <v>1.1304767209823824E-2</v>
      </c>
      <c r="Q126" s="1110">
        <f t="shared" ca="1" si="57"/>
        <v>0.17751071087770429</v>
      </c>
      <c r="R126" s="1110">
        <f t="shared" ca="1" si="57"/>
        <v>2.5925514833500321E-2</v>
      </c>
      <c r="S126" s="1110">
        <f t="shared" ca="1" si="57"/>
        <v>9.6917268165929073E-3</v>
      </c>
      <c r="T126" s="1093"/>
      <c r="U126" s="1093"/>
      <c r="V126" s="1093"/>
      <c r="W126" s="1093"/>
      <c r="X126" s="1093"/>
      <c r="Y126" s="1093"/>
      <c r="Z126" s="1093"/>
      <c r="AA126" s="1093"/>
      <c r="AB126" s="1093"/>
      <c r="AC126" s="1093"/>
      <c r="AD126" s="1093"/>
      <c r="AE126" s="1093"/>
      <c r="AF126" s="1093"/>
      <c r="AG126" s="1093"/>
      <c r="AH126" s="1093"/>
      <c r="AI126" s="1093"/>
      <c r="AJ126" s="1093"/>
      <c r="AK126" s="1093"/>
      <c r="AL126" s="1093"/>
      <c r="AM126" s="1093"/>
      <c r="AN126" s="1093"/>
      <c r="AO126" s="1093"/>
      <c r="AP126" s="1093"/>
      <c r="AQ126" s="1093"/>
      <c r="AR126" s="1093"/>
      <c r="AS126" s="1093"/>
      <c r="AT126" s="1093"/>
      <c r="AU126" s="1093"/>
      <c r="AV126" s="1093"/>
      <c r="AW126" s="1093"/>
      <c r="AX126" s="1093"/>
      <c r="AY126" s="1093"/>
      <c r="AZ126" s="1093"/>
      <c r="BA126" s="1093"/>
      <c r="BB126" s="1093"/>
      <c r="BC126" s="1093"/>
      <c r="BD126" s="1093"/>
      <c r="BE126" s="1093"/>
      <c r="BF126" s="1093"/>
      <c r="BG126" s="1093"/>
      <c r="BH126" s="1093"/>
      <c r="BI126" s="1093"/>
      <c r="BJ126" s="1093"/>
      <c r="BK126" s="1093"/>
      <c r="BL126" s="1093"/>
      <c r="BM126" s="1093"/>
      <c r="BN126" s="1093"/>
      <c r="BO126" s="1093"/>
      <c r="BP126" s="1093"/>
      <c r="BQ126" s="1093"/>
      <c r="BR126" s="1093"/>
      <c r="BS126" s="1093"/>
      <c r="BT126" s="1093"/>
      <c r="BU126" s="1093"/>
    </row>
    <row r="127" spans="1:73" x14ac:dyDescent="0.25">
      <c r="A127" s="1093"/>
      <c r="B127" s="1093"/>
      <c r="C127" s="1117">
        <v>3</v>
      </c>
      <c r="D127" s="1097" t="str">
        <f t="shared" ref="D127:G127" ca="1" si="58">OFFSET(D$76,MATCH($C127,$N$101:$N$107,0)*3,0)</f>
        <v>Total Capital Investment = $174,129K</v>
      </c>
      <c r="E127" s="1110">
        <f t="shared" ca="1" si="58"/>
        <v>5.2100548418588506</v>
      </c>
      <c r="F127" s="1110">
        <f t="shared" ca="1" si="58"/>
        <v>0</v>
      </c>
      <c r="G127" s="1110">
        <f t="shared" ca="1" si="58"/>
        <v>3.7970140455732197E-3</v>
      </c>
      <c r="H127" s="1110"/>
      <c r="I127" s="1110"/>
      <c r="J127" s="1110"/>
      <c r="K127" s="1110"/>
      <c r="L127" s="1110"/>
      <c r="M127" s="1110"/>
      <c r="N127" s="1110"/>
      <c r="O127" s="1110"/>
      <c r="P127" s="1110"/>
      <c r="Q127" s="1110"/>
      <c r="R127" s="1110"/>
      <c r="S127" s="1110"/>
      <c r="T127" s="1093"/>
      <c r="U127" s="1093"/>
      <c r="V127" s="1093"/>
      <c r="W127" s="1093"/>
      <c r="X127" s="1093"/>
      <c r="Y127" s="1093"/>
      <c r="Z127" s="1093"/>
      <c r="AA127" s="1093"/>
      <c r="AB127" s="1093"/>
      <c r="AC127" s="1093"/>
      <c r="AD127" s="1093"/>
      <c r="AE127" s="1093"/>
      <c r="AF127" s="1093"/>
      <c r="AG127" s="1093"/>
      <c r="AH127" s="1093"/>
      <c r="AI127" s="1093"/>
      <c r="AJ127" s="1093"/>
      <c r="AK127" s="1093"/>
      <c r="AL127" s="1093"/>
      <c r="AM127" s="1093"/>
      <c r="AN127" s="1093"/>
      <c r="AO127" s="1093"/>
      <c r="AP127" s="1093"/>
      <c r="AQ127" s="1093"/>
      <c r="AR127" s="1093"/>
      <c r="AS127" s="1093"/>
      <c r="AT127" s="1093"/>
      <c r="AU127" s="1093"/>
      <c r="AV127" s="1093"/>
      <c r="AW127" s="1093"/>
      <c r="AX127" s="1093"/>
      <c r="AY127" s="1093"/>
      <c r="AZ127" s="1093"/>
      <c r="BA127" s="1093"/>
      <c r="BB127" s="1093"/>
      <c r="BC127" s="1093"/>
      <c r="BD127" s="1093"/>
      <c r="BE127" s="1093"/>
      <c r="BF127" s="1093"/>
      <c r="BG127" s="1093"/>
      <c r="BH127" s="1093"/>
      <c r="BI127" s="1093"/>
      <c r="BJ127" s="1093"/>
      <c r="BK127" s="1093"/>
      <c r="BL127" s="1093"/>
      <c r="BM127" s="1093"/>
      <c r="BN127" s="1093"/>
      <c r="BO127" s="1093"/>
      <c r="BP127" s="1093"/>
      <c r="BQ127" s="1093"/>
      <c r="BR127" s="1093"/>
      <c r="BS127" s="1093"/>
      <c r="BT127" s="1093"/>
      <c r="BU127" s="1093"/>
    </row>
    <row r="128" spans="1:73" x14ac:dyDescent="0.25">
      <c r="A128" s="1093"/>
      <c r="B128" s="1093"/>
      <c r="C128" s="1117"/>
      <c r="D128" s="1097"/>
      <c r="E128" s="1110"/>
      <c r="F128" s="1110"/>
      <c r="G128" s="1110"/>
      <c r="H128" s="1110">
        <f t="shared" ref="H128:S128" ca="1" si="59">OFFSET(H$76,MATCH($C127,$N$101:$N$107,0)*3,0)</f>
        <v>0.32943181872059774</v>
      </c>
      <c r="I128" s="1110">
        <f t="shared" ca="1" si="59"/>
        <v>0.14839099904025835</v>
      </c>
      <c r="J128" s="1110">
        <f t="shared" ca="1" si="59"/>
        <v>2.036768091737683E-2</v>
      </c>
      <c r="K128" s="1110">
        <f t="shared" ca="1" si="59"/>
        <v>1.303585765569026E-3</v>
      </c>
      <c r="L128" s="1110">
        <f t="shared" ca="1" si="59"/>
        <v>3.7910135186306091E-3</v>
      </c>
      <c r="M128" s="1110">
        <f t="shared" ca="1" si="59"/>
        <v>0.47179437835836985</v>
      </c>
      <c r="N128" s="1110">
        <f t="shared" ca="1" si="59"/>
        <v>3.995330806246626</v>
      </c>
      <c r="O128" s="1110">
        <f t="shared" ca="1" si="59"/>
        <v>0</v>
      </c>
      <c r="P128" s="1110">
        <f t="shared" ca="1" si="59"/>
        <v>1.1304767209823824E-2</v>
      </c>
      <c r="Q128" s="1110">
        <f t="shared" ca="1" si="59"/>
        <v>0.19622874324242617</v>
      </c>
      <c r="R128" s="1110">
        <f t="shared" ca="1" si="59"/>
        <v>2.5194369250902238E-2</v>
      </c>
      <c r="S128" s="1110">
        <f t="shared" ca="1" si="59"/>
        <v>1.0713693633840411E-2</v>
      </c>
      <c r="T128" s="1093"/>
      <c r="U128" s="1093"/>
      <c r="V128" s="1093"/>
      <c r="W128" s="1093"/>
      <c r="X128" s="1093"/>
      <c r="Y128" s="1093"/>
      <c r="Z128" s="1093"/>
      <c r="AA128" s="1093"/>
      <c r="AB128" s="1093"/>
      <c r="AC128" s="1093"/>
      <c r="AD128" s="1093"/>
      <c r="AE128" s="1093"/>
      <c r="AF128" s="1093"/>
      <c r="AG128" s="1093"/>
      <c r="AH128" s="1093"/>
      <c r="AI128" s="1093"/>
      <c r="AJ128" s="1093"/>
      <c r="AK128" s="1093"/>
      <c r="AL128" s="1093"/>
      <c r="AM128" s="1093"/>
      <c r="AN128" s="1093"/>
      <c r="AO128" s="1093"/>
      <c r="AP128" s="1093"/>
      <c r="AQ128" s="1093"/>
      <c r="AR128" s="1093"/>
      <c r="AS128" s="1093"/>
      <c r="AT128" s="1093"/>
      <c r="AU128" s="1093"/>
      <c r="AV128" s="1093"/>
      <c r="AW128" s="1093"/>
      <c r="AX128" s="1093"/>
      <c r="AY128" s="1093"/>
      <c r="AZ128" s="1093"/>
      <c r="BA128" s="1093"/>
      <c r="BB128" s="1093"/>
      <c r="BC128" s="1093"/>
      <c r="BD128" s="1093"/>
      <c r="BE128" s="1093"/>
      <c r="BF128" s="1093"/>
      <c r="BG128" s="1093"/>
      <c r="BH128" s="1093"/>
      <c r="BI128" s="1093"/>
      <c r="BJ128" s="1093"/>
      <c r="BK128" s="1093"/>
      <c r="BL128" s="1093"/>
      <c r="BM128" s="1093"/>
      <c r="BN128" s="1093"/>
      <c r="BO128" s="1093"/>
      <c r="BP128" s="1093"/>
      <c r="BQ128" s="1093"/>
      <c r="BR128" s="1093"/>
      <c r="BS128" s="1093"/>
      <c r="BT128" s="1093"/>
      <c r="BU128" s="1093"/>
    </row>
    <row r="129" spans="1:73" x14ac:dyDescent="0.25">
      <c r="A129" s="1093"/>
      <c r="B129" s="1093"/>
      <c r="C129" s="1117"/>
      <c r="D129" s="1097"/>
      <c r="E129" s="1110"/>
      <c r="F129" s="1110"/>
      <c r="G129" s="1110"/>
      <c r="H129" s="1110"/>
      <c r="I129" s="1110"/>
      <c r="J129" s="1110"/>
      <c r="K129" s="1110"/>
      <c r="L129" s="1110"/>
      <c r="M129" s="1110"/>
      <c r="N129" s="1110"/>
      <c r="O129" s="1110"/>
      <c r="P129" s="1110"/>
      <c r="Q129" s="1110"/>
      <c r="R129" s="1110"/>
      <c r="S129" s="1110"/>
      <c r="T129" s="1093"/>
      <c r="U129" s="1093"/>
      <c r="V129" s="1093"/>
      <c r="W129" s="1093"/>
      <c r="X129" s="1093"/>
      <c r="Y129" s="1093"/>
      <c r="Z129" s="1093"/>
      <c r="AA129" s="1093"/>
      <c r="AB129" s="1093"/>
      <c r="AC129" s="1093"/>
      <c r="AD129" s="1093"/>
      <c r="AE129" s="1093"/>
      <c r="AF129" s="1093"/>
      <c r="AG129" s="1093"/>
      <c r="AH129" s="1093"/>
      <c r="AI129" s="1093"/>
      <c r="AJ129" s="1093"/>
      <c r="AK129" s="1093"/>
      <c r="AL129" s="1093"/>
      <c r="AM129" s="1093"/>
      <c r="AN129" s="1093"/>
      <c r="AO129" s="1093"/>
      <c r="AP129" s="1093"/>
      <c r="AQ129" s="1093"/>
      <c r="AR129" s="1093"/>
      <c r="AS129" s="1093"/>
      <c r="AT129" s="1093"/>
      <c r="AU129" s="1093"/>
      <c r="AV129" s="1093"/>
      <c r="AW129" s="1093"/>
      <c r="AX129" s="1093"/>
      <c r="AY129" s="1093"/>
      <c r="AZ129" s="1093"/>
      <c r="BA129" s="1093"/>
      <c r="BB129" s="1093"/>
      <c r="BC129" s="1093"/>
      <c r="BD129" s="1093"/>
      <c r="BE129" s="1093"/>
      <c r="BF129" s="1093"/>
      <c r="BG129" s="1093"/>
      <c r="BH129" s="1093"/>
      <c r="BI129" s="1093"/>
      <c r="BJ129" s="1093"/>
      <c r="BK129" s="1093"/>
      <c r="BL129" s="1093"/>
      <c r="BM129" s="1093"/>
      <c r="BN129" s="1093"/>
      <c r="BO129" s="1093"/>
      <c r="BP129" s="1093"/>
      <c r="BQ129" s="1093"/>
      <c r="BR129" s="1093"/>
      <c r="BS129" s="1093"/>
      <c r="BT129" s="1093"/>
      <c r="BU129" s="1093"/>
    </row>
    <row r="130" spans="1:73" x14ac:dyDescent="0.25">
      <c r="A130" s="1093"/>
      <c r="B130" s="1093"/>
      <c r="C130" s="1117">
        <v>4</v>
      </c>
      <c r="D130" s="1097" t="str">
        <f t="shared" ref="D130:G130" ca="1" si="60">OFFSET(D$76,MATCH($C130,$N$101:$N$107,0)*3-2,0)</f>
        <v>Total Fixed Operating Cost = $7,777K</v>
      </c>
      <c r="E130" s="1110">
        <f t="shared" ca="1" si="60"/>
        <v>5.1521647619209459</v>
      </c>
      <c r="F130" s="1110">
        <f t="shared" ca="1" si="60"/>
        <v>0</v>
      </c>
      <c r="G130" s="1110">
        <f t="shared" ca="1" si="60"/>
        <v>3.6162038529268764E-3</v>
      </c>
      <c r="H130" s="1110"/>
      <c r="I130" s="1110"/>
      <c r="J130" s="1110"/>
      <c r="K130" s="1110"/>
      <c r="L130" s="1110"/>
      <c r="M130" s="1110"/>
      <c r="N130" s="1110"/>
      <c r="O130" s="1110"/>
      <c r="P130" s="1110"/>
      <c r="Q130" s="1110"/>
      <c r="R130" s="1110"/>
      <c r="S130" s="1110"/>
      <c r="T130" s="1093"/>
      <c r="U130" s="1093"/>
      <c r="V130" s="1093"/>
      <c r="W130" s="1093"/>
      <c r="X130" s="1093"/>
      <c r="Y130" s="1093"/>
      <c r="Z130" s="1093"/>
      <c r="AA130" s="1093"/>
      <c r="AB130" s="1093"/>
      <c r="AC130" s="1093"/>
      <c r="AD130" s="1093"/>
      <c r="AE130" s="1093"/>
      <c r="AF130" s="1093"/>
      <c r="AG130" s="1093"/>
      <c r="AH130" s="1093"/>
      <c r="AI130" s="1093"/>
      <c r="AJ130" s="1093"/>
      <c r="AK130" s="1093"/>
      <c r="AL130" s="1093"/>
      <c r="AM130" s="1093"/>
      <c r="AN130" s="1093"/>
      <c r="AO130" s="1093"/>
      <c r="AP130" s="1093"/>
      <c r="AQ130" s="1093"/>
      <c r="AR130" s="1093"/>
      <c r="AS130" s="1093"/>
      <c r="AT130" s="1093"/>
      <c r="AU130" s="1093"/>
      <c r="AV130" s="1093"/>
      <c r="AW130" s="1093"/>
      <c r="AX130" s="1093"/>
      <c r="AY130" s="1093"/>
      <c r="AZ130" s="1093"/>
      <c r="BA130" s="1093"/>
      <c r="BB130" s="1093"/>
      <c r="BC130" s="1093"/>
      <c r="BD130" s="1093"/>
      <c r="BE130" s="1093"/>
      <c r="BF130" s="1093"/>
      <c r="BG130" s="1093"/>
      <c r="BH130" s="1093"/>
      <c r="BI130" s="1093"/>
      <c r="BJ130" s="1093"/>
      <c r="BK130" s="1093"/>
      <c r="BL130" s="1093"/>
      <c r="BM130" s="1093"/>
      <c r="BN130" s="1093"/>
      <c r="BO130" s="1093"/>
      <c r="BP130" s="1093"/>
      <c r="BQ130" s="1093"/>
      <c r="BR130" s="1093"/>
      <c r="BS130" s="1093"/>
      <c r="BT130" s="1093"/>
      <c r="BU130" s="1093"/>
    </row>
    <row r="131" spans="1:73" x14ac:dyDescent="0.25">
      <c r="A131" s="1093"/>
      <c r="B131" s="1093"/>
      <c r="C131" s="1117"/>
      <c r="D131" s="1097"/>
      <c r="E131" s="1110"/>
      <c r="F131" s="1110"/>
      <c r="G131" s="1110"/>
      <c r="H131" s="1110">
        <f t="shared" ref="H131:S131" ca="1" si="61">OFFSET(H$76,MATCH($C130,$N$101:$N$107,0)*3-2,0)</f>
        <v>0.31371975905265359</v>
      </c>
      <c r="I131" s="1110">
        <f t="shared" ca="1" si="61"/>
        <v>0.14839099904025835</v>
      </c>
      <c r="J131" s="1110">
        <f t="shared" ca="1" si="61"/>
        <v>2.0219877113536608E-2</v>
      </c>
      <c r="K131" s="1110">
        <f t="shared" ca="1" si="61"/>
        <v>1.303585765569026E-3</v>
      </c>
      <c r="L131" s="1110">
        <f t="shared" ca="1" si="61"/>
        <v>3.6102033259842637E-3</v>
      </c>
      <c r="M131" s="1110">
        <f t="shared" ca="1" si="61"/>
        <v>0.43930504822014471</v>
      </c>
      <c r="N131" s="1110">
        <f t="shared" ca="1" si="61"/>
        <v>3.995330806246626</v>
      </c>
      <c r="O131" s="1110">
        <f t="shared" ca="1" si="61"/>
        <v>0</v>
      </c>
      <c r="P131" s="1110">
        <f t="shared" ca="1" si="61"/>
        <v>1.1304767209823824E-2</v>
      </c>
      <c r="Q131" s="1110">
        <f t="shared" ca="1" si="61"/>
        <v>0.18686972706006519</v>
      </c>
      <c r="R131" s="1110">
        <f t="shared" ca="1" si="61"/>
        <v>2.5523482513989962E-2</v>
      </c>
      <c r="S131" s="1110">
        <f t="shared" ca="1" si="61"/>
        <v>1.0202710225216656E-2</v>
      </c>
      <c r="T131" s="1093"/>
      <c r="U131" s="1093"/>
      <c r="V131" s="1093"/>
      <c r="W131" s="1093"/>
      <c r="X131" s="1093"/>
      <c r="Y131" s="1093"/>
      <c r="Z131" s="1093"/>
      <c r="AA131" s="1093"/>
      <c r="AB131" s="1093"/>
      <c r="AC131" s="1093"/>
      <c r="AD131" s="1093"/>
      <c r="AE131" s="1093"/>
      <c r="AF131" s="1093"/>
      <c r="AG131" s="1093"/>
      <c r="AH131" s="1093"/>
      <c r="AI131" s="1093"/>
      <c r="AJ131" s="1093"/>
      <c r="AK131" s="1093"/>
      <c r="AL131" s="1093"/>
      <c r="AM131" s="1093"/>
      <c r="AN131" s="1093"/>
      <c r="AO131" s="1093"/>
      <c r="AP131" s="1093"/>
      <c r="AQ131" s="1093"/>
      <c r="AR131" s="1093"/>
      <c r="AS131" s="1093"/>
      <c r="AT131" s="1093"/>
      <c r="AU131" s="1093"/>
      <c r="AV131" s="1093"/>
      <c r="AW131" s="1093"/>
      <c r="AX131" s="1093"/>
      <c r="AY131" s="1093"/>
      <c r="AZ131" s="1093"/>
      <c r="BA131" s="1093"/>
      <c r="BB131" s="1093"/>
      <c r="BC131" s="1093"/>
      <c r="BD131" s="1093"/>
      <c r="BE131" s="1093"/>
      <c r="BF131" s="1093"/>
      <c r="BG131" s="1093"/>
      <c r="BH131" s="1093"/>
      <c r="BI131" s="1093"/>
      <c r="BJ131" s="1093"/>
      <c r="BK131" s="1093"/>
      <c r="BL131" s="1093"/>
      <c r="BM131" s="1093"/>
      <c r="BN131" s="1093"/>
      <c r="BO131" s="1093"/>
      <c r="BP131" s="1093"/>
      <c r="BQ131" s="1093"/>
      <c r="BR131" s="1093"/>
      <c r="BS131" s="1093"/>
      <c r="BT131" s="1093"/>
      <c r="BU131" s="1093"/>
    </row>
    <row r="132" spans="1:73" x14ac:dyDescent="0.25">
      <c r="A132" s="1093"/>
      <c r="B132" s="1093"/>
      <c r="C132" s="1117">
        <v>4</v>
      </c>
      <c r="D132" s="1097" t="str">
        <f t="shared" ref="D132:G132" ca="1" si="62">OFFSET(D$76,MATCH($C132,$N$101:$N$107,0)*3,0)</f>
        <v>Total Fixed Operating Cost = $8,595K</v>
      </c>
      <c r="E132" s="1110">
        <f t="shared" ca="1" si="62"/>
        <v>5.1986906893931879</v>
      </c>
      <c r="F132" s="1110">
        <f t="shared" ca="1" si="62"/>
        <v>0</v>
      </c>
      <c r="G132" s="1110">
        <f t="shared" ca="1" si="62"/>
        <v>3.6162038529268764E-3</v>
      </c>
      <c r="H132" s="1110"/>
      <c r="I132" s="1110"/>
      <c r="J132" s="1110"/>
      <c r="K132" s="1110"/>
      <c r="L132" s="1110"/>
      <c r="M132" s="1110"/>
      <c r="N132" s="1110"/>
      <c r="O132" s="1110"/>
      <c r="P132" s="1110"/>
      <c r="Q132" s="1110"/>
      <c r="R132" s="1110"/>
      <c r="S132" s="1110"/>
      <c r="T132" s="1093"/>
      <c r="U132" s="1093"/>
      <c r="V132" s="1093"/>
      <c r="W132" s="1093"/>
      <c r="X132" s="1093"/>
      <c r="Y132" s="1093"/>
      <c r="Z132" s="1093"/>
      <c r="AA132" s="1093"/>
      <c r="AB132" s="1093"/>
      <c r="AC132" s="1093"/>
      <c r="AD132" s="1093"/>
      <c r="AE132" s="1093"/>
      <c r="AF132" s="1093"/>
      <c r="AG132" s="1093"/>
      <c r="AH132" s="1093"/>
      <c r="AI132" s="1093"/>
      <c r="AJ132" s="1093"/>
      <c r="AK132" s="1093"/>
      <c r="AL132" s="1093"/>
      <c r="AM132" s="1093"/>
      <c r="AN132" s="1093"/>
      <c r="AO132" s="1093"/>
      <c r="AP132" s="1093"/>
      <c r="AQ132" s="1093"/>
      <c r="AR132" s="1093"/>
      <c r="AS132" s="1093"/>
      <c r="AT132" s="1093"/>
      <c r="AU132" s="1093"/>
      <c r="AV132" s="1093"/>
      <c r="AW132" s="1093"/>
      <c r="AX132" s="1093"/>
      <c r="AY132" s="1093"/>
      <c r="AZ132" s="1093"/>
      <c r="BA132" s="1093"/>
      <c r="BB132" s="1093"/>
      <c r="BC132" s="1093"/>
      <c r="BD132" s="1093"/>
      <c r="BE132" s="1093"/>
      <c r="BF132" s="1093"/>
      <c r="BG132" s="1093"/>
      <c r="BH132" s="1093"/>
      <c r="BI132" s="1093"/>
      <c r="BJ132" s="1093"/>
      <c r="BK132" s="1093"/>
      <c r="BL132" s="1093"/>
      <c r="BM132" s="1093"/>
      <c r="BN132" s="1093"/>
      <c r="BO132" s="1093"/>
      <c r="BP132" s="1093"/>
      <c r="BQ132" s="1093"/>
      <c r="BR132" s="1093"/>
      <c r="BS132" s="1093"/>
      <c r="BT132" s="1093"/>
      <c r="BU132" s="1093"/>
    </row>
    <row r="133" spans="1:73" x14ac:dyDescent="0.25">
      <c r="A133" s="1093"/>
      <c r="B133" s="1093"/>
      <c r="C133" s="1117"/>
      <c r="D133" s="1097"/>
      <c r="E133" s="1110"/>
      <c r="F133" s="1110"/>
      <c r="G133" s="1110"/>
      <c r="H133" s="1110">
        <f t="shared" ref="H133:S133" ca="1" si="63">OFFSET(H$76,MATCH($C132,$N$101:$N$107,0)*3,0)</f>
        <v>0.31371975905265359</v>
      </c>
      <c r="I133" s="1110">
        <f t="shared" ca="1" si="63"/>
        <v>0.14839099904025835</v>
      </c>
      <c r="J133" s="1110">
        <f t="shared" ca="1" si="63"/>
        <v>2.0430248874606916E-2</v>
      </c>
      <c r="K133" s="1110">
        <f t="shared" ca="1" si="63"/>
        <v>1.303585765569026E-3</v>
      </c>
      <c r="L133" s="1110">
        <f t="shared" ca="1" si="63"/>
        <v>3.6102033259842637E-3</v>
      </c>
      <c r="M133" s="1110">
        <f t="shared" ca="1" si="63"/>
        <v>0.48554768487489663</v>
      </c>
      <c r="N133" s="1110">
        <f t="shared" ca="1" si="63"/>
        <v>3.995330806246626</v>
      </c>
      <c r="O133" s="1110">
        <f t="shared" ca="1" si="63"/>
        <v>0</v>
      </c>
      <c r="P133" s="1110">
        <f t="shared" ca="1" si="63"/>
        <v>1.1304767209823824E-2</v>
      </c>
      <c r="Q133" s="1110">
        <f t="shared" ca="1" si="63"/>
        <v>0.18686972706006519</v>
      </c>
      <c r="R133" s="1110">
        <f t="shared" ca="1" si="63"/>
        <v>2.5596401570412739E-2</v>
      </c>
      <c r="S133" s="1110">
        <f t="shared" ca="1" si="63"/>
        <v>1.0202710225216656E-2</v>
      </c>
      <c r="T133" s="1093"/>
      <c r="U133" s="1093"/>
      <c r="V133" s="1093"/>
      <c r="W133" s="1093"/>
      <c r="X133" s="1093"/>
      <c r="Y133" s="1093"/>
      <c r="Z133" s="1093"/>
      <c r="AA133" s="1093"/>
      <c r="AB133" s="1093"/>
      <c r="AC133" s="1093"/>
      <c r="AD133" s="1093"/>
      <c r="AE133" s="1093"/>
      <c r="AF133" s="1093"/>
      <c r="AG133" s="1093"/>
      <c r="AH133" s="1093"/>
      <c r="AI133" s="1093"/>
      <c r="AJ133" s="1093"/>
      <c r="AK133" s="1093"/>
      <c r="AL133" s="1093"/>
      <c r="AM133" s="1093"/>
      <c r="AN133" s="1093"/>
      <c r="AO133" s="1093"/>
      <c r="AP133" s="1093"/>
      <c r="AQ133" s="1093"/>
      <c r="AR133" s="1093"/>
      <c r="AS133" s="1093"/>
      <c r="AT133" s="1093"/>
      <c r="AU133" s="1093"/>
      <c r="AV133" s="1093"/>
      <c r="AW133" s="1093"/>
      <c r="AX133" s="1093"/>
      <c r="AY133" s="1093"/>
      <c r="AZ133" s="1093"/>
      <c r="BA133" s="1093"/>
      <c r="BB133" s="1093"/>
      <c r="BC133" s="1093"/>
      <c r="BD133" s="1093"/>
      <c r="BE133" s="1093"/>
      <c r="BF133" s="1093"/>
      <c r="BG133" s="1093"/>
      <c r="BH133" s="1093"/>
      <c r="BI133" s="1093"/>
      <c r="BJ133" s="1093"/>
      <c r="BK133" s="1093"/>
      <c r="BL133" s="1093"/>
      <c r="BM133" s="1093"/>
      <c r="BN133" s="1093"/>
      <c r="BO133" s="1093"/>
      <c r="BP133" s="1093"/>
      <c r="BQ133" s="1093"/>
      <c r="BR133" s="1093"/>
      <c r="BS133" s="1093"/>
      <c r="BT133" s="1093"/>
      <c r="BU133" s="1093"/>
    </row>
    <row r="134" spans="1:73" x14ac:dyDescent="0.25">
      <c r="A134" s="1093"/>
      <c r="B134" s="1093"/>
      <c r="C134" s="1117"/>
      <c r="D134" s="1097"/>
      <c r="E134" s="1110"/>
      <c r="F134" s="1110"/>
      <c r="G134" s="1110"/>
      <c r="H134" s="1110"/>
      <c r="I134" s="1110"/>
      <c r="J134" s="1110"/>
      <c r="K134" s="1110"/>
      <c r="L134" s="1110"/>
      <c r="M134" s="1110"/>
      <c r="N134" s="1110"/>
      <c r="O134" s="1110"/>
      <c r="P134" s="1110"/>
      <c r="Q134" s="1110"/>
      <c r="R134" s="1110"/>
      <c r="S134" s="1110"/>
      <c r="T134" s="1093"/>
      <c r="U134" s="1093"/>
      <c r="V134" s="1093"/>
      <c r="W134" s="1093"/>
      <c r="X134" s="1093"/>
      <c r="Y134" s="1093"/>
      <c r="Z134" s="1093"/>
      <c r="AA134" s="1093"/>
      <c r="AB134" s="1093"/>
      <c r="AC134" s="1093"/>
      <c r="AD134" s="1093"/>
      <c r="AE134" s="1093"/>
      <c r="AF134" s="1093"/>
      <c r="AG134" s="1093"/>
      <c r="AH134" s="1093"/>
      <c r="AI134" s="1093"/>
      <c r="AJ134" s="1093"/>
      <c r="AK134" s="1093"/>
      <c r="AL134" s="1093"/>
      <c r="AM134" s="1093"/>
      <c r="AN134" s="1093"/>
      <c r="AO134" s="1093"/>
      <c r="AP134" s="1093"/>
      <c r="AQ134" s="1093"/>
      <c r="AR134" s="1093"/>
      <c r="AS134" s="1093"/>
      <c r="AT134" s="1093"/>
      <c r="AU134" s="1093"/>
      <c r="AV134" s="1093"/>
      <c r="AW134" s="1093"/>
      <c r="AX134" s="1093"/>
      <c r="AY134" s="1093"/>
      <c r="AZ134" s="1093"/>
      <c r="BA134" s="1093"/>
      <c r="BB134" s="1093"/>
      <c r="BC134" s="1093"/>
      <c r="BD134" s="1093"/>
      <c r="BE134" s="1093"/>
      <c r="BF134" s="1093"/>
      <c r="BG134" s="1093"/>
      <c r="BH134" s="1093"/>
      <c r="BI134" s="1093"/>
      <c r="BJ134" s="1093"/>
      <c r="BK134" s="1093"/>
      <c r="BL134" s="1093"/>
      <c r="BM134" s="1093"/>
      <c r="BN134" s="1093"/>
      <c r="BO134" s="1093"/>
      <c r="BP134" s="1093"/>
      <c r="BQ134" s="1093"/>
      <c r="BR134" s="1093"/>
      <c r="BS134" s="1093"/>
      <c r="BT134" s="1093"/>
      <c r="BU134" s="1093"/>
    </row>
    <row r="135" spans="1:73" x14ac:dyDescent="0.25">
      <c r="A135" s="1093"/>
      <c r="B135" s="1093"/>
      <c r="C135" s="1117">
        <v>5</v>
      </c>
      <c r="D135" s="1097" t="str">
        <f t="shared" ref="D135:G135" ca="1" si="64">OFFSET(D$76,MATCH($C135,$N$101:$N$107,0)*3-2,0)</f>
        <v>Plant Design Capacity (kg of H2/day) = 52,500</v>
      </c>
      <c r="E135" s="1110">
        <f t="shared" ca="1" si="64"/>
        <v>5.157939904429262</v>
      </c>
      <c r="F135" s="1110">
        <f t="shared" ca="1" si="64"/>
        <v>0</v>
      </c>
      <c r="G135" s="1110">
        <f t="shared" ca="1" si="64"/>
        <v>3.5463139869438601E-3</v>
      </c>
      <c r="H135" s="1110"/>
      <c r="I135" s="1110"/>
      <c r="J135" s="1110"/>
      <c r="K135" s="1110"/>
      <c r="L135" s="1110"/>
      <c r="M135" s="1110"/>
      <c r="N135" s="1110"/>
      <c r="O135" s="1110"/>
      <c r="P135" s="1110"/>
      <c r="Q135" s="1110"/>
      <c r="R135" s="1110"/>
      <c r="S135" s="1110"/>
      <c r="T135" s="1093"/>
      <c r="U135" s="1093"/>
      <c r="V135" s="1093"/>
      <c r="W135" s="1093"/>
      <c r="X135" s="1093"/>
      <c r="Y135" s="1093"/>
      <c r="Z135" s="1093"/>
      <c r="AA135" s="1093"/>
      <c r="AB135" s="1093"/>
      <c r="AC135" s="1093"/>
      <c r="AD135" s="1093"/>
      <c r="AE135" s="1093"/>
      <c r="AF135" s="1093"/>
      <c r="AG135" s="1093"/>
      <c r="AH135" s="1093"/>
      <c r="AI135" s="1093"/>
      <c r="AJ135" s="1093"/>
      <c r="AK135" s="1093"/>
      <c r="AL135" s="1093"/>
      <c r="AM135" s="1093"/>
      <c r="AN135" s="1093"/>
      <c r="AO135" s="1093"/>
      <c r="AP135" s="1093"/>
      <c r="AQ135" s="1093"/>
      <c r="AR135" s="1093"/>
      <c r="AS135" s="1093"/>
      <c r="AT135" s="1093"/>
      <c r="AU135" s="1093"/>
      <c r="AV135" s="1093"/>
      <c r="AW135" s="1093"/>
      <c r="AX135" s="1093"/>
      <c r="AY135" s="1093"/>
      <c r="AZ135" s="1093"/>
      <c r="BA135" s="1093"/>
      <c r="BB135" s="1093"/>
      <c r="BC135" s="1093"/>
      <c r="BD135" s="1093"/>
      <c r="BE135" s="1093"/>
      <c r="BF135" s="1093"/>
      <c r="BG135" s="1093"/>
      <c r="BH135" s="1093"/>
      <c r="BI135" s="1093"/>
      <c r="BJ135" s="1093"/>
      <c r="BK135" s="1093"/>
      <c r="BL135" s="1093"/>
      <c r="BM135" s="1093"/>
      <c r="BN135" s="1093"/>
      <c r="BO135" s="1093"/>
      <c r="BP135" s="1093"/>
      <c r="BQ135" s="1093"/>
      <c r="BR135" s="1093"/>
      <c r="BS135" s="1093"/>
      <c r="BT135" s="1093"/>
      <c r="BU135" s="1093"/>
    </row>
    <row r="136" spans="1:73" x14ac:dyDescent="0.25">
      <c r="A136" s="1093"/>
      <c r="B136" s="1093"/>
      <c r="C136" s="1117"/>
      <c r="D136" s="1097"/>
      <c r="E136" s="1110"/>
      <c r="F136" s="1110"/>
      <c r="G136" s="1110"/>
      <c r="H136" s="1110">
        <f t="shared" ref="H136:S136" ca="1" si="65">OFFSET(H$76,MATCH($C135,$N$101:$N$107,0)*3-2,0)</f>
        <v>0.30765654115671892</v>
      </c>
      <c r="I136" s="1110">
        <f t="shared" ca="1" si="65"/>
        <v>0.14552306696070605</v>
      </c>
      <c r="J136" s="1110">
        <f t="shared" ca="1" si="65"/>
        <v>2.030532634600225E-2</v>
      </c>
      <c r="K136" s="1110">
        <f t="shared" ca="1" si="65"/>
        <v>1.2783915458407201E-3</v>
      </c>
      <c r="L136" s="1110">
        <f t="shared" ca="1" si="65"/>
        <v>3.5404294313460343E-3</v>
      </c>
      <c r="M136" s="1110">
        <f t="shared" ca="1" si="65"/>
        <v>0.45808797701834775</v>
      </c>
      <c r="N136" s="1110">
        <f t="shared" ca="1" si="65"/>
        <v>3.995330806246626</v>
      </c>
      <c r="O136" s="1110">
        <f t="shared" ca="1" si="65"/>
        <v>0</v>
      </c>
      <c r="P136" s="1110">
        <f t="shared" ca="1" si="65"/>
        <v>1.130476720982382E-2</v>
      </c>
      <c r="Q136" s="1110">
        <f t="shared" ca="1" si="65"/>
        <v>0.18325812198698832</v>
      </c>
      <c r="R136" s="1110">
        <f t="shared" ca="1" si="65"/>
        <v>2.5195266641819598E-2</v>
      </c>
      <c r="S136" s="1110">
        <f t="shared" ca="1" si="65"/>
        <v>1.0005523871984163E-2</v>
      </c>
      <c r="T136" s="1093"/>
      <c r="U136" s="1093"/>
      <c r="V136" s="1093"/>
      <c r="W136" s="1093"/>
      <c r="X136" s="1093"/>
      <c r="Y136" s="1093"/>
      <c r="Z136" s="1093"/>
      <c r="AA136" s="1093"/>
      <c r="AB136" s="1093"/>
      <c r="AC136" s="1093"/>
      <c r="AD136" s="1093"/>
      <c r="AE136" s="1093"/>
      <c r="AF136" s="1093"/>
      <c r="AG136" s="1093"/>
      <c r="AH136" s="1093"/>
      <c r="AI136" s="1093"/>
      <c r="AJ136" s="1093"/>
      <c r="AK136" s="1093"/>
      <c r="AL136" s="1093"/>
      <c r="AM136" s="1093"/>
      <c r="AN136" s="1093"/>
      <c r="AO136" s="1093"/>
      <c r="AP136" s="1093"/>
      <c r="AQ136" s="1093"/>
      <c r="AR136" s="1093"/>
      <c r="AS136" s="1093"/>
      <c r="AT136" s="1093"/>
      <c r="AU136" s="1093"/>
      <c r="AV136" s="1093"/>
      <c r="AW136" s="1093"/>
      <c r="AX136" s="1093"/>
      <c r="AY136" s="1093"/>
      <c r="AZ136" s="1093"/>
      <c r="BA136" s="1093"/>
      <c r="BB136" s="1093"/>
      <c r="BC136" s="1093"/>
      <c r="BD136" s="1093"/>
      <c r="BE136" s="1093"/>
      <c r="BF136" s="1093"/>
      <c r="BG136" s="1093"/>
      <c r="BH136" s="1093"/>
      <c r="BI136" s="1093"/>
      <c r="BJ136" s="1093"/>
      <c r="BK136" s="1093"/>
      <c r="BL136" s="1093"/>
      <c r="BM136" s="1093"/>
      <c r="BN136" s="1093"/>
      <c r="BO136" s="1093"/>
      <c r="BP136" s="1093"/>
      <c r="BQ136" s="1093"/>
      <c r="BR136" s="1093"/>
      <c r="BS136" s="1093"/>
      <c r="BT136" s="1093"/>
      <c r="BU136" s="1093"/>
    </row>
    <row r="137" spans="1:73" x14ac:dyDescent="0.25">
      <c r="A137" s="1093"/>
      <c r="B137" s="1093"/>
      <c r="C137" s="1117">
        <v>5</v>
      </c>
      <c r="D137" s="1097" t="str">
        <f t="shared" ref="D137:G137" ca="1" si="66">OFFSET(D$76,MATCH($C137,$N$101:$N$107,0)*3,0)</f>
        <v>Plant Design Capacity (kg of H2/day) = 47,500</v>
      </c>
      <c r="E137" s="1110">
        <f t="shared" ca="1" si="66"/>
        <v>5.1942983777133342</v>
      </c>
      <c r="F137" s="1110">
        <f t="shared" ca="1" si="66"/>
        <v>0</v>
      </c>
      <c r="G137" s="1110">
        <f t="shared" ca="1" si="66"/>
        <v>3.6911650279462683E-3</v>
      </c>
      <c r="H137" s="1110"/>
      <c r="I137" s="1110"/>
      <c r="J137" s="1110"/>
      <c r="K137" s="1110"/>
      <c r="L137" s="1110"/>
      <c r="M137" s="1110"/>
      <c r="N137" s="1110"/>
      <c r="O137" s="1110"/>
      <c r="P137" s="1110"/>
      <c r="Q137" s="1110"/>
      <c r="R137" s="1110"/>
      <c r="S137" s="1110"/>
      <c r="T137" s="1093"/>
      <c r="U137" s="1093"/>
      <c r="V137" s="1093"/>
      <c r="W137" s="1093"/>
      <c r="X137" s="1093"/>
      <c r="Y137" s="1093"/>
      <c r="Z137" s="1093"/>
      <c r="AA137" s="1093"/>
      <c r="AB137" s="1093"/>
      <c r="AC137" s="1093"/>
      <c r="AD137" s="1093"/>
      <c r="AE137" s="1093"/>
      <c r="AF137" s="1093"/>
      <c r="AG137" s="1093"/>
      <c r="AH137" s="1093"/>
      <c r="AI137" s="1093"/>
      <c r="AJ137" s="1093"/>
      <c r="AK137" s="1093"/>
      <c r="AL137" s="1093"/>
      <c r="AM137" s="1093"/>
      <c r="AN137" s="1093"/>
      <c r="AO137" s="1093"/>
      <c r="AP137" s="1093"/>
      <c r="AQ137" s="1093"/>
      <c r="AR137" s="1093"/>
      <c r="AS137" s="1093"/>
      <c r="AT137" s="1093"/>
      <c r="AU137" s="1093"/>
      <c r="AV137" s="1093"/>
      <c r="AW137" s="1093"/>
      <c r="AX137" s="1093"/>
      <c r="AY137" s="1093"/>
      <c r="AZ137" s="1093"/>
      <c r="BA137" s="1093"/>
      <c r="BB137" s="1093"/>
      <c r="BC137" s="1093"/>
      <c r="BD137" s="1093"/>
      <c r="BE137" s="1093"/>
      <c r="BF137" s="1093"/>
      <c r="BG137" s="1093"/>
      <c r="BH137" s="1093"/>
      <c r="BI137" s="1093"/>
      <c r="BJ137" s="1093"/>
      <c r="BK137" s="1093"/>
      <c r="BL137" s="1093"/>
      <c r="BM137" s="1093"/>
      <c r="BN137" s="1093"/>
      <c r="BO137" s="1093"/>
      <c r="BP137" s="1093"/>
      <c r="BQ137" s="1093"/>
      <c r="BR137" s="1093"/>
      <c r="BS137" s="1093"/>
      <c r="BT137" s="1093"/>
      <c r="BU137" s="1093"/>
    </row>
    <row r="138" spans="1:73" x14ac:dyDescent="0.25">
      <c r="A138" s="1093"/>
      <c r="B138" s="1093"/>
      <c r="C138" s="1117"/>
      <c r="D138" s="1097"/>
      <c r="E138" s="1110"/>
      <c r="F138" s="1110"/>
      <c r="G138" s="1110"/>
      <c r="H138" s="1110">
        <f t="shared" ref="H138:S138" ca="1" si="67">OFFSET(H$76,MATCH($C137,$N$101:$N$107,0)*3,0)</f>
        <v>0.32022293274579416</v>
      </c>
      <c r="I138" s="1110">
        <f t="shared" ca="1" si="67"/>
        <v>0.15146703238980419</v>
      </c>
      <c r="J138" s="1110">
        <f t="shared" ca="1" si="67"/>
        <v>2.0346746724325626E-2</v>
      </c>
      <c r="K138" s="1110">
        <f t="shared" ca="1" si="67"/>
        <v>1.3306081140592853E-3</v>
      </c>
      <c r="L138" s="1110">
        <f t="shared" ca="1" si="67"/>
        <v>3.6850401146115591E-3</v>
      </c>
      <c r="M138" s="1110">
        <f t="shared" ca="1" si="67"/>
        <v>0.46719275179973807</v>
      </c>
      <c r="N138" s="1110">
        <f t="shared" ca="1" si="67"/>
        <v>3.9953308062466251</v>
      </c>
      <c r="O138" s="1110">
        <f t="shared" ca="1" si="67"/>
        <v>0</v>
      </c>
      <c r="P138" s="1110">
        <f t="shared" ca="1" si="67"/>
        <v>1.1304767209823818E-2</v>
      </c>
      <c r="Q138" s="1110">
        <f t="shared" ca="1" si="67"/>
        <v>0.19074339538344745</v>
      </c>
      <c r="R138" s="1110">
        <f t="shared" ca="1" si="67"/>
        <v>2.5951257309650373E-2</v>
      </c>
      <c r="S138" s="1110">
        <f t="shared" ca="1" si="67"/>
        <v>1.0414204703395921E-2</v>
      </c>
      <c r="T138" s="1093"/>
      <c r="U138" s="1093"/>
      <c r="V138" s="1093"/>
      <c r="W138" s="1093"/>
      <c r="X138" s="1093"/>
      <c r="Y138" s="1093"/>
      <c r="Z138" s="1093"/>
      <c r="AA138" s="1093"/>
      <c r="AB138" s="1093"/>
      <c r="AC138" s="1093"/>
      <c r="AD138" s="1093"/>
      <c r="AE138" s="1093"/>
      <c r="AF138" s="1093"/>
      <c r="AG138" s="1093"/>
      <c r="AH138" s="1093"/>
      <c r="AI138" s="1093"/>
      <c r="AJ138" s="1093"/>
      <c r="AK138" s="1093"/>
      <c r="AL138" s="1093"/>
      <c r="AM138" s="1093"/>
      <c r="AN138" s="1093"/>
      <c r="AO138" s="1093"/>
      <c r="AP138" s="1093"/>
      <c r="AQ138" s="1093"/>
      <c r="AR138" s="1093"/>
      <c r="AS138" s="1093"/>
      <c r="AT138" s="1093"/>
      <c r="AU138" s="1093"/>
      <c r="AV138" s="1093"/>
      <c r="AW138" s="1093"/>
      <c r="AX138" s="1093"/>
      <c r="AY138" s="1093"/>
      <c r="AZ138" s="1093"/>
      <c r="BA138" s="1093"/>
      <c r="BB138" s="1093"/>
      <c r="BC138" s="1093"/>
      <c r="BD138" s="1093"/>
      <c r="BE138" s="1093"/>
      <c r="BF138" s="1093"/>
      <c r="BG138" s="1093"/>
      <c r="BH138" s="1093"/>
      <c r="BI138" s="1093"/>
      <c r="BJ138" s="1093"/>
      <c r="BK138" s="1093"/>
      <c r="BL138" s="1093"/>
      <c r="BM138" s="1093"/>
      <c r="BN138" s="1093"/>
      <c r="BO138" s="1093"/>
      <c r="BP138" s="1093"/>
      <c r="BQ138" s="1093"/>
      <c r="BR138" s="1093"/>
      <c r="BS138" s="1093"/>
      <c r="BT138" s="1093"/>
      <c r="BU138" s="1093"/>
    </row>
    <row r="139" spans="1:73" x14ac:dyDescent="0.25">
      <c r="A139" s="1093"/>
      <c r="B139" s="1093"/>
      <c r="C139" s="1117"/>
      <c r="D139" s="1097"/>
      <c r="E139" s="1110"/>
      <c r="F139" s="1110"/>
      <c r="G139" s="1110"/>
      <c r="H139" s="1110"/>
      <c r="I139" s="1110"/>
      <c r="J139" s="1110"/>
      <c r="K139" s="1110"/>
      <c r="L139" s="1110"/>
      <c r="M139" s="1110"/>
      <c r="N139" s="1110"/>
      <c r="O139" s="1110"/>
      <c r="P139" s="1110"/>
      <c r="Q139" s="1110"/>
      <c r="R139" s="1110"/>
      <c r="S139" s="1110"/>
      <c r="T139" s="1093"/>
      <c r="U139" s="1093"/>
      <c r="V139" s="1093"/>
      <c r="W139" s="1093"/>
      <c r="X139" s="1093"/>
      <c r="Y139" s="1093"/>
      <c r="Z139" s="1093"/>
      <c r="AA139" s="1093"/>
      <c r="AB139" s="1093"/>
      <c r="AC139" s="1093"/>
      <c r="AD139" s="1093"/>
      <c r="AE139" s="1093"/>
      <c r="AF139" s="1093"/>
      <c r="AG139" s="1093"/>
      <c r="AH139" s="1093"/>
      <c r="AI139" s="1093"/>
      <c r="AJ139" s="1093"/>
      <c r="AK139" s="1093"/>
      <c r="AL139" s="1093"/>
      <c r="AM139" s="1093"/>
      <c r="AN139" s="1093"/>
      <c r="AO139" s="1093"/>
      <c r="AP139" s="1093"/>
      <c r="AQ139" s="1093"/>
      <c r="AR139" s="1093"/>
      <c r="AS139" s="1093"/>
      <c r="AT139" s="1093"/>
      <c r="AU139" s="1093"/>
      <c r="AV139" s="1093"/>
      <c r="AW139" s="1093"/>
      <c r="AX139" s="1093"/>
      <c r="AY139" s="1093"/>
      <c r="AZ139" s="1093"/>
      <c r="BA139" s="1093"/>
      <c r="BB139" s="1093"/>
      <c r="BC139" s="1093"/>
      <c r="BD139" s="1093"/>
      <c r="BE139" s="1093"/>
      <c r="BF139" s="1093"/>
      <c r="BG139" s="1093"/>
      <c r="BH139" s="1093"/>
      <c r="BI139" s="1093"/>
      <c r="BJ139" s="1093"/>
      <c r="BK139" s="1093"/>
      <c r="BL139" s="1093"/>
      <c r="BM139" s="1093"/>
      <c r="BN139" s="1093"/>
      <c r="BO139" s="1093"/>
      <c r="BP139" s="1093"/>
      <c r="BQ139" s="1093"/>
      <c r="BR139" s="1093"/>
      <c r="BS139" s="1093"/>
      <c r="BT139" s="1093"/>
      <c r="BU139" s="1093"/>
    </row>
    <row r="140" spans="1:73" x14ac:dyDescent="0.25">
      <c r="A140" s="1093"/>
      <c r="B140" s="1093"/>
      <c r="C140" s="1117">
        <v>6</v>
      </c>
      <c r="D140" s="1097" t="str">
        <f t="shared" ref="D140:G140" ca="1" si="68">OFFSET(D$76,MATCH($C140,$N$101:$N$107,0)*3-2,0)</f>
        <v>After-tax Real IRR = 8%</v>
      </c>
      <c r="E140" s="1110">
        <f t="shared" ca="1" si="68"/>
        <v>5.1655554183140211</v>
      </c>
      <c r="F140" s="1110">
        <f t="shared" ca="1" si="68"/>
        <v>0</v>
      </c>
      <c r="G140" s="1110">
        <f t="shared" ca="1" si="68"/>
        <v>4.0160753935213275E-3</v>
      </c>
      <c r="H140" s="1110"/>
      <c r="I140" s="1110"/>
      <c r="J140" s="1110"/>
      <c r="K140" s="1110"/>
      <c r="L140" s="1110"/>
      <c r="M140" s="1110"/>
      <c r="N140" s="1110"/>
      <c r="O140" s="1110"/>
      <c r="P140" s="1110"/>
      <c r="Q140" s="1110"/>
      <c r="R140" s="1110"/>
      <c r="S140" s="1110"/>
      <c r="T140" s="1093"/>
      <c r="U140" s="1093"/>
      <c r="V140" s="1093"/>
      <c r="W140" s="1093"/>
      <c r="X140" s="1093"/>
      <c r="Y140" s="1093"/>
      <c r="Z140" s="1093"/>
      <c r="AA140" s="1093"/>
      <c r="AB140" s="1093"/>
      <c r="AC140" s="1093"/>
      <c r="AD140" s="1093"/>
      <c r="AE140" s="1093"/>
      <c r="AF140" s="1093"/>
      <c r="AG140" s="1093"/>
      <c r="AH140" s="1093"/>
      <c r="AI140" s="1093"/>
      <c r="AJ140" s="1093"/>
      <c r="AK140" s="1093"/>
      <c r="AL140" s="1093"/>
      <c r="AM140" s="1093"/>
      <c r="AN140" s="1093"/>
      <c r="AO140" s="1093"/>
      <c r="AP140" s="1093"/>
      <c r="AQ140" s="1093"/>
      <c r="AR140" s="1093"/>
      <c r="AS140" s="1093"/>
      <c r="AT140" s="1093"/>
      <c r="AU140" s="1093"/>
      <c r="AV140" s="1093"/>
      <c r="AW140" s="1093"/>
      <c r="AX140" s="1093"/>
      <c r="AY140" s="1093"/>
      <c r="AZ140" s="1093"/>
      <c r="BA140" s="1093"/>
      <c r="BB140" s="1093"/>
      <c r="BC140" s="1093"/>
      <c r="BD140" s="1093"/>
      <c r="BE140" s="1093"/>
      <c r="BF140" s="1093"/>
      <c r="BG140" s="1093"/>
      <c r="BH140" s="1093"/>
      <c r="BI140" s="1093"/>
      <c r="BJ140" s="1093"/>
      <c r="BK140" s="1093"/>
      <c r="BL140" s="1093"/>
      <c r="BM140" s="1093"/>
      <c r="BN140" s="1093"/>
      <c r="BO140" s="1093"/>
      <c r="BP140" s="1093"/>
      <c r="BQ140" s="1093"/>
      <c r="BR140" s="1093"/>
      <c r="BS140" s="1093"/>
      <c r="BT140" s="1093"/>
      <c r="BU140" s="1093"/>
    </row>
    <row r="141" spans="1:73" x14ac:dyDescent="0.25">
      <c r="A141" s="1093"/>
      <c r="B141" s="1093"/>
      <c r="C141" s="1117"/>
      <c r="D141" s="1097"/>
      <c r="E141" s="1110"/>
      <c r="F141" s="1110"/>
      <c r="G141" s="1110"/>
      <c r="H141" s="1110">
        <f t="shared" ref="H141:S141" ca="1" si="69">OFFSET(H$76,MATCH($C140,$N$101:$N$107,0)*3-2,0)</f>
        <v>0.30035264382948562</v>
      </c>
      <c r="I141" s="1110">
        <f t="shared" ca="1" si="69"/>
        <v>0.14978170002783023</v>
      </c>
      <c r="J141" s="1110">
        <f t="shared" ca="1" si="69"/>
        <v>1.9592290884360063E-2</v>
      </c>
      <c r="K141" s="1110">
        <f t="shared" ca="1" si="69"/>
        <v>1.2480419860370576E-3</v>
      </c>
      <c r="L141" s="1110">
        <f t="shared" ca="1" si="69"/>
        <v>4.0094113420511973E-3</v>
      </c>
      <c r="M141" s="1110">
        <f t="shared" ca="1" si="69"/>
        <v>0.46242636654752051</v>
      </c>
      <c r="N141" s="1110">
        <f t="shared" ca="1" si="69"/>
        <v>4.001681848859171</v>
      </c>
      <c r="O141" s="1110">
        <f t="shared" ca="1" si="69"/>
        <v>0</v>
      </c>
      <c r="P141" s="1110">
        <f t="shared" ca="1" si="69"/>
        <v>1.1304767209823817E-2</v>
      </c>
      <c r="Q141" s="1110">
        <f t="shared" ca="1" si="69"/>
        <v>0.18516453604279012</v>
      </c>
      <c r="R141" s="1110">
        <f t="shared" ca="1" si="69"/>
        <v>2.267898442175624E-2</v>
      </c>
      <c r="S141" s="1110">
        <f t="shared" ca="1" si="69"/>
        <v>1.1330902556712034E-2</v>
      </c>
      <c r="T141" s="1093"/>
      <c r="U141" s="1093"/>
      <c r="V141" s="1093"/>
      <c r="W141" s="1093"/>
      <c r="X141" s="1093"/>
      <c r="Y141" s="1093"/>
      <c r="Z141" s="1093"/>
      <c r="AA141" s="1093"/>
      <c r="AB141" s="1093"/>
      <c r="AC141" s="1093"/>
      <c r="AD141" s="1093"/>
      <c r="AE141" s="1093"/>
      <c r="AF141" s="1093"/>
      <c r="AG141" s="1093"/>
      <c r="AH141" s="1093"/>
      <c r="AI141" s="1093"/>
      <c r="AJ141" s="1093"/>
      <c r="AK141" s="1093"/>
      <c r="AL141" s="1093"/>
      <c r="AM141" s="1093"/>
      <c r="AN141" s="1093"/>
      <c r="AO141" s="1093"/>
      <c r="AP141" s="1093"/>
      <c r="AQ141" s="1093"/>
      <c r="AR141" s="1093"/>
      <c r="AS141" s="1093"/>
      <c r="AT141" s="1093"/>
      <c r="AU141" s="1093"/>
      <c r="AV141" s="1093"/>
      <c r="AW141" s="1093"/>
      <c r="AX141" s="1093"/>
      <c r="AY141" s="1093"/>
      <c r="AZ141" s="1093"/>
      <c r="BA141" s="1093"/>
      <c r="BB141" s="1093"/>
      <c r="BC141" s="1093"/>
      <c r="BD141" s="1093"/>
      <c r="BE141" s="1093"/>
      <c r="BF141" s="1093"/>
      <c r="BG141" s="1093"/>
      <c r="BH141" s="1093"/>
      <c r="BI141" s="1093"/>
      <c r="BJ141" s="1093"/>
      <c r="BK141" s="1093"/>
      <c r="BL141" s="1093"/>
      <c r="BM141" s="1093"/>
      <c r="BN141" s="1093"/>
      <c r="BO141" s="1093"/>
      <c r="BP141" s="1093"/>
      <c r="BQ141" s="1093"/>
      <c r="BR141" s="1093"/>
      <c r="BS141" s="1093"/>
      <c r="BT141" s="1093"/>
      <c r="BU141" s="1093"/>
    </row>
    <row r="142" spans="1:73" x14ac:dyDescent="0.25">
      <c r="A142" s="1093"/>
      <c r="B142" s="1093"/>
      <c r="C142" s="1117">
        <v>6</v>
      </c>
      <c r="D142" s="1097" t="str">
        <f t="shared" ref="D142:G142" ca="1" si="70">OFFSET(D$76,MATCH($C142,$N$101:$N$107,0)*3,0)</f>
        <v>After-tax Real IRR = 8%</v>
      </c>
      <c r="E142" s="1110">
        <f t="shared" ca="1" si="70"/>
        <v>5.1857887796189761</v>
      </c>
      <c r="F142" s="1110">
        <f t="shared" ca="1" si="70"/>
        <v>0</v>
      </c>
      <c r="G142" s="1110">
        <f t="shared" ca="1" si="70"/>
        <v>3.2534945099734463E-3</v>
      </c>
      <c r="H142" s="1110"/>
      <c r="I142" s="1110"/>
      <c r="J142" s="1110"/>
      <c r="K142" s="1110"/>
      <c r="L142" s="1110"/>
      <c r="M142" s="1110"/>
      <c r="N142" s="1110"/>
      <c r="O142" s="1110"/>
      <c r="P142" s="1110"/>
      <c r="Q142" s="1110"/>
      <c r="R142" s="1110"/>
      <c r="S142" s="1110"/>
      <c r="T142" s="1093"/>
      <c r="U142" s="1093"/>
      <c r="V142" s="1093"/>
      <c r="W142" s="1093"/>
      <c r="X142" s="1093"/>
      <c r="Y142" s="1093"/>
      <c r="Z142" s="1093"/>
      <c r="AA142" s="1093"/>
      <c r="AB142" s="1093"/>
      <c r="AC142" s="1093"/>
      <c r="AD142" s="1093"/>
      <c r="AE142" s="1093"/>
      <c r="AF142" s="1093"/>
      <c r="AG142" s="1093"/>
      <c r="AH142" s="1093"/>
      <c r="AI142" s="1093"/>
      <c r="AJ142" s="1093"/>
      <c r="AK142" s="1093"/>
      <c r="AL142" s="1093"/>
      <c r="AM142" s="1093"/>
      <c r="AN142" s="1093"/>
      <c r="AO142" s="1093"/>
      <c r="AP142" s="1093"/>
      <c r="AQ142" s="1093"/>
      <c r="AR142" s="1093"/>
      <c r="AS142" s="1093"/>
      <c r="AT142" s="1093"/>
      <c r="AU142" s="1093"/>
      <c r="AV142" s="1093"/>
      <c r="AW142" s="1093"/>
      <c r="AX142" s="1093"/>
      <c r="AY142" s="1093"/>
      <c r="AZ142" s="1093"/>
      <c r="BA142" s="1093"/>
      <c r="BB142" s="1093"/>
      <c r="BC142" s="1093"/>
      <c r="BD142" s="1093"/>
      <c r="BE142" s="1093"/>
      <c r="BF142" s="1093"/>
      <c r="BG142" s="1093"/>
      <c r="BH142" s="1093"/>
      <c r="BI142" s="1093"/>
      <c r="BJ142" s="1093"/>
      <c r="BK142" s="1093"/>
      <c r="BL142" s="1093"/>
      <c r="BM142" s="1093"/>
      <c r="BN142" s="1093"/>
      <c r="BO142" s="1093"/>
      <c r="BP142" s="1093"/>
      <c r="BQ142" s="1093"/>
      <c r="BR142" s="1093"/>
      <c r="BS142" s="1093"/>
      <c r="BT142" s="1093"/>
      <c r="BU142" s="1093"/>
    </row>
    <row r="143" spans="1:73" x14ac:dyDescent="0.25">
      <c r="A143" s="1093"/>
      <c r="B143" s="1093"/>
      <c r="C143" s="1117"/>
      <c r="D143" s="1097"/>
      <c r="E143" s="1110"/>
      <c r="F143" s="1110"/>
      <c r="G143" s="1110"/>
      <c r="H143" s="1110">
        <f t="shared" ref="H143:S143" ca="1" si="71">OFFSET(H$76,MATCH($C142,$N$101:$N$107,0)*3,0)</f>
        <v>0.32723527640687522</v>
      </c>
      <c r="I143" s="1110">
        <f t="shared" ca="1" si="71"/>
        <v>0.1469989549371872</v>
      </c>
      <c r="J143" s="1110">
        <f t="shared" ca="1" si="71"/>
        <v>2.1050636514600336E-2</v>
      </c>
      <c r="K143" s="1110">
        <f t="shared" ca="1" si="71"/>
        <v>1.3597461938776147E-3</v>
      </c>
      <c r="L143" s="1110">
        <f t="shared" ca="1" si="71"/>
        <v>3.2480958426806894E-3</v>
      </c>
      <c r="M143" s="1110">
        <f t="shared" ca="1" si="71"/>
        <v>0.46242636654752117</v>
      </c>
      <c r="N143" s="1110">
        <f t="shared" ca="1" si="71"/>
        <v>3.9891273460206316</v>
      </c>
      <c r="O143" s="1110">
        <f t="shared" ca="1" si="71"/>
        <v>0</v>
      </c>
      <c r="P143" s="1110">
        <f t="shared" ca="1" si="71"/>
        <v>1.130476720982383E-2</v>
      </c>
      <c r="Q143" s="1110">
        <f t="shared" ca="1" si="71"/>
        <v>0.18854973012063916</v>
      </c>
      <c r="R143" s="1110">
        <f t="shared" ca="1" si="71"/>
        <v>2.8561987503302202E-2</v>
      </c>
      <c r="S143" s="1110">
        <f t="shared" ca="1" si="71"/>
        <v>9.1793668318022117E-3</v>
      </c>
      <c r="T143" s="1093"/>
      <c r="U143" s="1093"/>
      <c r="V143" s="1093"/>
      <c r="W143" s="1093"/>
      <c r="X143" s="1093"/>
      <c r="Y143" s="1093"/>
      <c r="Z143" s="1093"/>
      <c r="AA143" s="1093"/>
      <c r="AB143" s="1093"/>
      <c r="AC143" s="1093"/>
      <c r="AD143" s="1093"/>
      <c r="AE143" s="1093"/>
      <c r="AF143" s="1093"/>
      <c r="AG143" s="1093"/>
      <c r="AH143" s="1093"/>
      <c r="AI143" s="1093"/>
      <c r="AJ143" s="1093"/>
      <c r="AK143" s="1093"/>
      <c r="AL143" s="1093"/>
      <c r="AM143" s="1093"/>
      <c r="AN143" s="1093"/>
      <c r="AO143" s="1093"/>
      <c r="AP143" s="1093"/>
      <c r="AQ143" s="1093"/>
      <c r="AR143" s="1093"/>
      <c r="AS143" s="1093"/>
      <c r="AT143" s="1093"/>
      <c r="AU143" s="1093"/>
      <c r="AV143" s="1093"/>
      <c r="AW143" s="1093"/>
      <c r="AX143" s="1093"/>
      <c r="AY143" s="1093"/>
      <c r="AZ143" s="1093"/>
      <c r="BA143" s="1093"/>
      <c r="BB143" s="1093"/>
      <c r="BC143" s="1093"/>
      <c r="BD143" s="1093"/>
      <c r="BE143" s="1093"/>
      <c r="BF143" s="1093"/>
      <c r="BG143" s="1093"/>
      <c r="BH143" s="1093"/>
      <c r="BI143" s="1093"/>
      <c r="BJ143" s="1093"/>
      <c r="BK143" s="1093"/>
      <c r="BL143" s="1093"/>
      <c r="BM143" s="1093"/>
      <c r="BN143" s="1093"/>
      <c r="BO143" s="1093"/>
      <c r="BP143" s="1093"/>
      <c r="BQ143" s="1093"/>
      <c r="BR143" s="1093"/>
      <c r="BS143" s="1093"/>
      <c r="BT143" s="1093"/>
      <c r="BU143" s="1093"/>
    </row>
    <row r="144" spans="1:73" x14ac:dyDescent="0.25">
      <c r="A144" s="1093"/>
      <c r="B144" s="1093"/>
      <c r="C144" s="1117"/>
      <c r="D144" s="1097"/>
      <c r="E144" s="1110"/>
      <c r="F144" s="1110"/>
      <c r="G144" s="1110"/>
      <c r="H144" s="1110"/>
      <c r="I144" s="1110"/>
      <c r="J144" s="1110"/>
      <c r="K144" s="1110"/>
      <c r="L144" s="1110"/>
      <c r="M144" s="1110"/>
      <c r="N144" s="1110"/>
      <c r="O144" s="1110"/>
      <c r="P144" s="1110"/>
      <c r="Q144" s="1110"/>
      <c r="R144" s="1110"/>
      <c r="S144" s="1110"/>
      <c r="T144" s="1093"/>
      <c r="U144" s="1093"/>
      <c r="V144" s="1093"/>
      <c r="W144" s="1093"/>
      <c r="X144" s="1093"/>
      <c r="Y144" s="1093"/>
      <c r="Z144" s="1093"/>
      <c r="AA144" s="1093"/>
      <c r="AB144" s="1093"/>
      <c r="AC144" s="1093"/>
      <c r="AD144" s="1093"/>
      <c r="AE144" s="1093"/>
      <c r="AF144" s="1093"/>
      <c r="AG144" s="1093"/>
      <c r="AH144" s="1093"/>
      <c r="AI144" s="1093"/>
      <c r="AJ144" s="1093"/>
      <c r="AK144" s="1093"/>
      <c r="AL144" s="1093"/>
      <c r="AM144" s="1093"/>
      <c r="AN144" s="1093"/>
      <c r="AO144" s="1093"/>
      <c r="AP144" s="1093"/>
      <c r="AQ144" s="1093"/>
      <c r="AR144" s="1093"/>
      <c r="AS144" s="1093"/>
      <c r="AT144" s="1093"/>
      <c r="AU144" s="1093"/>
      <c r="AV144" s="1093"/>
      <c r="AW144" s="1093"/>
      <c r="AX144" s="1093"/>
      <c r="AY144" s="1093"/>
      <c r="AZ144" s="1093"/>
      <c r="BA144" s="1093"/>
      <c r="BB144" s="1093"/>
      <c r="BC144" s="1093"/>
      <c r="BD144" s="1093"/>
      <c r="BE144" s="1093"/>
      <c r="BF144" s="1093"/>
      <c r="BG144" s="1093"/>
      <c r="BH144" s="1093"/>
      <c r="BI144" s="1093"/>
      <c r="BJ144" s="1093"/>
      <c r="BK144" s="1093"/>
      <c r="BL144" s="1093"/>
      <c r="BM144" s="1093"/>
      <c r="BN144" s="1093"/>
      <c r="BO144" s="1093"/>
      <c r="BP144" s="1093"/>
      <c r="BQ144" s="1093"/>
      <c r="BR144" s="1093"/>
      <c r="BS144" s="1093"/>
      <c r="BT144" s="1093"/>
      <c r="BU144" s="1093"/>
    </row>
    <row r="145" spans="1:73" x14ac:dyDescent="0.25">
      <c r="A145" s="1093"/>
      <c r="B145" s="1093"/>
      <c r="C145" s="1117">
        <v>7</v>
      </c>
      <c r="D145" s="1097" t="str">
        <f t="shared" ref="D145:G145" ca="1" si="72">OFFSET(D$76,MATCH($C145,$N$101:$N$107,0)*3-2,0)</f>
        <v>Utilities Consumption (% of baseline) = 95%</v>
      </c>
      <c r="E145" s="1110">
        <f t="shared" ca="1" si="72"/>
        <v>5.175427725657066</v>
      </c>
      <c r="F145" s="1110">
        <f t="shared" ca="1" si="72"/>
        <v>0</v>
      </c>
      <c r="G145" s="1110">
        <f t="shared" ca="1" si="72"/>
        <v>3.6162038529268764E-3</v>
      </c>
      <c r="H145" s="1110"/>
      <c r="I145" s="1110"/>
      <c r="J145" s="1110"/>
      <c r="K145" s="1110"/>
      <c r="L145" s="1110"/>
      <c r="M145" s="1110"/>
      <c r="N145" s="1110"/>
      <c r="O145" s="1110"/>
      <c r="P145" s="1110"/>
      <c r="Q145" s="1110"/>
      <c r="R145" s="1110"/>
      <c r="S145" s="1110"/>
      <c r="T145" s="1093"/>
      <c r="U145" s="1093"/>
      <c r="V145" s="1093"/>
      <c r="W145" s="1093"/>
      <c r="X145" s="1093"/>
      <c r="Y145" s="1093"/>
      <c r="Z145" s="1093"/>
      <c r="AA145" s="1093"/>
      <c r="AB145" s="1093"/>
      <c r="AC145" s="1093"/>
      <c r="AD145" s="1093"/>
      <c r="AE145" s="1093"/>
      <c r="AF145" s="1093"/>
      <c r="AG145" s="1093"/>
      <c r="AH145" s="1093"/>
      <c r="AI145" s="1093"/>
      <c r="AJ145" s="1093"/>
      <c r="AK145" s="1093"/>
      <c r="AL145" s="1093"/>
      <c r="AM145" s="1093"/>
      <c r="AN145" s="1093"/>
      <c r="AO145" s="1093"/>
      <c r="AP145" s="1093"/>
      <c r="AQ145" s="1093"/>
      <c r="AR145" s="1093"/>
      <c r="AS145" s="1093"/>
      <c r="AT145" s="1093"/>
      <c r="AU145" s="1093"/>
      <c r="AV145" s="1093"/>
      <c r="AW145" s="1093"/>
      <c r="AX145" s="1093"/>
      <c r="AY145" s="1093"/>
      <c r="AZ145" s="1093"/>
      <c r="BA145" s="1093"/>
      <c r="BB145" s="1093"/>
      <c r="BC145" s="1093"/>
      <c r="BD145" s="1093"/>
      <c r="BE145" s="1093"/>
      <c r="BF145" s="1093"/>
      <c r="BG145" s="1093"/>
      <c r="BH145" s="1093"/>
      <c r="BI145" s="1093"/>
      <c r="BJ145" s="1093"/>
      <c r="BK145" s="1093"/>
      <c r="BL145" s="1093"/>
      <c r="BM145" s="1093"/>
      <c r="BN145" s="1093"/>
      <c r="BO145" s="1093"/>
      <c r="BP145" s="1093"/>
      <c r="BQ145" s="1093"/>
      <c r="BR145" s="1093"/>
      <c r="BS145" s="1093"/>
      <c r="BT145" s="1093"/>
      <c r="BU145" s="1093"/>
    </row>
    <row r="146" spans="1:73" x14ac:dyDescent="0.25">
      <c r="A146" s="1093"/>
      <c r="B146" s="1093"/>
      <c r="C146" s="1117"/>
      <c r="D146" s="1097"/>
      <c r="E146" s="1110"/>
      <c r="F146" s="1110"/>
      <c r="G146" s="1110"/>
      <c r="H146" s="1110">
        <f t="shared" ref="H146:S146" ca="1" si="73">OFFSET(H$76,MATCH($C145,$N$101:$N$107,0)*3-2,0)</f>
        <v>0.31371975905265359</v>
      </c>
      <c r="I146" s="1110">
        <f t="shared" ca="1" si="73"/>
        <v>0.14839099904025835</v>
      </c>
      <c r="J146" s="1110">
        <f t="shared" ca="1" si="73"/>
        <v>2.0325062994071771E-2</v>
      </c>
      <c r="K146" s="1110">
        <f t="shared" ca="1" si="73"/>
        <v>1.303585765569026E-3</v>
      </c>
      <c r="L146" s="1110">
        <f t="shared" ca="1" si="73"/>
        <v>3.6102033259842637E-3</v>
      </c>
      <c r="M146" s="1110">
        <f t="shared" ca="1" si="73"/>
        <v>0.46242636654752067</v>
      </c>
      <c r="N146" s="1110">
        <f t="shared" ca="1" si="73"/>
        <v>3.995330806246626</v>
      </c>
      <c r="O146" s="1110">
        <f t="shared" ca="1" si="73"/>
        <v>0</v>
      </c>
      <c r="P146" s="1110">
        <f t="shared" ca="1" si="73"/>
        <v>1.1304767209823824E-2</v>
      </c>
      <c r="Q146" s="1110">
        <f t="shared" ca="1" si="73"/>
        <v>0.18686972706006519</v>
      </c>
      <c r="R146" s="1110">
        <f t="shared" ca="1" si="73"/>
        <v>2.5559942042201422E-2</v>
      </c>
      <c r="S146" s="1110">
        <f t="shared" ca="1" si="73"/>
        <v>1.0202710225216656E-2</v>
      </c>
      <c r="T146" s="1093"/>
      <c r="U146" s="1093"/>
      <c r="V146" s="1093"/>
      <c r="W146" s="1093"/>
      <c r="X146" s="1093"/>
      <c r="Y146" s="1093"/>
      <c r="Z146" s="1093"/>
      <c r="AA146" s="1093"/>
      <c r="AB146" s="1093"/>
      <c r="AC146" s="1093"/>
      <c r="AD146" s="1093"/>
      <c r="AE146" s="1093"/>
      <c r="AF146" s="1093"/>
      <c r="AG146" s="1093"/>
      <c r="AH146" s="1093"/>
      <c r="AI146" s="1093"/>
      <c r="AJ146" s="1093"/>
      <c r="AK146" s="1093"/>
      <c r="AL146" s="1093"/>
      <c r="AM146" s="1093"/>
      <c r="AN146" s="1093"/>
      <c r="AO146" s="1093"/>
      <c r="AP146" s="1093"/>
      <c r="AQ146" s="1093"/>
      <c r="AR146" s="1093"/>
      <c r="AS146" s="1093"/>
      <c r="AT146" s="1093"/>
      <c r="AU146" s="1093"/>
      <c r="AV146" s="1093"/>
      <c r="AW146" s="1093"/>
      <c r="AX146" s="1093"/>
      <c r="AY146" s="1093"/>
      <c r="AZ146" s="1093"/>
      <c r="BA146" s="1093"/>
      <c r="BB146" s="1093"/>
      <c r="BC146" s="1093"/>
      <c r="BD146" s="1093"/>
      <c r="BE146" s="1093"/>
      <c r="BF146" s="1093"/>
      <c r="BG146" s="1093"/>
      <c r="BH146" s="1093"/>
      <c r="BI146" s="1093"/>
      <c r="BJ146" s="1093"/>
      <c r="BK146" s="1093"/>
      <c r="BL146" s="1093"/>
      <c r="BM146" s="1093"/>
      <c r="BN146" s="1093"/>
      <c r="BO146" s="1093"/>
      <c r="BP146" s="1093"/>
      <c r="BQ146" s="1093"/>
      <c r="BR146" s="1093"/>
      <c r="BS146" s="1093"/>
      <c r="BT146" s="1093"/>
      <c r="BU146" s="1093"/>
    </row>
    <row r="147" spans="1:73" x14ac:dyDescent="0.25">
      <c r="A147" s="1093"/>
      <c r="B147" s="1093"/>
      <c r="C147" s="1117">
        <v>7</v>
      </c>
      <c r="D147" s="1097" t="str">
        <f t="shared" ref="D147:G147" ca="1" si="74">OFFSET(D$76,MATCH($C147,$N$101:$N$107,0)*3,0)</f>
        <v>Utilities Consumption (% of baseline) = 105%</v>
      </c>
      <c r="E147" s="1110">
        <f t="shared" ca="1" si="74"/>
        <v>5.175427725657066</v>
      </c>
      <c r="F147" s="1110">
        <f t="shared" ca="1" si="74"/>
        <v>0</v>
      </c>
      <c r="G147" s="1110">
        <f t="shared" ca="1" si="74"/>
        <v>3.6162038529268764E-3</v>
      </c>
      <c r="H147" s="1110"/>
      <c r="I147" s="1110"/>
      <c r="J147" s="1110"/>
      <c r="K147" s="1110"/>
      <c r="L147" s="1110"/>
      <c r="M147" s="1110"/>
      <c r="N147" s="1110"/>
      <c r="O147" s="1110"/>
      <c r="P147" s="1110"/>
      <c r="Q147" s="1110"/>
      <c r="R147" s="1110"/>
      <c r="S147" s="1110"/>
      <c r="T147" s="1093"/>
      <c r="U147" s="1093"/>
      <c r="V147" s="1093"/>
      <c r="W147" s="1093"/>
      <c r="X147" s="1093"/>
      <c r="Y147" s="1093"/>
      <c r="Z147" s="1093"/>
      <c r="AA147" s="1093"/>
      <c r="AB147" s="1093"/>
      <c r="AC147" s="1093"/>
      <c r="AD147" s="1093"/>
      <c r="AE147" s="1093"/>
      <c r="AF147" s="1093"/>
      <c r="AG147" s="1093"/>
      <c r="AH147" s="1093"/>
      <c r="AI147" s="1093"/>
      <c r="AJ147" s="1093"/>
      <c r="AK147" s="1093"/>
      <c r="AL147" s="1093"/>
      <c r="AM147" s="1093"/>
      <c r="AN147" s="1093"/>
      <c r="AO147" s="1093"/>
      <c r="AP147" s="1093"/>
      <c r="AQ147" s="1093"/>
      <c r="AR147" s="1093"/>
      <c r="AS147" s="1093"/>
      <c r="AT147" s="1093"/>
      <c r="AU147" s="1093"/>
      <c r="AV147" s="1093"/>
      <c r="AW147" s="1093"/>
      <c r="AX147" s="1093"/>
      <c r="AY147" s="1093"/>
      <c r="AZ147" s="1093"/>
      <c r="BA147" s="1093"/>
      <c r="BB147" s="1093"/>
      <c r="BC147" s="1093"/>
      <c r="BD147" s="1093"/>
      <c r="BE147" s="1093"/>
      <c r="BF147" s="1093"/>
      <c r="BG147" s="1093"/>
      <c r="BH147" s="1093"/>
      <c r="BI147" s="1093"/>
      <c r="BJ147" s="1093"/>
      <c r="BK147" s="1093"/>
      <c r="BL147" s="1093"/>
      <c r="BM147" s="1093"/>
      <c r="BN147" s="1093"/>
      <c r="BO147" s="1093"/>
      <c r="BP147" s="1093"/>
      <c r="BQ147" s="1093"/>
      <c r="BR147" s="1093"/>
      <c r="BS147" s="1093"/>
      <c r="BT147" s="1093"/>
      <c r="BU147" s="1093"/>
    </row>
    <row r="148" spans="1:73" x14ac:dyDescent="0.25">
      <c r="A148" s="1093"/>
      <c r="B148" s="1093"/>
      <c r="C148" s="1097"/>
      <c r="D148" s="1097"/>
      <c r="E148" s="1097"/>
      <c r="F148" s="1097"/>
      <c r="G148" s="1097"/>
      <c r="H148" s="1110">
        <f t="shared" ref="H148:S148" ca="1" si="75">OFFSET(H$76,MATCH($C147,$N$101:$N$107,0)*3,0)</f>
        <v>0.31371975905265359</v>
      </c>
      <c r="I148" s="1110">
        <f t="shared" ca="1" si="75"/>
        <v>0.14839099904025835</v>
      </c>
      <c r="J148" s="1110">
        <f t="shared" ca="1" si="75"/>
        <v>2.0325062994071771E-2</v>
      </c>
      <c r="K148" s="1110">
        <f t="shared" ca="1" si="75"/>
        <v>1.303585765569026E-3</v>
      </c>
      <c r="L148" s="1110">
        <f t="shared" ca="1" si="75"/>
        <v>3.6102033259842637E-3</v>
      </c>
      <c r="M148" s="1110">
        <f t="shared" ca="1" si="75"/>
        <v>0.46242636654752067</v>
      </c>
      <c r="N148" s="1110">
        <f t="shared" ca="1" si="75"/>
        <v>3.995330806246626</v>
      </c>
      <c r="O148" s="1110">
        <f t="shared" ca="1" si="75"/>
        <v>0</v>
      </c>
      <c r="P148" s="1110">
        <f t="shared" ca="1" si="75"/>
        <v>1.1304767209823824E-2</v>
      </c>
      <c r="Q148" s="1110">
        <f t="shared" ca="1" si="75"/>
        <v>0.18686972706006519</v>
      </c>
      <c r="R148" s="1110">
        <f t="shared" ca="1" si="75"/>
        <v>2.5559942042201422E-2</v>
      </c>
      <c r="S148" s="1110">
        <f t="shared" ca="1" si="75"/>
        <v>1.0202710225216656E-2</v>
      </c>
      <c r="T148" s="1093"/>
      <c r="U148" s="1093"/>
      <c r="V148" s="1093"/>
      <c r="W148" s="1093"/>
      <c r="X148" s="1093"/>
      <c r="Y148" s="1093"/>
      <c r="Z148" s="1093"/>
      <c r="AA148" s="1093"/>
      <c r="AB148" s="1093"/>
      <c r="AC148" s="1093"/>
      <c r="AD148" s="1093"/>
      <c r="AE148" s="1093"/>
      <c r="AF148" s="1093"/>
      <c r="AG148" s="1093"/>
      <c r="AH148" s="1093"/>
      <c r="AI148" s="1093"/>
      <c r="AJ148" s="1093"/>
      <c r="AK148" s="1093"/>
      <c r="AL148" s="1093"/>
      <c r="AM148" s="1093"/>
      <c r="AN148" s="1093"/>
      <c r="AO148" s="1093"/>
      <c r="AP148" s="1093"/>
      <c r="AQ148" s="1093"/>
      <c r="AR148" s="1093"/>
      <c r="AS148" s="1093"/>
      <c r="AT148" s="1093"/>
      <c r="AU148" s="1093"/>
      <c r="AV148" s="1093"/>
      <c r="AW148" s="1093"/>
      <c r="AX148" s="1093"/>
      <c r="AY148" s="1093"/>
      <c r="AZ148" s="1093"/>
      <c r="BA148" s="1093"/>
      <c r="BB148" s="1093"/>
      <c r="BC148" s="1093"/>
      <c r="BD148" s="1093"/>
      <c r="BE148" s="1093"/>
      <c r="BF148" s="1093"/>
      <c r="BG148" s="1093"/>
      <c r="BH148" s="1093"/>
      <c r="BI148" s="1093"/>
      <c r="BJ148" s="1093"/>
      <c r="BK148" s="1093"/>
      <c r="BL148" s="1093"/>
      <c r="BM148" s="1093"/>
      <c r="BN148" s="1093"/>
      <c r="BO148" s="1093"/>
      <c r="BP148" s="1093"/>
      <c r="BQ148" s="1093"/>
      <c r="BR148" s="1093"/>
      <c r="BS148" s="1093"/>
      <c r="BT148" s="1093"/>
      <c r="BU148" s="1093"/>
    </row>
    <row r="149" spans="1:73" x14ac:dyDescent="0.25">
      <c r="A149" s="1093"/>
      <c r="B149" s="1093"/>
      <c r="C149" s="1093"/>
      <c r="D149" s="1093"/>
      <c r="E149" s="1093"/>
      <c r="F149" s="1093"/>
      <c r="G149" s="1093"/>
      <c r="H149" s="1093"/>
      <c r="I149" s="1093"/>
      <c r="J149" s="1093"/>
      <c r="K149" s="1093"/>
      <c r="L149" s="1093"/>
      <c r="M149" s="1093"/>
      <c r="N149" s="1093"/>
      <c r="O149" s="1093"/>
      <c r="P149" s="1093"/>
      <c r="Q149" s="1093"/>
      <c r="R149" s="1093"/>
      <c r="S149" s="1093"/>
      <c r="T149" s="1093"/>
      <c r="U149" s="1093"/>
      <c r="V149" s="1093"/>
      <c r="W149" s="1093"/>
      <c r="X149" s="1093"/>
      <c r="Y149" s="1093"/>
      <c r="Z149" s="1093"/>
      <c r="AA149" s="1093"/>
      <c r="AB149" s="1093"/>
      <c r="AC149" s="1093"/>
      <c r="AD149" s="1093"/>
      <c r="AE149" s="1093"/>
      <c r="AF149" s="1093"/>
      <c r="AG149" s="1093"/>
      <c r="AH149" s="1093"/>
      <c r="AI149" s="1093"/>
      <c r="AJ149" s="1093"/>
      <c r="AK149" s="1093"/>
      <c r="AL149" s="1093"/>
      <c r="AM149" s="1093"/>
      <c r="AN149" s="1093"/>
      <c r="AO149" s="1093"/>
      <c r="AP149" s="1093"/>
      <c r="AQ149" s="1093"/>
      <c r="AR149" s="1093"/>
      <c r="AS149" s="1093"/>
      <c r="AT149" s="1093"/>
      <c r="AU149" s="1093"/>
      <c r="AV149" s="1093"/>
      <c r="AW149" s="1093"/>
      <c r="AX149" s="1093"/>
      <c r="AY149" s="1093"/>
      <c r="AZ149" s="1093"/>
      <c r="BA149" s="1093"/>
      <c r="BB149" s="1093"/>
      <c r="BC149" s="1093"/>
      <c r="BD149" s="1093"/>
      <c r="BE149" s="1093"/>
      <c r="BF149" s="1093"/>
      <c r="BG149" s="1093"/>
      <c r="BH149" s="1093"/>
      <c r="BI149" s="1093"/>
      <c r="BJ149" s="1093"/>
      <c r="BK149" s="1093"/>
      <c r="BL149" s="1093"/>
      <c r="BM149" s="1093"/>
      <c r="BN149" s="1093"/>
      <c r="BO149" s="1093"/>
      <c r="BP149" s="1093"/>
      <c r="BQ149" s="1093"/>
      <c r="BR149" s="1093"/>
      <c r="BS149" s="1093"/>
      <c r="BT149" s="1093"/>
      <c r="BU149" s="1093"/>
    </row>
    <row r="150" spans="1:73" x14ac:dyDescent="0.25">
      <c r="A150" s="1093"/>
      <c r="B150" s="1093"/>
      <c r="C150" s="1093"/>
      <c r="D150" s="1093"/>
      <c r="E150" s="1093"/>
      <c r="F150" s="1093"/>
      <c r="G150" s="1093"/>
      <c r="H150" s="1093"/>
      <c r="I150" s="1093"/>
      <c r="J150" s="1093"/>
      <c r="K150" s="1093"/>
      <c r="L150" s="1093"/>
      <c r="M150" s="1093"/>
      <c r="N150" s="1093"/>
      <c r="O150" s="1093"/>
      <c r="P150" s="1093"/>
      <c r="Q150" s="1093"/>
      <c r="R150" s="1093"/>
      <c r="S150" s="1093"/>
      <c r="T150" s="1093"/>
      <c r="U150" s="1093"/>
      <c r="V150" s="1093"/>
      <c r="W150" s="1093"/>
      <c r="X150" s="1093"/>
      <c r="Y150" s="1093"/>
      <c r="Z150" s="1093"/>
      <c r="AA150" s="1093"/>
      <c r="AB150" s="1093"/>
      <c r="AC150" s="1093"/>
      <c r="AD150" s="1093"/>
      <c r="AE150" s="1093"/>
      <c r="AF150" s="1093"/>
      <c r="AG150" s="1093"/>
      <c r="AH150" s="1093"/>
      <c r="AI150" s="1093"/>
      <c r="AJ150" s="1093"/>
      <c r="AK150" s="1093"/>
      <c r="AL150" s="1093"/>
      <c r="AM150" s="1093"/>
      <c r="AN150" s="1093"/>
      <c r="AO150" s="1093"/>
      <c r="AP150" s="1093"/>
      <c r="AQ150" s="1093"/>
      <c r="AR150" s="1093"/>
      <c r="AS150" s="1093"/>
      <c r="AT150" s="1093"/>
      <c r="AU150" s="1093"/>
      <c r="AV150" s="1093"/>
      <c r="AW150" s="1093"/>
      <c r="AX150" s="1093"/>
      <c r="AY150" s="1093"/>
      <c r="AZ150" s="1093"/>
      <c r="BA150" s="1093"/>
      <c r="BB150" s="1093"/>
      <c r="BC150" s="1093"/>
      <c r="BD150" s="1093"/>
      <c r="BE150" s="1093"/>
      <c r="BF150" s="1093"/>
      <c r="BG150" s="1093"/>
      <c r="BH150" s="1093"/>
      <c r="BI150" s="1093"/>
      <c r="BJ150" s="1093"/>
      <c r="BK150" s="1093"/>
      <c r="BL150" s="1093"/>
      <c r="BM150" s="1093"/>
      <c r="BN150" s="1093"/>
      <c r="BO150" s="1093"/>
      <c r="BP150" s="1093"/>
      <c r="BQ150" s="1093"/>
      <c r="BR150" s="1093"/>
      <c r="BS150" s="1093"/>
      <c r="BT150" s="1093"/>
      <c r="BU150" s="1093"/>
    </row>
    <row r="151" spans="1:73" x14ac:dyDescent="0.25">
      <c r="A151" s="1093"/>
      <c r="B151" s="1093"/>
      <c r="C151" s="1093"/>
      <c r="D151" s="1093"/>
      <c r="E151" s="1093"/>
      <c r="F151" s="1093"/>
      <c r="G151" s="1093"/>
      <c r="H151" s="1093"/>
      <c r="I151" s="1093"/>
      <c r="J151" s="1093"/>
      <c r="K151" s="1093"/>
      <c r="L151" s="1093"/>
      <c r="M151" s="1093"/>
      <c r="N151" s="1093"/>
      <c r="O151" s="1093"/>
      <c r="P151" s="1093"/>
      <c r="Q151" s="1093"/>
      <c r="R151" s="1093"/>
      <c r="S151" s="1093"/>
      <c r="T151" s="1093"/>
      <c r="U151" s="1093"/>
      <c r="V151" s="1093"/>
      <c r="W151" s="1093"/>
      <c r="X151" s="1093"/>
      <c r="Y151" s="1093"/>
      <c r="Z151" s="1093"/>
      <c r="AA151" s="1093"/>
      <c r="AB151" s="1093"/>
      <c r="AC151" s="1093"/>
      <c r="AD151" s="1093"/>
      <c r="AE151" s="1093"/>
      <c r="AF151" s="1093"/>
      <c r="AG151" s="1093"/>
      <c r="AH151" s="1093"/>
      <c r="AI151" s="1093"/>
      <c r="AJ151" s="1093"/>
      <c r="AK151" s="1093"/>
      <c r="AL151" s="1093"/>
      <c r="AM151" s="1093"/>
      <c r="AN151" s="1093"/>
      <c r="AO151" s="1093"/>
      <c r="AP151" s="1093"/>
      <c r="AQ151" s="1093"/>
      <c r="AR151" s="1093"/>
      <c r="AS151" s="1093"/>
    </row>
    <row r="152" spans="1:73" ht="13" x14ac:dyDescent="0.3">
      <c r="A152" s="1093"/>
      <c r="B152" s="1095" t="s">
        <v>1161</v>
      </c>
      <c r="C152" s="1093"/>
      <c r="D152" s="1093"/>
      <c r="E152" s="1093"/>
      <c r="F152" s="1093"/>
      <c r="G152" s="1093"/>
      <c r="H152" s="1093"/>
      <c r="I152" s="1093"/>
      <c r="J152" s="1093"/>
      <c r="K152" s="1093"/>
      <c r="L152" s="1093"/>
      <c r="M152" s="1093"/>
      <c r="N152" s="1093"/>
      <c r="O152" s="1093"/>
      <c r="P152" s="1093"/>
      <c r="Q152" s="1093"/>
      <c r="R152" s="1093"/>
      <c r="S152" s="1093"/>
      <c r="T152" s="1093"/>
      <c r="U152" s="1093"/>
      <c r="V152" s="1093"/>
      <c r="W152" s="1093"/>
      <c r="X152" s="1093"/>
      <c r="Y152" s="1093"/>
      <c r="Z152" s="1093"/>
      <c r="AA152" s="1093"/>
      <c r="AB152" s="1093"/>
      <c r="AC152" s="1093"/>
      <c r="AD152" s="1093"/>
      <c r="AE152" s="1093"/>
      <c r="AF152" s="1093"/>
      <c r="AG152" s="1093"/>
      <c r="AH152" s="1093"/>
      <c r="AI152" s="1093"/>
      <c r="AJ152" s="1093"/>
      <c r="AK152" s="1093"/>
      <c r="AL152" s="1093"/>
      <c r="AM152" s="1093"/>
      <c r="AN152" s="1093"/>
      <c r="AO152" s="1093"/>
      <c r="AP152" s="1093"/>
      <c r="AQ152" s="1093"/>
      <c r="AR152" s="1093"/>
      <c r="AS152" s="1093"/>
    </row>
    <row r="153" spans="1:73" ht="13" x14ac:dyDescent="0.3">
      <c r="A153" s="1093"/>
      <c r="B153" s="1093"/>
      <c r="C153" s="1093"/>
      <c r="D153" s="1104" t="s">
        <v>1165</v>
      </c>
      <c r="E153" s="1104"/>
      <c r="F153" s="1104"/>
      <c r="G153" s="1104"/>
      <c r="H153" s="1104"/>
      <c r="I153" s="1104"/>
      <c r="J153" s="1093"/>
      <c r="K153" s="1093"/>
      <c r="L153" s="1093"/>
      <c r="M153" s="1093"/>
      <c r="N153" s="1093"/>
      <c r="O153" s="1093"/>
      <c r="P153" s="1093"/>
      <c r="Q153" s="1093"/>
      <c r="R153" s="1093"/>
      <c r="S153" s="1093"/>
      <c r="T153" s="1093"/>
      <c r="U153" s="1093"/>
      <c r="V153" s="1093"/>
      <c r="W153" s="1093"/>
      <c r="X153" s="1093"/>
      <c r="Y153" s="1093"/>
      <c r="Z153" s="1093"/>
      <c r="AA153" s="1093"/>
      <c r="AB153" s="1093"/>
      <c r="AC153" s="1093"/>
      <c r="AD153" s="1093"/>
      <c r="AE153" s="1093"/>
      <c r="AF153" s="1093"/>
      <c r="AG153" s="1093"/>
      <c r="AH153" s="1093"/>
      <c r="AI153" s="1093"/>
      <c r="AJ153" s="1093"/>
      <c r="AK153" s="1093"/>
      <c r="AL153" s="1093"/>
      <c r="AM153" s="1093"/>
      <c r="AN153" s="1093"/>
      <c r="AO153" s="1093"/>
      <c r="AP153" s="1093"/>
      <c r="AQ153" s="1093"/>
      <c r="AR153" s="1093"/>
      <c r="AS153" s="1093"/>
    </row>
    <row r="154" spans="1:73" ht="26" x14ac:dyDescent="0.3">
      <c r="A154" s="1093"/>
      <c r="B154" s="1095"/>
      <c r="C154" s="1093"/>
      <c r="D154" s="1104" t="s">
        <v>1164</v>
      </c>
      <c r="E154" s="1104" t="s">
        <v>1170</v>
      </c>
      <c r="F154" s="1104" t="s">
        <v>1166</v>
      </c>
      <c r="G154" s="1104" t="s">
        <v>1167</v>
      </c>
      <c r="H154" s="1104" t="s">
        <v>1168</v>
      </c>
      <c r="I154" s="1104" t="s">
        <v>1169</v>
      </c>
      <c r="J154" s="1093"/>
      <c r="K154" s="1104" t="s">
        <v>1199</v>
      </c>
      <c r="L154" s="1104" t="s">
        <v>1197</v>
      </c>
      <c r="M154" s="1104" t="s">
        <v>1198</v>
      </c>
      <c r="N154" s="1104" t="s">
        <v>1200</v>
      </c>
      <c r="O154" s="1093"/>
      <c r="P154" s="1093"/>
      <c r="Q154" s="1093"/>
      <c r="R154" s="1093"/>
      <c r="S154" s="1093"/>
      <c r="T154" s="1093"/>
      <c r="U154" s="1093"/>
      <c r="V154" s="1093"/>
      <c r="W154" s="1093"/>
      <c r="X154" s="1093"/>
      <c r="Y154" s="1093"/>
      <c r="Z154" s="1093"/>
      <c r="AA154" s="1093"/>
      <c r="AB154" s="1093"/>
      <c r="AC154" s="1093"/>
      <c r="AD154" s="1093"/>
      <c r="AE154" s="1093"/>
      <c r="AF154" s="1093"/>
      <c r="AG154" s="1093"/>
      <c r="AH154" s="1093"/>
      <c r="AI154" s="1093"/>
      <c r="AJ154" s="1093"/>
      <c r="AK154" s="1093"/>
      <c r="AL154" s="1093"/>
      <c r="AM154" s="1093"/>
      <c r="AN154" s="1093"/>
      <c r="AO154" s="1093"/>
      <c r="AP154" s="1093"/>
      <c r="AQ154" s="1093"/>
      <c r="AR154" s="1093"/>
      <c r="AS154" s="1093"/>
    </row>
    <row r="155" spans="1:73" ht="13" x14ac:dyDescent="0.3">
      <c r="A155" s="1093"/>
      <c r="B155" s="1095" t="s">
        <v>1163</v>
      </c>
      <c r="C155" s="1093">
        <v>1</v>
      </c>
      <c r="D155" s="1096" t="s">
        <v>1178</v>
      </c>
      <c r="E155" s="1110">
        <f ca="1">+K48+C155/10000000000</f>
        <v>5.175427725757066</v>
      </c>
      <c r="F155" s="1097">
        <f ca="1">+RANK(E155,$E$155:$E$157)</f>
        <v>1</v>
      </c>
      <c r="G155" s="1102">
        <v>1</v>
      </c>
      <c r="H155" s="1097" t="str">
        <f ca="1">OFFSET($D$154,MATCH($G155,$F$155:$F$157,0),0)</f>
        <v>Cost of Hydrogen</v>
      </c>
      <c r="I155" s="1112">
        <f ca="1">OFFSET($E$154,MATCH($G155,$F$155:$F$157,0),0)-OFFSET($C$154,MATCH($G155,$F$155:$F$157,0),0)/10000000000</f>
        <v>5.175427725657066</v>
      </c>
      <c r="J155" s="1093"/>
      <c r="K155" s="1097" t="str">
        <f ca="1">+H155</f>
        <v>Cost of Hydrogen</v>
      </c>
      <c r="L155" s="1110">
        <f ca="1">+I155</f>
        <v>5.175427725657066</v>
      </c>
      <c r="M155" s="1097"/>
      <c r="N155" s="1097" t="str">
        <f ca="1">+IF(L155&gt;0,K155,"")</f>
        <v>Cost of Hydrogen</v>
      </c>
      <c r="O155" s="1093"/>
      <c r="P155" s="1093"/>
      <c r="Q155" s="1093"/>
      <c r="R155" s="1093"/>
      <c r="S155" s="1093"/>
      <c r="T155" s="1093"/>
      <c r="U155" s="1093"/>
      <c r="V155" s="1093"/>
      <c r="W155" s="1093"/>
      <c r="X155" s="1093"/>
      <c r="Y155" s="1093"/>
      <c r="Z155" s="1093"/>
      <c r="AA155" s="1093"/>
      <c r="AB155" s="1093"/>
      <c r="AC155" s="1093"/>
      <c r="AD155" s="1093"/>
      <c r="AE155" s="1093"/>
      <c r="AF155" s="1093"/>
      <c r="AG155" s="1093"/>
      <c r="AH155" s="1093"/>
      <c r="AI155" s="1093"/>
      <c r="AJ155" s="1093"/>
    </row>
    <row r="156" spans="1:73" ht="13" x14ac:dyDescent="0.3">
      <c r="A156" s="1093"/>
      <c r="B156" s="1095"/>
      <c r="C156" s="1093">
        <v>2</v>
      </c>
      <c r="D156" s="1097" t="str">
        <f>+F110</f>
        <v>Byproduct Sales</v>
      </c>
      <c r="E156" s="1110">
        <f ca="1">+L48+C156/10000000000</f>
        <v>2.0000000000000001E-10</v>
      </c>
      <c r="F156" s="1097">
        <f ca="1">+RANK(E156,$E$155:$E$157)</f>
        <v>3</v>
      </c>
      <c r="G156" s="1102">
        <v>2</v>
      </c>
      <c r="H156" s="1097" t="str">
        <f ca="1">OFFSET($D$154,MATCH($G156,$F$155:$F$157,0),0)</f>
        <v>Salvage Value</v>
      </c>
      <c r="I156" s="1112">
        <f ca="1">OFFSET($E$154,MATCH($G156,$F$155:$F$157,0),0)-OFFSET($C$154,MATCH($G156,$F$155:$F$157,0),0)/10000000000</f>
        <v>3.6162038529268764E-3</v>
      </c>
      <c r="J156" s="1093"/>
      <c r="K156" s="1097" t="str">
        <f t="shared" ref="K156:K170" ca="1" si="76">+H156</f>
        <v>Salvage Value</v>
      </c>
      <c r="L156" s="1110">
        <f t="shared" ref="L156:L157" ca="1" si="77">+I156</f>
        <v>3.6162038529268764E-3</v>
      </c>
      <c r="M156" s="1097"/>
      <c r="N156" s="1097" t="str">
        <f t="shared" ref="N156:N157" ca="1" si="78">+IF(L156&gt;0,K156,"")</f>
        <v>Salvage Value</v>
      </c>
      <c r="O156" s="1093"/>
      <c r="P156" s="1093"/>
      <c r="Q156" s="1093"/>
      <c r="R156" s="1093"/>
      <c r="S156" s="1093"/>
      <c r="T156" s="1093"/>
      <c r="U156" s="1093"/>
      <c r="V156" s="1093"/>
      <c r="W156" s="1093"/>
      <c r="X156" s="1093"/>
      <c r="Y156" s="1093"/>
      <c r="Z156" s="1093"/>
      <c r="AA156" s="1093"/>
      <c r="AB156" s="1093"/>
      <c r="AC156" s="1093"/>
      <c r="AD156" s="1093"/>
      <c r="AE156" s="1093"/>
      <c r="AF156" s="1093"/>
      <c r="AG156" s="1093"/>
      <c r="AH156" s="1093"/>
      <c r="AI156" s="1093"/>
      <c r="AJ156" s="1093"/>
    </row>
    <row r="157" spans="1:73" ht="13" x14ac:dyDescent="0.3">
      <c r="A157" s="1093"/>
      <c r="B157" s="1095"/>
      <c r="C157" s="1093">
        <v>3</v>
      </c>
      <c r="D157" s="1097" t="str">
        <f>+G110</f>
        <v>Salvage Value</v>
      </c>
      <c r="E157" s="1110">
        <f ca="1">+M48+C157/10000000000</f>
        <v>3.6162041529268765E-3</v>
      </c>
      <c r="F157" s="1097">
        <f ca="1">+RANK(E157,$E$155:$E$157)</f>
        <v>2</v>
      </c>
      <c r="G157" s="1102">
        <v>3</v>
      </c>
      <c r="H157" s="1097" t="str">
        <f ca="1">OFFSET($D$154,MATCH($G157,$F$155:$F$157,0),0)</f>
        <v>Byproduct Sales</v>
      </c>
      <c r="I157" s="1112">
        <f ca="1">OFFSET($E$154,MATCH($G157,$F$155:$F$157,0),0)-OFFSET($C$154,MATCH($G157,$F$155:$F$157,0),0)/10000000000</f>
        <v>0</v>
      </c>
      <c r="J157" s="1093"/>
      <c r="K157" s="1097" t="str">
        <f t="shared" ca="1" si="76"/>
        <v>Byproduct Sales</v>
      </c>
      <c r="L157" s="1110">
        <f t="shared" ca="1" si="77"/>
        <v>0</v>
      </c>
      <c r="M157" s="1097"/>
      <c r="N157" s="1097" t="str">
        <f t="shared" ca="1" si="78"/>
        <v/>
      </c>
      <c r="O157" s="1093"/>
      <c r="P157" s="1093"/>
      <c r="Q157" s="1093"/>
      <c r="R157" s="1093"/>
      <c r="S157" s="1093"/>
      <c r="T157" s="1093"/>
      <c r="U157" s="1093"/>
      <c r="V157" s="1093"/>
      <c r="W157" s="1093"/>
      <c r="X157" s="1093"/>
      <c r="Y157" s="1093"/>
      <c r="Z157" s="1093"/>
      <c r="AA157" s="1093"/>
      <c r="AB157" s="1093"/>
      <c r="AC157" s="1093"/>
      <c r="AD157" s="1093"/>
      <c r="AE157" s="1093"/>
      <c r="AF157" s="1093"/>
      <c r="AG157" s="1093"/>
      <c r="AH157" s="1093"/>
      <c r="AI157" s="1093"/>
      <c r="AJ157" s="1093"/>
    </row>
    <row r="158" spans="1:73" ht="13" x14ac:dyDescent="0.3">
      <c r="A158" s="1093"/>
      <c r="B158" s="1095"/>
      <c r="C158" s="1093"/>
      <c r="D158" s="1095"/>
      <c r="E158" s="1095"/>
      <c r="F158" s="1095"/>
      <c r="G158" s="1095"/>
      <c r="H158" s="1095"/>
      <c r="I158" s="1123"/>
      <c r="J158" s="1093"/>
      <c r="K158" s="1097"/>
      <c r="L158" s="1097"/>
      <c r="M158" s="1110"/>
      <c r="N158" s="1097" t="str">
        <f t="shared" ref="N158" si="79">+IF(L158&gt;0.01,K158,"")</f>
        <v/>
      </c>
      <c r="O158" s="1093"/>
      <c r="P158" s="1093"/>
      <c r="Q158" s="1093"/>
      <c r="R158" s="1093"/>
      <c r="S158" s="1093"/>
      <c r="T158" s="1093"/>
      <c r="U158" s="1093"/>
      <c r="V158" s="1093"/>
      <c r="W158" s="1093"/>
      <c r="X158" s="1093"/>
      <c r="Y158" s="1093"/>
      <c r="Z158" s="1093"/>
      <c r="AA158" s="1093"/>
      <c r="AB158" s="1093"/>
      <c r="AC158" s="1093"/>
      <c r="AD158" s="1093"/>
      <c r="AE158" s="1093"/>
      <c r="AF158" s="1093"/>
      <c r="AG158" s="1093"/>
      <c r="AH158" s="1093"/>
      <c r="AI158" s="1093"/>
      <c r="AJ158" s="1093"/>
    </row>
    <row r="159" spans="1:73" ht="13" x14ac:dyDescent="0.3">
      <c r="A159" s="1093"/>
      <c r="B159" s="1095" t="s">
        <v>1162</v>
      </c>
      <c r="C159" s="1093">
        <v>1</v>
      </c>
      <c r="D159" s="1097" t="str">
        <f>+H110</f>
        <v>Initial Equity Depreciable Capital</v>
      </c>
      <c r="E159" s="1110">
        <f ca="1">+N48+C159/10000000000</f>
        <v>0.3137197591526536</v>
      </c>
      <c r="F159" s="1097">
        <f t="shared" ref="F159:F170" ca="1" si="80">+RANK(E159,$E$159:$E$170)</f>
        <v>3</v>
      </c>
      <c r="G159" s="1102">
        <v>1</v>
      </c>
      <c r="H159" s="1097" t="str">
        <f t="shared" ref="H159:H170" ca="1" si="81">OFFSET($D$158,MATCH($G159,$F$159:$F$170,0),0)</f>
        <v>Feedstock Cost</v>
      </c>
      <c r="I159" s="1112">
        <f t="shared" ref="I159:I170" ca="1" si="82">OFFSET($E$158,MATCH($G159,$F$159:$F$170,0),0)-OFFSET($C$158,MATCH($G159,$F$159:$F$170,0),0)/10000000000</f>
        <v>3.995330806246626</v>
      </c>
      <c r="J159" s="1093"/>
      <c r="K159" s="1097" t="str">
        <f t="shared" ca="1" si="76"/>
        <v>Feedstock Cost</v>
      </c>
      <c r="L159" s="1097"/>
      <c r="M159" s="1110">
        <f ca="1">+I159</f>
        <v>3.995330806246626</v>
      </c>
      <c r="N159" s="1097" t="str">
        <f ca="1">+IF(M159&gt;0,K159,"")</f>
        <v>Feedstock Cost</v>
      </c>
      <c r="O159" s="1093"/>
      <c r="P159" s="1093"/>
      <c r="Q159" s="1093"/>
      <c r="R159" s="1093"/>
      <c r="S159" s="1093"/>
      <c r="T159" s="1093"/>
      <c r="U159" s="1093"/>
      <c r="V159" s="1093"/>
      <c r="W159" s="1093"/>
      <c r="X159" s="1093"/>
      <c r="Y159" s="1093"/>
      <c r="Z159" s="1093"/>
      <c r="AA159" s="1093"/>
      <c r="AB159" s="1093"/>
      <c r="AC159" s="1093"/>
      <c r="AD159" s="1093"/>
      <c r="AE159" s="1093"/>
      <c r="AF159" s="1093"/>
      <c r="AG159" s="1093"/>
      <c r="AH159" s="1093"/>
      <c r="AI159" s="1093"/>
      <c r="AJ159" s="1093"/>
    </row>
    <row r="160" spans="1:73" x14ac:dyDescent="0.25">
      <c r="A160" s="1093"/>
      <c r="B160" s="1093"/>
      <c r="C160" s="1093">
        <f>+C159+1</f>
        <v>2</v>
      </c>
      <c r="D160" s="1097" t="str">
        <f>+I110</f>
        <v>Yearly Replacement Costs</v>
      </c>
      <c r="E160" s="1110">
        <f ca="1">+O48+C160/10000000000</f>
        <v>0.14839099924025834</v>
      </c>
      <c r="F160" s="1097">
        <f t="shared" ca="1" si="80"/>
        <v>5</v>
      </c>
      <c r="G160" s="1102">
        <v>2</v>
      </c>
      <c r="H160" s="1097" t="str">
        <f t="shared" ca="1" si="81"/>
        <v>Fixed Operating Cost</v>
      </c>
      <c r="I160" s="1112">
        <f t="shared" ca="1" si="82"/>
        <v>0.46242636654752067</v>
      </c>
      <c r="J160" s="1093"/>
      <c r="K160" s="1097" t="str">
        <f t="shared" ca="1" si="76"/>
        <v>Fixed Operating Cost</v>
      </c>
      <c r="L160" s="1097"/>
      <c r="M160" s="1110">
        <f t="shared" ref="M160:M170" ca="1" si="83">+I160</f>
        <v>0.46242636654752067</v>
      </c>
      <c r="N160" s="1097" t="str">
        <f t="shared" ref="N160:N170" ca="1" si="84">+IF(M160&gt;0,K160,"")</f>
        <v>Fixed Operating Cost</v>
      </c>
      <c r="O160" s="1093"/>
      <c r="P160" s="1093"/>
      <c r="Q160" s="1093"/>
      <c r="R160" s="1093"/>
      <c r="S160" s="1093"/>
      <c r="T160" s="1093"/>
      <c r="U160" s="1093"/>
      <c r="V160" s="1093"/>
      <c r="W160" s="1093"/>
      <c r="X160" s="1093"/>
      <c r="Y160" s="1093"/>
      <c r="Z160" s="1093"/>
      <c r="AA160" s="1093"/>
      <c r="AB160" s="1093"/>
      <c r="AC160" s="1093"/>
      <c r="AD160" s="1093"/>
      <c r="AE160" s="1093"/>
      <c r="AF160" s="1093"/>
      <c r="AG160" s="1093"/>
      <c r="AH160" s="1093"/>
      <c r="AI160" s="1093"/>
      <c r="AJ160" s="1093"/>
    </row>
    <row r="161" spans="1:36" x14ac:dyDescent="0.25">
      <c r="A161" s="1093"/>
      <c r="B161" s="1093"/>
      <c r="C161" s="1093">
        <f t="shared" ref="C161:C170" si="85">+C160+1</f>
        <v>3</v>
      </c>
      <c r="D161" s="1097" t="str">
        <f>+J110</f>
        <v>Cash for Working Capital Reserve</v>
      </c>
      <c r="E161" s="1110">
        <f ca="1">+P48+C161/10000000000</f>
        <v>2.0325063294071771E-2</v>
      </c>
      <c r="F161" s="1097">
        <f t="shared" ca="1" si="80"/>
        <v>7</v>
      </c>
      <c r="G161" s="1102">
        <v>3</v>
      </c>
      <c r="H161" s="1097" t="str">
        <f t="shared" ca="1" si="81"/>
        <v>Initial Equity Depreciable Capital</v>
      </c>
      <c r="I161" s="1112">
        <f t="shared" ca="1" si="82"/>
        <v>0.31371975905265359</v>
      </c>
      <c r="J161" s="1093"/>
      <c r="K161" s="1097" t="str">
        <f t="shared" ca="1" si="76"/>
        <v>Initial Equity Depreciable Capital</v>
      </c>
      <c r="L161" s="1097"/>
      <c r="M161" s="1110">
        <f t="shared" ca="1" si="83"/>
        <v>0.31371975905265359</v>
      </c>
      <c r="N161" s="1097" t="str">
        <f t="shared" ca="1" si="84"/>
        <v>Initial Equity Depreciable Capital</v>
      </c>
      <c r="O161" s="1093"/>
      <c r="P161" s="1093"/>
      <c r="Q161" s="1093"/>
      <c r="R161" s="1093"/>
      <c r="S161" s="1093"/>
      <c r="T161" s="1093"/>
      <c r="U161" s="1093"/>
      <c r="V161" s="1093"/>
      <c r="W161" s="1093"/>
      <c r="X161" s="1093"/>
      <c r="Y161" s="1093"/>
      <c r="Z161" s="1093"/>
      <c r="AA161" s="1093"/>
      <c r="AB161" s="1093"/>
      <c r="AC161" s="1093"/>
      <c r="AD161" s="1093"/>
      <c r="AE161" s="1093"/>
      <c r="AF161" s="1093"/>
      <c r="AG161" s="1093"/>
      <c r="AH161" s="1093"/>
      <c r="AI161" s="1093"/>
      <c r="AJ161" s="1093"/>
    </row>
    <row r="162" spans="1:36" x14ac:dyDescent="0.25">
      <c r="A162" s="1093"/>
      <c r="B162" s="1093"/>
      <c r="C162" s="1093">
        <f t="shared" si="85"/>
        <v>4</v>
      </c>
      <c r="D162" s="1097" t="str">
        <f>+K110</f>
        <v>Other Non-Depreciable Capital Costs</v>
      </c>
      <c r="E162" s="1110">
        <f ca="1">+Q48+C162/10000000000</f>
        <v>1.303586165569026E-3</v>
      </c>
      <c r="F162" s="1097">
        <f t="shared" ca="1" si="80"/>
        <v>11</v>
      </c>
      <c r="G162" s="1102">
        <v>4</v>
      </c>
      <c r="H162" s="1097" t="str">
        <f t="shared" ca="1" si="81"/>
        <v>Debt Interest</v>
      </c>
      <c r="I162" s="1112">
        <f t="shared" ca="1" si="82"/>
        <v>0.18686972706006519</v>
      </c>
      <c r="J162" s="1093"/>
      <c r="K162" s="1097" t="str">
        <f t="shared" ca="1" si="76"/>
        <v>Debt Interest</v>
      </c>
      <c r="L162" s="1097"/>
      <c r="M162" s="1110">
        <f t="shared" ca="1" si="83"/>
        <v>0.18686972706006519</v>
      </c>
      <c r="N162" s="1097" t="str">
        <f t="shared" ca="1" si="84"/>
        <v>Debt Interest</v>
      </c>
      <c r="O162" s="1093"/>
      <c r="P162" s="1093"/>
      <c r="Q162" s="1093"/>
      <c r="R162" s="1093"/>
      <c r="S162" s="1093"/>
      <c r="T162" s="1093"/>
      <c r="U162" s="1093"/>
      <c r="V162" s="1093"/>
      <c r="W162" s="1093"/>
      <c r="X162" s="1093"/>
      <c r="Y162" s="1093"/>
      <c r="Z162" s="1093"/>
      <c r="AA162" s="1093"/>
      <c r="AB162" s="1093"/>
      <c r="AC162" s="1093"/>
      <c r="AD162" s="1093"/>
      <c r="AE162" s="1093"/>
      <c r="AF162" s="1093"/>
      <c r="AG162" s="1093"/>
      <c r="AH162" s="1093"/>
      <c r="AI162" s="1093"/>
      <c r="AJ162" s="1093"/>
    </row>
    <row r="163" spans="1:36" x14ac:dyDescent="0.25">
      <c r="A163" s="1093"/>
      <c r="B163" s="1093"/>
      <c r="C163" s="1093">
        <f t="shared" si="85"/>
        <v>5</v>
      </c>
      <c r="D163" s="1097" t="str">
        <f>+L110</f>
        <v>Decommissioning Costs</v>
      </c>
      <c r="E163" s="1110">
        <f ca="1">+R48+C163/10000000000</f>
        <v>3.6102038259842638E-3</v>
      </c>
      <c r="F163" s="1097">
        <f t="shared" ca="1" si="80"/>
        <v>10</v>
      </c>
      <c r="G163" s="1102">
        <v>5</v>
      </c>
      <c r="H163" s="1097" t="str">
        <f t="shared" ca="1" si="81"/>
        <v>Yearly Replacement Costs</v>
      </c>
      <c r="I163" s="1112">
        <f t="shared" ca="1" si="82"/>
        <v>0.14839099904025835</v>
      </c>
      <c r="J163" s="1093"/>
      <c r="K163" s="1097" t="str">
        <f t="shared" ca="1" si="76"/>
        <v>Yearly Replacement Costs</v>
      </c>
      <c r="L163" s="1097"/>
      <c r="M163" s="1110">
        <f t="shared" ca="1" si="83"/>
        <v>0.14839099904025835</v>
      </c>
      <c r="N163" s="1097" t="str">
        <f t="shared" ca="1" si="84"/>
        <v>Yearly Replacement Costs</v>
      </c>
      <c r="O163" s="1093"/>
      <c r="P163" s="1093"/>
      <c r="Q163" s="1093"/>
      <c r="R163" s="1093"/>
      <c r="S163" s="1093"/>
      <c r="T163" s="1093"/>
      <c r="U163" s="1093"/>
      <c r="V163" s="1093"/>
      <c r="W163" s="1093"/>
      <c r="X163" s="1093"/>
      <c r="Y163" s="1093"/>
      <c r="Z163" s="1093"/>
      <c r="AA163" s="1093"/>
      <c r="AB163" s="1093"/>
      <c r="AC163" s="1093"/>
      <c r="AD163" s="1093"/>
      <c r="AE163" s="1093"/>
      <c r="AF163" s="1093"/>
      <c r="AG163" s="1093"/>
      <c r="AH163" s="1093"/>
      <c r="AI163" s="1093"/>
      <c r="AJ163" s="1093"/>
    </row>
    <row r="164" spans="1:36" x14ac:dyDescent="0.25">
      <c r="A164" s="1093"/>
      <c r="B164" s="1093"/>
      <c r="C164" s="1093">
        <f t="shared" si="85"/>
        <v>6</v>
      </c>
      <c r="D164" s="1097" t="str">
        <f>+M110</f>
        <v>Fixed Operating Cost</v>
      </c>
      <c r="E164" s="1110">
        <f ca="1">+S48+C164/10000000000</f>
        <v>0.46242636714752067</v>
      </c>
      <c r="F164" s="1097">
        <f t="shared" ca="1" si="80"/>
        <v>2</v>
      </c>
      <c r="G164" s="1102">
        <v>6</v>
      </c>
      <c r="H164" s="1097" t="str">
        <f t="shared" ca="1" si="81"/>
        <v>Taxes</v>
      </c>
      <c r="I164" s="1112">
        <f t="shared" ca="1" si="82"/>
        <v>2.5559942042201422E-2</v>
      </c>
      <c r="J164" s="1093"/>
      <c r="K164" s="1097" t="str">
        <f t="shared" ca="1" si="76"/>
        <v>Taxes</v>
      </c>
      <c r="L164" s="1097"/>
      <c r="M164" s="1110">
        <f t="shared" ca="1" si="83"/>
        <v>2.5559942042201422E-2</v>
      </c>
      <c r="N164" s="1097" t="str">
        <f t="shared" ca="1" si="84"/>
        <v>Taxes</v>
      </c>
      <c r="O164" s="1093"/>
      <c r="P164" s="1093"/>
      <c r="Q164" s="1093"/>
      <c r="R164" s="1093"/>
      <c r="S164" s="1093"/>
      <c r="T164" s="1093"/>
      <c r="U164" s="1093"/>
      <c r="V164" s="1093"/>
      <c r="W164" s="1093"/>
      <c r="X164" s="1093"/>
      <c r="Y164" s="1093"/>
      <c r="Z164" s="1093"/>
      <c r="AA164" s="1093"/>
      <c r="AB164" s="1093"/>
      <c r="AC164" s="1093"/>
      <c r="AD164" s="1093"/>
      <c r="AE164" s="1093"/>
      <c r="AF164" s="1093"/>
      <c r="AG164" s="1093"/>
      <c r="AH164" s="1093"/>
      <c r="AI164" s="1093"/>
      <c r="AJ164" s="1093"/>
    </row>
    <row r="165" spans="1:36" x14ac:dyDescent="0.25">
      <c r="A165" s="1093"/>
      <c r="B165" s="1093"/>
      <c r="C165" s="1093">
        <f t="shared" si="85"/>
        <v>7</v>
      </c>
      <c r="D165" s="1097" t="str">
        <f>+N110</f>
        <v>Feedstock Cost</v>
      </c>
      <c r="E165" s="1110">
        <f ca="1">+T48+C165/10000000000</f>
        <v>3.995330806946626</v>
      </c>
      <c r="F165" s="1097">
        <f t="shared" ca="1" si="80"/>
        <v>1</v>
      </c>
      <c r="G165" s="1102">
        <v>7</v>
      </c>
      <c r="H165" s="1097" t="str">
        <f t="shared" ca="1" si="81"/>
        <v>Cash for Working Capital Reserve</v>
      </c>
      <c r="I165" s="1112">
        <f t="shared" ca="1" si="82"/>
        <v>2.0325062994071771E-2</v>
      </c>
      <c r="J165" s="1093"/>
      <c r="K165" s="1097" t="str">
        <f t="shared" ca="1" si="76"/>
        <v>Cash for Working Capital Reserve</v>
      </c>
      <c r="L165" s="1097"/>
      <c r="M165" s="1110">
        <f t="shared" ca="1" si="83"/>
        <v>2.0325062994071771E-2</v>
      </c>
      <c r="N165" s="1097" t="str">
        <f t="shared" ca="1" si="84"/>
        <v>Cash for Working Capital Reserve</v>
      </c>
      <c r="O165" s="1093"/>
      <c r="P165" s="1093"/>
      <c r="Q165" s="1093"/>
      <c r="R165" s="1093"/>
      <c r="S165" s="1093"/>
      <c r="T165" s="1093"/>
      <c r="U165" s="1093"/>
      <c r="V165" s="1093"/>
      <c r="W165" s="1093"/>
      <c r="X165" s="1093"/>
      <c r="Y165" s="1093"/>
      <c r="Z165" s="1093"/>
      <c r="AA165" s="1093"/>
      <c r="AB165" s="1093"/>
      <c r="AC165" s="1093"/>
      <c r="AD165" s="1093"/>
      <c r="AE165" s="1093"/>
      <c r="AF165" s="1093"/>
      <c r="AG165" s="1093"/>
      <c r="AH165" s="1093"/>
      <c r="AI165" s="1093"/>
      <c r="AJ165" s="1093"/>
    </row>
    <row r="166" spans="1:36" x14ac:dyDescent="0.25">
      <c r="A166" s="1093"/>
      <c r="B166" s="1093"/>
      <c r="C166" s="1093">
        <f t="shared" si="85"/>
        <v>8</v>
      </c>
      <c r="D166" s="1097" t="str">
        <f>+O110</f>
        <v>Other Raw Material Cost</v>
      </c>
      <c r="E166" s="1110">
        <f ca="1">+U48+C166/10000000000</f>
        <v>8.0000000000000003E-10</v>
      </c>
      <c r="F166" s="1097">
        <f t="shared" ca="1" si="80"/>
        <v>12</v>
      </c>
      <c r="G166" s="1102">
        <v>8</v>
      </c>
      <c r="H166" s="1097" t="str">
        <f t="shared" ca="1" si="81"/>
        <v>Other Variable Operating Costs</v>
      </c>
      <c r="I166" s="1112">
        <f t="shared" ca="1" si="82"/>
        <v>1.1304767209823824E-2</v>
      </c>
      <c r="J166" s="1093"/>
      <c r="K166" s="1097" t="str">
        <f t="shared" ca="1" si="76"/>
        <v>Other Variable Operating Costs</v>
      </c>
      <c r="L166" s="1097"/>
      <c r="M166" s="1110">
        <f t="shared" ca="1" si="83"/>
        <v>1.1304767209823824E-2</v>
      </c>
      <c r="N166" s="1097" t="str">
        <f t="shared" ca="1" si="84"/>
        <v>Other Variable Operating Costs</v>
      </c>
      <c r="O166" s="1093"/>
      <c r="P166" s="1093"/>
      <c r="Q166" s="1093"/>
      <c r="R166" s="1093"/>
      <c r="S166" s="1093"/>
      <c r="T166" s="1093"/>
      <c r="U166" s="1093"/>
      <c r="V166" s="1093"/>
      <c r="W166" s="1093"/>
      <c r="X166" s="1093"/>
      <c r="Y166" s="1093"/>
      <c r="Z166" s="1093"/>
      <c r="AA166" s="1093"/>
      <c r="AB166" s="1093"/>
      <c r="AC166" s="1093"/>
      <c r="AD166" s="1093"/>
      <c r="AE166" s="1093"/>
      <c r="AF166" s="1093"/>
      <c r="AG166" s="1093"/>
      <c r="AH166" s="1093"/>
      <c r="AI166" s="1093"/>
      <c r="AJ166" s="1093"/>
    </row>
    <row r="167" spans="1:36" x14ac:dyDescent="0.25">
      <c r="A167" s="1093"/>
      <c r="B167" s="1093"/>
      <c r="C167" s="1093">
        <f t="shared" si="85"/>
        <v>9</v>
      </c>
      <c r="D167" s="1097" t="str">
        <f>+P110</f>
        <v>Other Variable Operating Costs</v>
      </c>
      <c r="E167" s="1110">
        <f ca="1">+V48+C167/10000000000</f>
        <v>1.1304768109823823E-2</v>
      </c>
      <c r="F167" s="1097">
        <f t="shared" ca="1" si="80"/>
        <v>8</v>
      </c>
      <c r="G167" s="1102">
        <v>9</v>
      </c>
      <c r="H167" s="1097" t="str">
        <f t="shared" ca="1" si="81"/>
        <v>Principal Payment</v>
      </c>
      <c r="I167" s="1112">
        <f t="shared" ca="1" si="82"/>
        <v>1.0202710225216656E-2</v>
      </c>
      <c r="J167" s="1093"/>
      <c r="K167" s="1097" t="str">
        <f t="shared" ca="1" si="76"/>
        <v>Principal Payment</v>
      </c>
      <c r="L167" s="1097"/>
      <c r="M167" s="1110">
        <f t="shared" ca="1" si="83"/>
        <v>1.0202710225216656E-2</v>
      </c>
      <c r="N167" s="1097" t="str">
        <f t="shared" ca="1" si="84"/>
        <v>Principal Payment</v>
      </c>
      <c r="O167" s="1093"/>
      <c r="P167" s="1093"/>
      <c r="Q167" s="1093"/>
      <c r="R167" s="1093"/>
      <c r="S167" s="1093"/>
      <c r="T167" s="1093"/>
      <c r="U167" s="1093"/>
      <c r="V167" s="1093"/>
      <c r="W167" s="1093"/>
      <c r="X167" s="1093"/>
      <c r="Y167" s="1093"/>
      <c r="Z167" s="1093"/>
      <c r="AA167" s="1093"/>
      <c r="AB167" s="1093"/>
      <c r="AC167" s="1093"/>
      <c r="AD167" s="1093"/>
      <c r="AE167" s="1093"/>
      <c r="AF167" s="1093"/>
      <c r="AG167" s="1093"/>
      <c r="AH167" s="1093"/>
      <c r="AI167" s="1093"/>
      <c r="AJ167" s="1093"/>
    </row>
    <row r="168" spans="1:36" x14ac:dyDescent="0.25">
      <c r="A168" s="1093"/>
      <c r="B168" s="1093"/>
      <c r="C168" s="1093">
        <f t="shared" si="85"/>
        <v>10</v>
      </c>
      <c r="D168" s="1097" t="str">
        <f>+Q110</f>
        <v>Debt Interest</v>
      </c>
      <c r="E168" s="1110">
        <f ca="1">+W48+C168/10000000000</f>
        <v>0.18686972806006519</v>
      </c>
      <c r="F168" s="1097">
        <f t="shared" ca="1" si="80"/>
        <v>4</v>
      </c>
      <c r="G168" s="1102">
        <v>10</v>
      </c>
      <c r="H168" s="1097" t="str">
        <f t="shared" ca="1" si="81"/>
        <v>Decommissioning Costs</v>
      </c>
      <c r="I168" s="1112">
        <f t="shared" ca="1" si="82"/>
        <v>3.6102033259842637E-3</v>
      </c>
      <c r="J168" s="1093"/>
      <c r="K168" s="1097" t="str">
        <f t="shared" ca="1" si="76"/>
        <v>Decommissioning Costs</v>
      </c>
      <c r="L168" s="1097"/>
      <c r="M168" s="1110">
        <f t="shared" ca="1" si="83"/>
        <v>3.6102033259842637E-3</v>
      </c>
      <c r="N168" s="1097" t="str">
        <f t="shared" ca="1" si="84"/>
        <v>Decommissioning Costs</v>
      </c>
      <c r="O168" s="1093"/>
      <c r="P168" s="1093"/>
      <c r="Q168" s="1093"/>
      <c r="R168" s="1093"/>
      <c r="S168" s="1093"/>
      <c r="T168" s="1093"/>
      <c r="U168" s="1093"/>
      <c r="V168" s="1093"/>
      <c r="W168" s="1093"/>
      <c r="X168" s="1093"/>
      <c r="Y168" s="1093"/>
      <c r="Z168" s="1093"/>
      <c r="AA168" s="1093"/>
      <c r="AB168" s="1093"/>
      <c r="AC168" s="1093"/>
      <c r="AD168" s="1093"/>
      <c r="AE168" s="1093"/>
      <c r="AF168" s="1093"/>
      <c r="AG168" s="1093"/>
      <c r="AH168" s="1093"/>
      <c r="AI168" s="1093"/>
      <c r="AJ168" s="1093"/>
    </row>
    <row r="169" spans="1:36" x14ac:dyDescent="0.25">
      <c r="A169" s="1093"/>
      <c r="B169" s="1093"/>
      <c r="C169" s="1093">
        <f t="shared" si="85"/>
        <v>11</v>
      </c>
      <c r="D169" s="1097" t="str">
        <f>+R110</f>
        <v>Taxes</v>
      </c>
      <c r="E169" s="1110">
        <f ca="1">+X48+C169/10000000000</f>
        <v>2.5559943142201422E-2</v>
      </c>
      <c r="F169" s="1097">
        <f t="shared" ca="1" si="80"/>
        <v>6</v>
      </c>
      <c r="G169" s="1102">
        <v>11</v>
      </c>
      <c r="H169" s="1097" t="str">
        <f t="shared" ca="1" si="81"/>
        <v>Other Non-Depreciable Capital Costs</v>
      </c>
      <c r="I169" s="1112">
        <f t="shared" ca="1" si="82"/>
        <v>1.303585765569026E-3</v>
      </c>
      <c r="J169" s="1093"/>
      <c r="K169" s="1097" t="str">
        <f t="shared" ca="1" si="76"/>
        <v>Other Non-Depreciable Capital Costs</v>
      </c>
      <c r="L169" s="1097"/>
      <c r="M169" s="1110">
        <f t="shared" ca="1" si="83"/>
        <v>1.303585765569026E-3</v>
      </c>
      <c r="N169" s="1097" t="str">
        <f t="shared" ca="1" si="84"/>
        <v>Other Non-Depreciable Capital Costs</v>
      </c>
      <c r="O169" s="1093"/>
      <c r="P169" s="1093"/>
      <c r="Q169" s="1093"/>
      <c r="R169" s="1093"/>
      <c r="S169" s="1093"/>
      <c r="T169" s="1093"/>
      <c r="U169" s="1093"/>
      <c r="V169" s="1093"/>
      <c r="W169" s="1093"/>
      <c r="X169" s="1093"/>
      <c r="Y169" s="1093"/>
      <c r="Z169" s="1093"/>
      <c r="AA169" s="1093"/>
      <c r="AB169" s="1093"/>
      <c r="AC169" s="1093"/>
      <c r="AD169" s="1093"/>
      <c r="AE169" s="1093"/>
      <c r="AF169" s="1093"/>
      <c r="AG169" s="1093"/>
      <c r="AH169" s="1093"/>
      <c r="AI169" s="1093"/>
      <c r="AJ169" s="1093"/>
    </row>
    <row r="170" spans="1:36" x14ac:dyDescent="0.25">
      <c r="A170" s="1093"/>
      <c r="B170" s="1093"/>
      <c r="C170" s="1093">
        <f t="shared" si="85"/>
        <v>12</v>
      </c>
      <c r="D170" s="1097" t="str">
        <f>+S110</f>
        <v>Principal Payment</v>
      </c>
      <c r="E170" s="1110">
        <f ca="1">+Y48+C170/10000000000</f>
        <v>1.0202711425216657E-2</v>
      </c>
      <c r="F170" s="1097">
        <f t="shared" ca="1" si="80"/>
        <v>9</v>
      </c>
      <c r="G170" s="1102">
        <v>12</v>
      </c>
      <c r="H170" s="1097" t="str">
        <f t="shared" ca="1" si="81"/>
        <v>Other Raw Material Cost</v>
      </c>
      <c r="I170" s="1112">
        <f t="shared" ca="1" si="82"/>
        <v>0</v>
      </c>
      <c r="J170" s="1093"/>
      <c r="K170" s="1097" t="str">
        <f t="shared" ca="1" si="76"/>
        <v>Other Raw Material Cost</v>
      </c>
      <c r="L170" s="1097"/>
      <c r="M170" s="1110">
        <f t="shared" ca="1" si="83"/>
        <v>0</v>
      </c>
      <c r="N170" s="1097" t="str">
        <f t="shared" ca="1" si="84"/>
        <v/>
      </c>
      <c r="O170" s="1093"/>
      <c r="P170" s="1093"/>
      <c r="Q170" s="1093"/>
      <c r="R170" s="1093"/>
      <c r="S170" s="1093"/>
      <c r="T170" s="1093"/>
      <c r="U170" s="1093"/>
      <c r="V170" s="1093"/>
      <c r="W170" s="1093"/>
      <c r="X170" s="1093"/>
      <c r="Y170" s="1093"/>
      <c r="Z170" s="1093"/>
      <c r="AA170" s="1093"/>
      <c r="AB170" s="1093"/>
      <c r="AC170" s="1093"/>
      <c r="AD170" s="1093"/>
      <c r="AE170" s="1093"/>
      <c r="AF170" s="1093"/>
      <c r="AG170" s="1093"/>
      <c r="AH170" s="1093"/>
      <c r="AI170" s="1093"/>
      <c r="AJ170" s="1093"/>
    </row>
    <row r="171" spans="1:36" ht="13" x14ac:dyDescent="0.3">
      <c r="A171" s="1093"/>
      <c r="B171" s="1093"/>
      <c r="C171" s="1093"/>
      <c r="D171" s="1093"/>
      <c r="E171" s="1093"/>
      <c r="F171" s="1093"/>
      <c r="G171" s="1093"/>
      <c r="H171" s="1095"/>
      <c r="I171" s="1093"/>
      <c r="J171" s="1093"/>
      <c r="K171" s="1096" t="s">
        <v>58</v>
      </c>
      <c r="L171" s="1110">
        <f ca="1">+SUM(L155:L170)</f>
        <v>5.1790439295099926</v>
      </c>
      <c r="M171" s="1110">
        <f ca="1">+SUM(M155:M170)</f>
        <v>5.1790439295099917</v>
      </c>
      <c r="N171" s="1097" t="str">
        <f t="shared" ref="N171" ca="1" si="86">+IF(M171&lt;0.01,K171,"")</f>
        <v/>
      </c>
      <c r="O171" s="1093"/>
      <c r="P171" s="1093"/>
      <c r="Q171" s="1093"/>
      <c r="R171" s="1093"/>
      <c r="S171" s="1093"/>
      <c r="T171" s="1093"/>
      <c r="U171" s="1093"/>
      <c r="V171" s="1093"/>
      <c r="W171" s="1093"/>
      <c r="X171" s="1093"/>
      <c r="Y171" s="1093"/>
      <c r="Z171" s="1093"/>
      <c r="AA171" s="1093"/>
      <c r="AB171" s="1093"/>
      <c r="AC171" s="1093"/>
      <c r="AD171" s="1093"/>
      <c r="AE171" s="1093"/>
      <c r="AF171" s="1093"/>
      <c r="AG171" s="1093"/>
      <c r="AH171" s="1093"/>
      <c r="AI171" s="1093"/>
      <c r="AJ171" s="1093"/>
    </row>
    <row r="172" spans="1:36" x14ac:dyDescent="0.25">
      <c r="A172" s="1093"/>
      <c r="B172" s="1093"/>
      <c r="C172" s="1093"/>
      <c r="E172" s="1093"/>
      <c r="F172" s="1093"/>
      <c r="G172" s="1093"/>
      <c r="H172" s="1093"/>
      <c r="I172" s="1093"/>
      <c r="J172" s="1093"/>
      <c r="K172" s="1093"/>
      <c r="L172" s="1093"/>
      <c r="M172" s="1093"/>
      <c r="N172" s="1093"/>
      <c r="O172" s="1093"/>
      <c r="P172" s="1093"/>
      <c r="Q172" s="1093"/>
      <c r="R172" s="1093"/>
      <c r="S172" s="1093"/>
      <c r="T172" s="1093"/>
      <c r="U172" s="1093"/>
      <c r="V172" s="1093"/>
      <c r="W172" s="1093"/>
      <c r="X172" s="1093"/>
      <c r="Y172" s="1093"/>
      <c r="Z172" s="1093"/>
      <c r="AA172" s="1093"/>
      <c r="AB172" s="1093"/>
      <c r="AC172" s="1093"/>
      <c r="AD172" s="1093"/>
      <c r="AE172" s="1093"/>
      <c r="AF172" s="1093"/>
      <c r="AG172" s="1093"/>
      <c r="AH172" s="1093"/>
      <c r="AI172" s="1093"/>
      <c r="AJ172" s="1093"/>
    </row>
    <row r="173" spans="1:36" x14ac:dyDescent="0.25">
      <c r="A173" s="1093"/>
      <c r="B173" s="1093"/>
      <c r="C173" s="1093"/>
      <c r="D173" s="1093"/>
      <c r="E173" s="1093"/>
      <c r="F173" s="1093"/>
      <c r="G173" s="1093"/>
      <c r="H173" s="1093"/>
      <c r="I173" s="1093"/>
      <c r="J173" s="1093"/>
      <c r="K173" s="1093"/>
      <c r="L173" s="1093"/>
      <c r="M173" s="1093"/>
      <c r="N173" s="1093"/>
      <c r="O173" s="1093"/>
      <c r="P173" s="1093"/>
      <c r="Q173" s="1093"/>
      <c r="R173" s="1093"/>
      <c r="S173" s="1093"/>
      <c r="T173" s="1093"/>
      <c r="U173" s="1093"/>
      <c r="V173" s="1093"/>
      <c r="W173" s="1093"/>
      <c r="X173" s="1093"/>
      <c r="Y173" s="1093"/>
      <c r="Z173" s="1093"/>
      <c r="AA173" s="1093"/>
      <c r="AB173" s="1093"/>
      <c r="AC173" s="1093"/>
      <c r="AD173" s="1093"/>
      <c r="AE173" s="1093"/>
      <c r="AF173" s="1093"/>
      <c r="AG173" s="1093"/>
      <c r="AH173" s="1093"/>
      <c r="AI173" s="1093"/>
      <c r="AJ173" s="1093"/>
    </row>
    <row r="174" spans="1:36" ht="13" x14ac:dyDescent="0.3">
      <c r="A174" s="1093"/>
      <c r="B174" s="1095" t="s">
        <v>1183</v>
      </c>
      <c r="C174" s="1093"/>
      <c r="D174" s="1094" t="s">
        <v>1195</v>
      </c>
      <c r="E174" s="1094" t="s">
        <v>1193</v>
      </c>
      <c r="F174" s="1094" t="s">
        <v>1196</v>
      </c>
      <c r="G174" s="1094" t="s">
        <v>1194</v>
      </c>
      <c r="H174" s="1093"/>
      <c r="I174" s="1093"/>
      <c r="J174" s="1093"/>
      <c r="K174" s="1093"/>
      <c r="L174" s="1093"/>
      <c r="M174" s="1094"/>
      <c r="N174" s="1094"/>
      <c r="O174" s="1093"/>
      <c r="P174" s="1093"/>
      <c r="Q174" s="1093"/>
      <c r="R174" s="1093"/>
      <c r="S174" s="1093"/>
      <c r="T174" s="1093"/>
      <c r="U174" s="1093"/>
      <c r="V174" s="1093"/>
      <c r="W174" s="1093"/>
      <c r="X174" s="1093"/>
      <c r="Y174" s="1093"/>
      <c r="Z174" s="1093"/>
      <c r="AA174" s="1093"/>
      <c r="AB174" s="1093"/>
      <c r="AC174" s="1093"/>
      <c r="AD174" s="1093"/>
      <c r="AE174" s="1093"/>
      <c r="AF174" s="1093"/>
      <c r="AG174" s="1093"/>
      <c r="AH174" s="1093"/>
      <c r="AI174" s="1093"/>
      <c r="AJ174" s="1093"/>
    </row>
    <row r="175" spans="1:36" x14ac:dyDescent="0.25">
      <c r="A175" s="1093"/>
      <c r="B175">
        <v>0</v>
      </c>
      <c r="C175" s="1096" t="s">
        <v>1184</v>
      </c>
      <c r="D175" s="1110">
        <f>+K51</f>
        <v>5.175427725657066</v>
      </c>
      <c r="E175" s="1110">
        <f>+D175</f>
        <v>5.175427725657066</v>
      </c>
      <c r="F175" s="1110"/>
      <c r="G175" s="1110"/>
      <c r="H175" s="1093"/>
      <c r="I175" s="1093"/>
      <c r="J175" s="1093"/>
      <c r="K175" s="1093"/>
      <c r="L175" s="1093"/>
      <c r="M175" s="1227"/>
      <c r="N175" s="1227"/>
      <c r="O175" s="1093"/>
      <c r="P175" s="1093"/>
      <c r="Q175" s="1093"/>
      <c r="R175" s="1093"/>
      <c r="S175" s="1093"/>
      <c r="T175" s="1093"/>
      <c r="U175" s="1093"/>
      <c r="V175" s="1093"/>
      <c r="W175" s="1093"/>
      <c r="X175" s="1093"/>
      <c r="Y175" s="1093"/>
      <c r="Z175" s="1093"/>
      <c r="AA175" s="1093"/>
      <c r="AB175" s="1093"/>
      <c r="AC175" s="1093"/>
      <c r="AD175" s="1093"/>
      <c r="AE175" s="1093"/>
      <c r="AF175" s="1093"/>
      <c r="AG175" s="1093"/>
      <c r="AH175" s="1093"/>
      <c r="AI175" s="1093"/>
      <c r="AJ175" s="1093"/>
    </row>
    <row r="176" spans="1:36" x14ac:dyDescent="0.25">
      <c r="A176" s="1093"/>
      <c r="B176" s="1093">
        <v>1</v>
      </c>
      <c r="C176" s="1097" t="str">
        <f ca="1">OFFSET($B$50,0,MATCH($B176,$C$72:$I$72,0))&amp;
IF(OFFSET($F$2,MATCH($B176,$C$72:$I$72,0),0)&lt;1,
"
= "&amp;OFFSET($F$2,MATCH($B176,$C$72:$I$72,0),0)*100-100,
"
= +"&amp;OFFSET($F$2,MATCH($B176,$C$72:$I$72,0),0)*100-100)
&amp;"%"</f>
        <v>Feedstock consumption (% of most likely value)
= -5%</v>
      </c>
      <c r="D176" s="1110">
        <f>+K66</f>
        <v>4.9210838261309968</v>
      </c>
      <c r="E176" s="1110">
        <f t="shared" ref="E176:E181" si="87">+E175+G175-F176</f>
        <v>4.9210838261309968</v>
      </c>
      <c r="F176" s="1110">
        <f>+MAX(D175-D176,0)</f>
        <v>0.25434389952606917</v>
      </c>
      <c r="G176" s="1110">
        <f>+MAX(D176-D175,0)</f>
        <v>0</v>
      </c>
      <c r="H176" s="1093"/>
      <c r="I176" s="1093"/>
      <c r="J176" s="1093"/>
      <c r="K176" s="1093"/>
      <c r="L176" s="1093"/>
      <c r="M176" s="1227"/>
      <c r="N176" s="1227"/>
      <c r="O176" s="1093"/>
      <c r="P176" s="1093"/>
      <c r="Q176" s="1093"/>
      <c r="R176" s="1093"/>
      <c r="S176" s="1093"/>
      <c r="T176" s="1093"/>
      <c r="U176" s="1093"/>
      <c r="V176" s="1093"/>
      <c r="W176" s="1093"/>
      <c r="X176" s="1093"/>
      <c r="Y176" s="1093"/>
      <c r="Z176" s="1093"/>
      <c r="AA176" s="1093"/>
      <c r="AB176" s="1093"/>
      <c r="AC176" s="1093"/>
      <c r="AD176" s="1093"/>
      <c r="AE176" s="1093"/>
      <c r="AF176" s="1093"/>
      <c r="AG176" s="1093"/>
      <c r="AH176" s="1093"/>
      <c r="AI176" s="1093"/>
      <c r="AJ176" s="1093"/>
    </row>
    <row r="177" spans="1:36" x14ac:dyDescent="0.25">
      <c r="A177" s="1093"/>
      <c r="B177" s="1093">
        <v>2</v>
      </c>
      <c r="C177" s="1097" t="str">
        <f ca="1">OFFSET($B$50,0,MATCH($B177,$C$72:$I$72,0))&amp;
IF(OFFSET($F$2,MATCH($B177,$C$72:$I$72,0),0)&lt;1,
"
= "&amp;OFFSET($F$2,MATCH($B177,$C$72:$I$72,0),0)*100-100,
"
= +"&amp;OFFSET($F$2,MATCH($B177,$C$72:$I$72,0),0)*100-100)
&amp;"%"</f>
        <v>Operating capacity factor
= +5%</v>
      </c>
      <c r="D177" s="1110">
        <f>+K67</f>
        <v>4.8691361611881732</v>
      </c>
      <c r="E177" s="1110">
        <f t="shared" si="87"/>
        <v>4.8691361611881732</v>
      </c>
      <c r="F177" s="1110">
        <f>+MAX(D176-D177,0)</f>
        <v>5.1947664942823657E-2</v>
      </c>
      <c r="G177" s="1110">
        <f>+MAX(D177-D176,0)</f>
        <v>0</v>
      </c>
      <c r="H177" s="1093"/>
      <c r="I177" s="1093"/>
      <c r="J177" s="1093"/>
      <c r="K177" s="1093"/>
      <c r="L177" s="1093"/>
      <c r="M177" s="1227"/>
      <c r="N177" s="1227"/>
      <c r="O177" s="1093"/>
      <c r="P177" s="1093"/>
      <c r="Q177" s="1093"/>
      <c r="R177" s="1093"/>
      <c r="S177" s="1093"/>
      <c r="T177" s="1093"/>
      <c r="U177" s="1093"/>
      <c r="V177" s="1093"/>
      <c r="W177" s="1093"/>
      <c r="X177" s="1093"/>
      <c r="Y177" s="1093"/>
      <c r="Z177" s="1093"/>
      <c r="AA177" s="1093"/>
      <c r="AB177" s="1093"/>
      <c r="AC177" s="1093"/>
      <c r="AD177" s="1093"/>
      <c r="AE177" s="1093"/>
      <c r="AF177" s="1093"/>
      <c r="AG177" s="1093"/>
      <c r="AH177" s="1093"/>
      <c r="AI177" s="1093"/>
      <c r="AJ177" s="1093"/>
    </row>
    <row r="178" spans="1:36" x14ac:dyDescent="0.25">
      <c r="A178" s="1093"/>
      <c r="B178" s="1093">
        <v>3</v>
      </c>
      <c r="C178" s="1097" t="str">
        <f ca="1">OFFSET($B$50,0,MATCH($B178,$C$72:$I$72,0))&amp;
IF(OFFSET($F$2,MATCH($B178,$C$72:$I$72,0),0)&lt;1,
"
= "&amp;OFFSET($F$2,MATCH($B178,$C$72:$I$72,0),0)*100-100,
"
= +"&amp;OFFSET($F$2,MATCH($B178,$C$72:$I$72,0),0)*100-100)
&amp;"%"</f>
        <v>Total capital investment ($)
= -5%</v>
      </c>
      <c r="D178" s="1110">
        <f>+K68</f>
        <v>4.8378041294672727</v>
      </c>
      <c r="E178" s="1110">
        <f t="shared" si="87"/>
        <v>4.8378041294672727</v>
      </c>
      <c r="F178" s="1110">
        <f>+MAX(D177-D178,0)</f>
        <v>3.1332031720900488E-2</v>
      </c>
      <c r="G178" s="1110">
        <f>+MAX(D178-D177,0)</f>
        <v>0</v>
      </c>
      <c r="H178" s="1093"/>
      <c r="I178" s="1093"/>
      <c r="J178" s="1093"/>
      <c r="K178" s="1093"/>
      <c r="L178" s="1093"/>
      <c r="M178" s="1227"/>
      <c r="N178" s="1227"/>
      <c r="O178" s="1093"/>
      <c r="P178" s="1093"/>
      <c r="Q178" s="1093"/>
      <c r="R178" s="1093"/>
      <c r="S178" s="1093"/>
      <c r="T178" s="1093"/>
      <c r="U178" s="1093"/>
      <c r="V178" s="1093"/>
      <c r="W178" s="1093"/>
      <c r="X178" s="1093"/>
      <c r="Y178" s="1093"/>
      <c r="Z178" s="1093"/>
      <c r="AA178" s="1093"/>
      <c r="AB178" s="1093"/>
      <c r="AC178" s="1093"/>
      <c r="AD178" s="1093"/>
      <c r="AE178" s="1093"/>
      <c r="AF178" s="1093"/>
      <c r="AG178" s="1093"/>
      <c r="AH178" s="1093"/>
      <c r="AI178" s="1093"/>
      <c r="AJ178" s="1093"/>
    </row>
    <row r="179" spans="1:36" x14ac:dyDescent="0.25">
      <c r="A179" s="1093"/>
      <c r="B179" s="1093">
        <v>4</v>
      </c>
      <c r="C179" s="1097" t="str">
        <f ca="1">OFFSET($B$50,0,MATCH($B179,$C$72:$I$72,0))&amp;
IF(OFFSET($F$2,MATCH($B179,$C$72:$I$72,0),0)&lt;1,
"
= "&amp;OFFSET($F$2,MATCH($B179,$C$72:$I$72,0),0)*100-100,
"
= +"&amp;OFFSET($F$2,MATCH($B179,$C$72:$I$72,0),0)*100-100)
&amp;"%"</f>
        <v>Total fixed operating cost ($/year)
= -5%</v>
      </c>
      <c r="D179" s="1110">
        <f>+K69</f>
        <v>4.817003524178503</v>
      </c>
      <c r="E179" s="1110">
        <f t="shared" si="87"/>
        <v>4.817003524178503</v>
      </c>
      <c r="F179" s="1110">
        <f>+MAX(D178-D179,0)</f>
        <v>2.0800605288769702E-2</v>
      </c>
      <c r="G179" s="1110">
        <f>+MAX(D179-D178,0)</f>
        <v>0</v>
      </c>
      <c r="H179" s="1093"/>
      <c r="I179" s="1093"/>
      <c r="J179" s="1093"/>
      <c r="K179" s="1093"/>
      <c r="L179" s="1093"/>
      <c r="M179" s="1227"/>
      <c r="N179" s="1227"/>
      <c r="O179" s="1093"/>
      <c r="P179" s="1093"/>
      <c r="Q179" s="1093"/>
      <c r="R179" s="1093"/>
      <c r="S179" s="1093"/>
      <c r="T179" s="1093"/>
      <c r="U179" s="1093"/>
      <c r="V179" s="1093"/>
      <c r="W179" s="1093"/>
      <c r="X179" s="1093"/>
      <c r="Y179" s="1093"/>
      <c r="Z179" s="1093"/>
      <c r="AA179" s="1093"/>
      <c r="AB179" s="1093"/>
      <c r="AC179" s="1093"/>
      <c r="AD179" s="1093"/>
      <c r="AE179" s="1093"/>
      <c r="AF179" s="1093"/>
      <c r="AG179" s="1093"/>
      <c r="AH179" s="1093"/>
      <c r="AI179" s="1093"/>
      <c r="AJ179" s="1093"/>
    </row>
    <row r="180" spans="1:36" x14ac:dyDescent="0.25">
      <c r="A180" s="1093"/>
      <c r="B180" s="1093">
        <v>5</v>
      </c>
      <c r="C180" s="1097" t="str">
        <f ca="1">OFFSET($B$50,0,MATCH($B180,$C$72:$I$72,0))&amp;
IF(OFFSET($F$2,MATCH($B180,$C$72:$I$72,0),0)&lt;1,
"
= "&amp;OFFSET($F$2,MATCH($B180,$C$72:$I$72,0),0)*100-100,
"
= +"&amp;OFFSET($F$2,MATCH($B180,$C$72:$I$72,0),0)*100-100)
&amp;"%"</f>
        <v>Utilities consumption (% of most likely value)
= -5%</v>
      </c>
      <c r="D180" s="1110">
        <f>+K70</f>
        <v>4.817003524178503</v>
      </c>
      <c r="E180" s="1110">
        <f t="shared" si="87"/>
        <v>4.817003524178503</v>
      </c>
      <c r="F180" s="1110">
        <f>+MAX(D179-D180,0)</f>
        <v>0</v>
      </c>
      <c r="G180" s="1110">
        <f>+MAX(D180-D179,0)</f>
        <v>0</v>
      </c>
      <c r="H180" s="1093"/>
      <c r="I180" s="1093"/>
      <c r="J180" s="1093"/>
      <c r="K180" s="1093"/>
      <c r="L180" s="1093"/>
      <c r="M180" s="1227"/>
      <c r="N180" s="1227"/>
      <c r="O180" s="1093"/>
      <c r="P180" s="1093"/>
      <c r="Q180" s="1093"/>
      <c r="R180" s="1093"/>
      <c r="S180" s="1093"/>
      <c r="T180" s="1093"/>
      <c r="U180" s="1093"/>
      <c r="V180" s="1093"/>
      <c r="W180" s="1093"/>
      <c r="X180" s="1093"/>
      <c r="Y180" s="1093"/>
      <c r="Z180" s="1093"/>
      <c r="AA180" s="1093"/>
      <c r="AB180" s="1093"/>
      <c r="AC180" s="1093"/>
      <c r="AD180" s="1093"/>
      <c r="AE180" s="1093"/>
      <c r="AF180" s="1093"/>
      <c r="AG180" s="1093"/>
      <c r="AH180" s="1093"/>
      <c r="AI180" s="1093"/>
      <c r="AJ180" s="1093"/>
    </row>
    <row r="181" spans="1:36" x14ac:dyDescent="0.25">
      <c r="A181" s="1093"/>
      <c r="B181" s="1093">
        <v>6</v>
      </c>
      <c r="C181" s="1096" t="s">
        <v>1191</v>
      </c>
      <c r="D181" s="1110">
        <f>+K70</f>
        <v>4.817003524178503</v>
      </c>
      <c r="E181" s="1110">
        <f t="shared" si="87"/>
        <v>4.817003524178503</v>
      </c>
      <c r="F181" s="1110"/>
      <c r="G181" s="1110"/>
      <c r="H181" s="1093"/>
      <c r="I181" s="1093"/>
      <c r="J181" s="1093"/>
      <c r="K181" s="1093"/>
      <c r="L181" s="1093"/>
      <c r="M181" s="1227"/>
      <c r="N181" s="1227"/>
      <c r="O181" s="1093"/>
      <c r="P181" s="1093"/>
      <c r="Q181" s="1093"/>
      <c r="R181" s="1093"/>
      <c r="S181" s="1093"/>
      <c r="T181" s="1093"/>
      <c r="U181" s="1093"/>
      <c r="V181" s="1093"/>
      <c r="W181" s="1093"/>
      <c r="X181" s="1093"/>
      <c r="Y181" s="1093"/>
      <c r="Z181" s="1093"/>
      <c r="AA181" s="1093"/>
      <c r="AB181" s="1093"/>
      <c r="AC181" s="1093"/>
      <c r="AD181" s="1093"/>
      <c r="AE181" s="1093"/>
      <c r="AF181" s="1093"/>
      <c r="AG181" s="1093"/>
      <c r="AH181" s="1093"/>
      <c r="AI181" s="1093"/>
      <c r="AJ181" s="1093"/>
    </row>
    <row r="182" spans="1:36" x14ac:dyDescent="0.25">
      <c r="A182" s="1093"/>
      <c r="B182" s="1093"/>
      <c r="C182" s="1093"/>
      <c r="D182" s="1093"/>
      <c r="E182" s="1093"/>
      <c r="F182" s="1093"/>
      <c r="G182" s="1093"/>
      <c r="H182" s="1093"/>
      <c r="I182" s="1093"/>
      <c r="J182" s="1093"/>
      <c r="K182" s="1093"/>
      <c r="L182" s="1093"/>
      <c r="M182" s="1093"/>
      <c r="N182" s="1093"/>
      <c r="O182" s="1093"/>
      <c r="P182" s="1093"/>
      <c r="Q182" s="1093"/>
      <c r="R182" s="1093"/>
      <c r="S182" s="1093"/>
      <c r="T182" s="1093"/>
      <c r="U182" s="1093"/>
      <c r="V182" s="1093"/>
      <c r="W182" s="1093"/>
      <c r="X182" s="1093"/>
      <c r="Y182" s="1093"/>
      <c r="Z182" s="1093"/>
      <c r="AA182" s="1093"/>
      <c r="AB182" s="1093"/>
      <c r="AC182" s="1093"/>
      <c r="AD182" s="1093"/>
      <c r="AE182" s="1093"/>
      <c r="AF182" s="1093"/>
      <c r="AG182" s="1093"/>
      <c r="AH182" s="1093"/>
      <c r="AI182" s="1093"/>
      <c r="AJ182" s="1093"/>
    </row>
    <row r="183" spans="1:36" x14ac:dyDescent="0.25">
      <c r="A183" s="1093"/>
      <c r="B183" s="1093"/>
      <c r="C183" s="1093"/>
      <c r="D183" s="1093"/>
      <c r="E183" s="1093"/>
      <c r="F183" s="1093"/>
      <c r="G183" s="1093"/>
      <c r="H183" s="1093"/>
      <c r="I183" s="1093"/>
      <c r="J183" s="1093"/>
      <c r="K183" s="1093"/>
      <c r="L183" s="1093"/>
      <c r="M183" s="1093"/>
      <c r="N183" s="1093"/>
      <c r="O183" s="1093"/>
      <c r="P183" s="1093"/>
      <c r="Q183" s="1093"/>
      <c r="R183" s="1093"/>
      <c r="S183" s="1093"/>
      <c r="T183" s="1093"/>
      <c r="U183" s="1093"/>
      <c r="V183" s="1093"/>
      <c r="W183" s="1093"/>
      <c r="X183" s="1093"/>
      <c r="Y183" s="1093"/>
      <c r="Z183" s="1093"/>
      <c r="AA183" s="1093"/>
      <c r="AB183" s="1093"/>
      <c r="AC183" s="1093"/>
      <c r="AD183" s="1093"/>
      <c r="AE183" s="1093"/>
      <c r="AF183" s="1093"/>
      <c r="AG183" s="1093"/>
      <c r="AH183" s="1093"/>
      <c r="AI183" s="1093"/>
      <c r="AJ183" s="1093"/>
    </row>
    <row r="184" spans="1:36" x14ac:dyDescent="0.25">
      <c r="A184" s="1093"/>
      <c r="B184" s="1093"/>
      <c r="C184" s="1093"/>
      <c r="D184" s="1093"/>
      <c r="E184" s="1093"/>
      <c r="F184" s="1093"/>
      <c r="G184" s="1093"/>
      <c r="H184" s="1093"/>
      <c r="I184" s="1093"/>
      <c r="J184" s="1093"/>
      <c r="K184" s="1093"/>
      <c r="L184" s="1093"/>
      <c r="M184" s="1093"/>
      <c r="N184" s="1093"/>
      <c r="O184" s="1093"/>
      <c r="P184" s="1093"/>
      <c r="Q184" s="1093"/>
      <c r="R184" s="1093"/>
      <c r="S184" s="1093"/>
      <c r="T184" s="1093"/>
      <c r="U184" s="1093"/>
      <c r="V184" s="1093"/>
      <c r="W184" s="1093"/>
      <c r="X184" s="1093"/>
      <c r="Y184" s="1093"/>
      <c r="Z184" s="1093"/>
      <c r="AA184" s="1093"/>
      <c r="AB184" s="1093"/>
      <c r="AC184" s="1093"/>
      <c r="AD184" s="1093"/>
      <c r="AE184" s="1093"/>
      <c r="AF184" s="1093"/>
      <c r="AG184" s="1093"/>
      <c r="AH184" s="1093"/>
      <c r="AI184" s="1093"/>
      <c r="AJ184" s="1093"/>
    </row>
    <row r="185" spans="1:36" x14ac:dyDescent="0.25">
      <c r="A185" s="1093"/>
      <c r="B185" s="1093"/>
      <c r="C185" s="1093"/>
      <c r="D185" s="1093"/>
      <c r="E185" s="1093"/>
      <c r="F185" s="1093"/>
      <c r="G185" s="1093"/>
      <c r="H185" s="1093"/>
      <c r="I185" s="1093"/>
      <c r="J185" s="1093"/>
      <c r="K185" s="1093"/>
      <c r="L185" s="1093"/>
      <c r="M185" s="1093"/>
      <c r="N185" s="1093"/>
      <c r="O185" s="1093"/>
      <c r="P185" s="1093"/>
      <c r="Q185" s="1093"/>
      <c r="R185" s="1093"/>
      <c r="S185" s="1093"/>
      <c r="T185" s="1093"/>
      <c r="U185" s="1093"/>
      <c r="V185" s="1093"/>
      <c r="W185" s="1093"/>
      <c r="X185" s="1093"/>
      <c r="Y185" s="1093"/>
      <c r="Z185" s="1093"/>
      <c r="AA185" s="1093"/>
      <c r="AB185" s="1093"/>
      <c r="AC185" s="1093"/>
      <c r="AD185" s="1093"/>
      <c r="AE185" s="1093"/>
      <c r="AF185" s="1093"/>
      <c r="AG185" s="1093"/>
      <c r="AH185" s="1093"/>
      <c r="AI185" s="1093"/>
      <c r="AJ185" s="1093"/>
    </row>
    <row r="186" spans="1:36" x14ac:dyDescent="0.25">
      <c r="A186" s="1093"/>
      <c r="B186" s="1093"/>
      <c r="C186" s="1093"/>
      <c r="D186" s="1093"/>
      <c r="E186" s="1093"/>
      <c r="F186" s="1093"/>
      <c r="G186" s="1093"/>
      <c r="H186" s="1093"/>
      <c r="I186" s="1093"/>
      <c r="J186" s="1093"/>
      <c r="K186" s="1093"/>
      <c r="L186" s="1093"/>
      <c r="M186" s="1093"/>
      <c r="N186" s="1093"/>
      <c r="O186" s="1093"/>
      <c r="P186" s="1093"/>
      <c r="Q186" s="1093"/>
      <c r="R186" s="1093"/>
      <c r="S186" s="1093"/>
      <c r="T186" s="1093"/>
      <c r="U186" s="1093"/>
      <c r="V186" s="1093"/>
      <c r="W186" s="1093"/>
      <c r="X186" s="1093"/>
      <c r="Y186" s="1093"/>
      <c r="Z186" s="1093"/>
      <c r="AA186" s="1093"/>
      <c r="AB186" s="1093"/>
      <c r="AC186" s="1093"/>
      <c r="AD186" s="1093"/>
      <c r="AE186" s="1093"/>
      <c r="AF186" s="1093"/>
      <c r="AG186" s="1093"/>
      <c r="AH186" s="1093"/>
      <c r="AI186" s="1093"/>
      <c r="AJ186" s="1093"/>
    </row>
    <row r="187" spans="1:36" x14ac:dyDescent="0.25">
      <c r="A187" s="1093"/>
      <c r="B187" s="1093"/>
      <c r="C187" s="1093"/>
      <c r="D187" s="1093"/>
      <c r="E187" s="1093"/>
      <c r="F187" s="1093"/>
      <c r="G187" s="1093"/>
      <c r="H187" s="1093"/>
      <c r="I187" s="1093"/>
      <c r="J187" s="1093"/>
      <c r="K187" s="1093"/>
      <c r="L187" s="1093"/>
      <c r="M187" s="1093"/>
      <c r="N187" s="1093"/>
      <c r="O187" s="1093"/>
      <c r="P187" s="1093"/>
      <c r="Q187" s="1093"/>
      <c r="R187" s="1093"/>
      <c r="S187" s="1093"/>
      <c r="T187" s="1093"/>
      <c r="U187" s="1093"/>
      <c r="V187" s="1093"/>
      <c r="W187" s="1093"/>
      <c r="X187" s="1093"/>
      <c r="Y187" s="1093"/>
      <c r="Z187" s="1093"/>
      <c r="AA187" s="1093"/>
      <c r="AB187" s="1093"/>
      <c r="AC187" s="1093"/>
      <c r="AD187" s="1093"/>
      <c r="AE187" s="1093"/>
      <c r="AF187" s="1093"/>
      <c r="AG187" s="1093"/>
      <c r="AH187" s="1093"/>
      <c r="AI187" s="1093"/>
      <c r="AJ187" s="1093"/>
    </row>
    <row r="188" spans="1:36" x14ac:dyDescent="0.25">
      <c r="A188" s="1093"/>
      <c r="B188" s="1093"/>
      <c r="C188" s="1093"/>
      <c r="D188" s="1093"/>
      <c r="E188" s="1093"/>
      <c r="F188" s="1093"/>
      <c r="G188" s="1093"/>
      <c r="H188" s="1093"/>
      <c r="I188" s="1093"/>
      <c r="J188" s="1093"/>
      <c r="K188" s="1093"/>
      <c r="L188" s="1093"/>
      <c r="M188" s="1093"/>
      <c r="N188" s="1093"/>
      <c r="O188" s="1093"/>
      <c r="P188" s="1093"/>
      <c r="Q188" s="1093"/>
      <c r="R188" s="1093"/>
      <c r="S188" s="1093"/>
      <c r="T188" s="1093"/>
      <c r="U188" s="1093"/>
      <c r="V188" s="1093"/>
      <c r="W188" s="1093"/>
      <c r="X188" s="1093"/>
      <c r="Y188" s="1093"/>
      <c r="Z188" s="1093"/>
      <c r="AA188" s="1093"/>
      <c r="AB188" s="1093"/>
      <c r="AC188" s="1093"/>
      <c r="AD188" s="1093"/>
      <c r="AE188" s="1093"/>
      <c r="AF188" s="1093"/>
      <c r="AG188" s="1093"/>
      <c r="AH188" s="1093"/>
      <c r="AI188" s="1093"/>
      <c r="AJ188" s="1093"/>
    </row>
    <row r="189" spans="1:36" x14ac:dyDescent="0.25">
      <c r="A189" s="1093"/>
      <c r="B189" s="1448" t="s">
        <v>1302</v>
      </c>
      <c r="C189" s="1449">
        <f>+MIN(F3:G3)</f>
        <v>0.95</v>
      </c>
      <c r="D189" s="1449">
        <f>+MIN(F4:G4)</f>
        <v>0.95</v>
      </c>
      <c r="E189" s="1449">
        <f>+MIN(F5:G5)</f>
        <v>0.95</v>
      </c>
      <c r="F189" s="1449">
        <f>+MIN(F6:G6)</f>
        <v>0.95</v>
      </c>
      <c r="G189" s="1449">
        <f>+MIN(F7:G7)</f>
        <v>0.95</v>
      </c>
      <c r="H189" s="1449">
        <f>+MIN(F8:G8)</f>
        <v>0.95</v>
      </c>
      <c r="I189" s="1449">
        <f>+MIN(F9:G9)</f>
        <v>0.95</v>
      </c>
      <c r="J189" s="1093"/>
      <c r="K189" s="1093"/>
      <c r="L189" s="1093"/>
      <c r="M189" s="1093"/>
      <c r="N189" s="1093"/>
      <c r="O189" s="1093"/>
      <c r="P189" s="1093"/>
      <c r="Q189" s="1093"/>
      <c r="R189" s="1093"/>
      <c r="S189" s="1093"/>
      <c r="T189" s="1093"/>
      <c r="U189" s="1093"/>
      <c r="V189" s="1093"/>
      <c r="W189" s="1093"/>
      <c r="X189" s="1093"/>
      <c r="Y189" s="1093"/>
      <c r="Z189" s="1093"/>
      <c r="AA189" s="1093"/>
      <c r="AB189" s="1093"/>
      <c r="AC189" s="1093"/>
      <c r="AD189" s="1093"/>
      <c r="AE189" s="1093"/>
      <c r="AF189" s="1093"/>
      <c r="AG189" s="1093"/>
      <c r="AH189" s="1093"/>
      <c r="AI189" s="1093"/>
      <c r="AJ189" s="1093"/>
    </row>
    <row r="190" spans="1:36" x14ac:dyDescent="0.25">
      <c r="A190" s="1093"/>
      <c r="B190" s="1448" t="s">
        <v>1304</v>
      </c>
      <c r="C190" s="1450">
        <v>1</v>
      </c>
      <c r="D190" s="1450">
        <v>1</v>
      </c>
      <c r="E190" s="1450">
        <v>1</v>
      </c>
      <c r="F190" s="1450">
        <v>1</v>
      </c>
      <c r="G190" s="1450">
        <v>1</v>
      </c>
      <c r="H190" s="1450">
        <v>1</v>
      </c>
      <c r="I190" s="1450">
        <v>1</v>
      </c>
      <c r="J190" s="1093"/>
      <c r="K190" s="1093"/>
      <c r="L190" s="1093"/>
      <c r="M190" s="1093"/>
      <c r="N190" s="1093"/>
      <c r="O190" s="1093"/>
      <c r="P190" s="1093"/>
      <c r="Q190" s="1093"/>
      <c r="R190" s="1093"/>
      <c r="S190" s="1093"/>
      <c r="T190" s="1093"/>
      <c r="U190" s="1093"/>
      <c r="V190" s="1093"/>
      <c r="W190" s="1093"/>
      <c r="X190" s="1093"/>
      <c r="Y190" s="1093"/>
      <c r="Z190" s="1093"/>
      <c r="AA190" s="1093"/>
      <c r="AB190" s="1093"/>
      <c r="AC190" s="1093"/>
      <c r="AD190" s="1093"/>
      <c r="AE190" s="1093"/>
      <c r="AF190" s="1093"/>
      <c r="AG190" s="1093"/>
      <c r="AH190" s="1093"/>
      <c r="AI190" s="1093"/>
      <c r="AJ190" s="1093"/>
    </row>
    <row r="191" spans="1:36" x14ac:dyDescent="0.25">
      <c r="A191" s="1093"/>
      <c r="B191" s="1448" t="s">
        <v>1303</v>
      </c>
      <c r="C191" s="1449">
        <f>+MAX(F3:G3)</f>
        <v>1.05</v>
      </c>
      <c r="D191" s="1449">
        <f>+MAX(F4:G4)</f>
        <v>1.05</v>
      </c>
      <c r="E191" s="1449">
        <f>+MAX(F5:G5)</f>
        <v>1.05</v>
      </c>
      <c r="F191" s="1449">
        <f>+MAX(F6:G6)</f>
        <v>1.05</v>
      </c>
      <c r="G191" s="1449">
        <f>+MAX(F7:G7)</f>
        <v>1.05</v>
      </c>
      <c r="H191" s="1449">
        <f>+MAX(F8:G8)</f>
        <v>1.05</v>
      </c>
      <c r="I191" s="1449">
        <f>+MAX(F9:G9)</f>
        <v>1.05</v>
      </c>
      <c r="J191" s="1093"/>
      <c r="K191" s="1093"/>
      <c r="L191" s="1093"/>
      <c r="M191" s="1093"/>
      <c r="N191" s="1093"/>
      <c r="O191" s="1093"/>
      <c r="P191" s="1093"/>
      <c r="Q191" s="1093"/>
      <c r="R191" s="1093"/>
      <c r="S191" s="1093"/>
      <c r="T191" s="1093"/>
      <c r="U191" s="1093"/>
      <c r="V191" s="1093"/>
      <c r="W191" s="1093"/>
      <c r="X191" s="1093"/>
      <c r="Y191" s="1093"/>
      <c r="Z191" s="1093"/>
      <c r="AA191" s="1093"/>
      <c r="AB191" s="1093"/>
      <c r="AC191" s="1093"/>
      <c r="AD191" s="1093"/>
      <c r="AE191" s="1093"/>
      <c r="AF191" s="1093"/>
      <c r="AG191" s="1093"/>
      <c r="AH191" s="1093"/>
      <c r="AI191" s="1093"/>
      <c r="AJ191" s="1093"/>
    </row>
    <row r="192" spans="1:36" x14ac:dyDescent="0.25">
      <c r="A192" s="1093"/>
      <c r="B192" s="1093"/>
      <c r="C192" s="1093"/>
      <c r="D192" s="1093"/>
      <c r="E192" s="1093"/>
      <c r="F192" s="1093"/>
      <c r="G192" s="1093"/>
      <c r="H192" s="1093"/>
      <c r="I192" s="1093"/>
      <c r="J192" s="1093"/>
      <c r="K192" s="1093"/>
      <c r="L192" s="1093"/>
      <c r="M192" s="1093"/>
      <c r="N192" s="1093"/>
      <c r="O192" s="1093"/>
      <c r="P192" s="1093"/>
      <c r="Q192" s="1093"/>
      <c r="R192" s="1093"/>
      <c r="S192" s="1093"/>
      <c r="T192" s="1093"/>
      <c r="U192" s="1093"/>
      <c r="V192" s="1093"/>
      <c r="W192" s="1093"/>
      <c r="X192" s="1093"/>
      <c r="Y192" s="1093"/>
      <c r="Z192" s="1093"/>
      <c r="AA192" s="1093"/>
      <c r="AB192" s="1093"/>
      <c r="AC192" s="1093"/>
      <c r="AD192" s="1093"/>
      <c r="AE192" s="1093"/>
      <c r="AF192" s="1093"/>
      <c r="AG192" s="1093"/>
      <c r="AH192" s="1093"/>
      <c r="AI192" s="1093"/>
      <c r="AJ192" s="1093"/>
    </row>
    <row r="193" spans="1:36" x14ac:dyDescent="0.25">
      <c r="A193" s="1093"/>
      <c r="B193" s="1093"/>
      <c r="C193" s="1093"/>
      <c r="D193" s="1093"/>
      <c r="E193" s="1093"/>
      <c r="F193" s="1093"/>
      <c r="G193" s="1093"/>
      <c r="H193" s="1093"/>
      <c r="I193" s="1093"/>
      <c r="J193" s="1093"/>
      <c r="K193" s="1093"/>
      <c r="L193" s="1093"/>
      <c r="M193" s="1093"/>
      <c r="N193" s="1093"/>
      <c r="O193" s="1093"/>
      <c r="P193" s="1093"/>
      <c r="Q193" s="1093"/>
      <c r="R193" s="1093"/>
      <c r="S193" s="1093"/>
      <c r="T193" s="1093"/>
      <c r="U193" s="1093"/>
      <c r="V193" s="1093"/>
      <c r="W193" s="1093"/>
      <c r="X193" s="1093"/>
      <c r="Y193" s="1093"/>
      <c r="Z193" s="1093"/>
      <c r="AA193" s="1093"/>
      <c r="AB193" s="1093"/>
      <c r="AC193" s="1093"/>
      <c r="AD193" s="1093"/>
      <c r="AE193" s="1093"/>
      <c r="AF193" s="1093"/>
      <c r="AG193" s="1093"/>
      <c r="AH193" s="1093"/>
      <c r="AI193" s="1093"/>
      <c r="AJ193" s="1093"/>
    </row>
    <row r="194" spans="1:36" x14ac:dyDescent="0.25">
      <c r="A194" s="1093"/>
      <c r="B194" s="1094" t="s">
        <v>1310</v>
      </c>
      <c r="C194" s="1093">
        <f>+MATCH(R12,C50:Y50,0)</f>
        <v>9</v>
      </c>
      <c r="D194" s="1093"/>
      <c r="E194" s="1093"/>
      <c r="F194" s="1093"/>
      <c r="G194" s="1093"/>
      <c r="H194" s="1093"/>
      <c r="I194" s="1093"/>
      <c r="J194" s="1093"/>
      <c r="K194" s="1093"/>
      <c r="L194" s="1093"/>
      <c r="M194" s="1093"/>
      <c r="N194" s="1093"/>
      <c r="O194" s="1093"/>
      <c r="P194" s="1093"/>
      <c r="Q194" s="1093"/>
      <c r="R194" s="1093"/>
      <c r="S194" s="1093"/>
      <c r="T194" s="1093"/>
      <c r="U194" s="1093"/>
      <c r="V194" s="1093"/>
      <c r="W194" s="1093"/>
      <c r="X194" s="1093"/>
      <c r="Y194" s="1093"/>
      <c r="Z194" s="1093"/>
      <c r="AA194" s="1093"/>
      <c r="AB194" s="1093"/>
      <c r="AC194" s="1093"/>
      <c r="AD194" s="1093"/>
      <c r="AE194" s="1093"/>
      <c r="AF194" s="1093"/>
      <c r="AG194" s="1093"/>
      <c r="AH194" s="1093"/>
      <c r="AI194" s="1093"/>
      <c r="AJ194" s="1093"/>
    </row>
    <row r="195" spans="1:36" x14ac:dyDescent="0.25">
      <c r="A195" s="1093"/>
      <c r="B195" s="1094" t="s">
        <v>1306</v>
      </c>
      <c r="C195" s="1093">
        <f ca="1">+MIN(OFFSET($B$251:$B$2250,0,C194))</f>
        <v>4.8989958920951944</v>
      </c>
      <c r="D195" s="1093"/>
      <c r="E195" s="1093"/>
      <c r="F195" s="1093"/>
      <c r="G195" s="1093"/>
      <c r="H195" s="1093"/>
      <c r="I195" s="1093"/>
      <c r="J195" s="1093"/>
      <c r="K195" s="1093"/>
      <c r="L195" s="1093"/>
      <c r="M195" s="1093"/>
      <c r="N195" s="1093"/>
      <c r="O195" s="1093"/>
      <c r="P195" s="1093"/>
      <c r="Q195" s="1093"/>
      <c r="R195" s="1093"/>
      <c r="S195" s="1093"/>
      <c r="T195" s="1093"/>
      <c r="U195" s="1093"/>
      <c r="V195" s="1093"/>
      <c r="W195" s="1093"/>
      <c r="X195" s="1093"/>
      <c r="Y195" s="1093"/>
      <c r="Z195" s="1093"/>
      <c r="AA195" s="1093"/>
      <c r="AB195" s="1093"/>
      <c r="AC195" s="1093"/>
      <c r="AD195" s="1093"/>
      <c r="AE195" s="1093"/>
      <c r="AF195" s="1093"/>
      <c r="AG195" s="1093"/>
      <c r="AH195" s="1093"/>
      <c r="AI195" s="1093"/>
      <c r="AJ195" s="1093"/>
    </row>
    <row r="196" spans="1:36" x14ac:dyDescent="0.25">
      <c r="A196" s="1093"/>
      <c r="B196" s="1094" t="s">
        <v>1311</v>
      </c>
      <c r="C196" s="1093">
        <f ca="1">+MAX(OFFSET($B$251:$B$2250,0,C194))</f>
        <v>5.4606736128944435</v>
      </c>
      <c r="D196" s="1093"/>
      <c r="E196" s="1093"/>
      <c r="F196" s="1093"/>
      <c r="G196" s="1093"/>
      <c r="H196" s="1093"/>
      <c r="I196" s="1093"/>
      <c r="J196" s="1093"/>
      <c r="K196" s="1093"/>
      <c r="L196" s="1093"/>
      <c r="M196" s="1093"/>
      <c r="N196" s="1093"/>
      <c r="O196" s="1093"/>
      <c r="P196" s="1093"/>
      <c r="Q196" s="1093"/>
      <c r="R196" s="1093"/>
      <c r="S196" s="1093"/>
      <c r="T196" s="1093"/>
      <c r="U196" s="1093"/>
      <c r="V196" s="1093"/>
      <c r="W196" s="1093"/>
      <c r="X196" s="1093"/>
      <c r="Y196" s="1093"/>
      <c r="Z196" s="1093"/>
      <c r="AA196" s="1093"/>
      <c r="AB196" s="1093"/>
      <c r="AC196" s="1093"/>
      <c r="AD196" s="1093"/>
      <c r="AE196" s="1093"/>
      <c r="AF196" s="1093"/>
      <c r="AG196" s="1093"/>
      <c r="AH196" s="1093"/>
      <c r="AI196" s="1093"/>
      <c r="AJ196" s="1093"/>
    </row>
    <row r="197" spans="1:36" x14ac:dyDescent="0.25">
      <c r="A197" s="1093"/>
      <c r="B197" s="1094" t="s">
        <v>1313</v>
      </c>
      <c r="C197" s="1093">
        <f ca="1">+C196-C195</f>
        <v>0.56167772079924916</v>
      </c>
      <c r="D197" s="1093"/>
      <c r="E197" s="1093"/>
      <c r="F197" s="1093"/>
      <c r="G197" s="1093"/>
      <c r="H197" s="1093"/>
      <c r="I197" s="1093"/>
      <c r="J197" s="1093"/>
      <c r="K197" s="1093"/>
      <c r="L197" s="1093"/>
      <c r="M197" s="1093"/>
      <c r="N197" s="1093"/>
      <c r="O197" s="1093"/>
      <c r="P197" s="1093"/>
      <c r="Q197" s="1093"/>
      <c r="R197" s="1093"/>
      <c r="S197" s="1093"/>
      <c r="T197" s="1093"/>
      <c r="U197" s="1093"/>
      <c r="V197" s="1093"/>
      <c r="W197" s="1093"/>
      <c r="X197" s="1093"/>
      <c r="Y197" s="1093"/>
      <c r="Z197" s="1093"/>
      <c r="AA197" s="1093"/>
      <c r="AB197" s="1093"/>
      <c r="AC197" s="1093"/>
      <c r="AD197" s="1093"/>
      <c r="AE197" s="1093"/>
      <c r="AF197" s="1093"/>
      <c r="AG197" s="1093"/>
      <c r="AH197" s="1093"/>
      <c r="AI197" s="1093"/>
      <c r="AJ197" s="1093"/>
    </row>
    <row r="198" spans="1:36" x14ac:dyDescent="0.25">
      <c r="A198" s="1093"/>
      <c r="B198" s="1094" t="s">
        <v>1312</v>
      </c>
      <c r="C198" s="1093">
        <f ca="1">+OFFSET(B199,0,C194)</f>
        <v>1</v>
      </c>
      <c r="D198" s="1093"/>
      <c r="E198" s="1093"/>
      <c r="F198" s="1093"/>
      <c r="G198" s="1093"/>
      <c r="H198" s="1093"/>
      <c r="I198" s="1093"/>
      <c r="J198" s="1093"/>
      <c r="K198" s="1093"/>
      <c r="L198" s="1093"/>
      <c r="M198" s="1093"/>
      <c r="N198" s="1093"/>
      <c r="O198" s="1093"/>
      <c r="P198" s="1093"/>
      <c r="Q198" s="1093"/>
      <c r="R198" s="1093"/>
      <c r="S198" s="1093"/>
      <c r="T198" s="1093"/>
      <c r="U198" s="1093"/>
      <c r="V198" s="1093"/>
      <c r="W198" s="1093"/>
      <c r="X198" s="1093"/>
      <c r="Y198" s="1093"/>
      <c r="Z198" s="1093"/>
      <c r="AA198" s="1093"/>
      <c r="AB198" s="1093"/>
      <c r="AC198" s="1093"/>
      <c r="AD198" s="1093"/>
      <c r="AE198" s="1093"/>
      <c r="AF198" s="1093"/>
      <c r="AG198" s="1093"/>
      <c r="AH198" s="1093"/>
      <c r="AI198" s="1093"/>
      <c r="AJ198" s="1093"/>
    </row>
    <row r="199" spans="1:36" x14ac:dyDescent="0.25">
      <c r="A199" s="1093"/>
      <c r="B199" s="1094" t="s">
        <v>1312</v>
      </c>
      <c r="C199" s="1446">
        <f ca="1">+C3</f>
        <v>0.97</v>
      </c>
      <c r="D199" s="1453">
        <f ca="1">+C4</f>
        <v>50000</v>
      </c>
      <c r="E199" s="1446">
        <f ca="1">+C5</f>
        <v>0.08</v>
      </c>
      <c r="F199" s="1446">
        <f>+C6</f>
        <v>1</v>
      </c>
      <c r="G199" s="1446">
        <f>+C7</f>
        <v>1</v>
      </c>
      <c r="H199" s="1453">
        <f ca="1">+C8</f>
        <v>165837229.08155745</v>
      </c>
      <c r="I199" s="1453">
        <f ca="1">+C9</f>
        <v>8186102.7538074777</v>
      </c>
      <c r="J199" s="1093"/>
      <c r="K199" s="1093">
        <v>1</v>
      </c>
      <c r="L199" s="1093">
        <v>1</v>
      </c>
      <c r="M199" s="1093">
        <v>1</v>
      </c>
      <c r="N199" s="1093">
        <v>1</v>
      </c>
      <c r="O199" s="1093">
        <v>1</v>
      </c>
      <c r="P199" s="1093">
        <v>1</v>
      </c>
      <c r="Q199" s="1093">
        <v>1</v>
      </c>
      <c r="R199" s="1093">
        <v>1</v>
      </c>
      <c r="S199" s="1093">
        <v>1</v>
      </c>
      <c r="T199" s="1093">
        <v>1</v>
      </c>
      <c r="U199" s="1093">
        <v>1</v>
      </c>
      <c r="V199" s="1093">
        <v>1</v>
      </c>
      <c r="W199" s="1093">
        <v>1</v>
      </c>
      <c r="X199" s="1093">
        <v>1</v>
      </c>
      <c r="Y199" s="1093"/>
      <c r="Z199" s="1093"/>
      <c r="AA199" s="1093"/>
      <c r="AB199" s="1093"/>
      <c r="AC199" s="1093"/>
      <c r="AD199" s="1093"/>
      <c r="AE199" s="1093"/>
      <c r="AF199" s="1093"/>
      <c r="AG199" s="1093"/>
      <c r="AH199" s="1093"/>
      <c r="AI199" s="1093"/>
      <c r="AJ199" s="1093"/>
    </row>
    <row r="200" spans="1:36" x14ac:dyDescent="0.25">
      <c r="A200" s="1093"/>
      <c r="B200" s="1094" t="s">
        <v>1309</v>
      </c>
      <c r="C200" s="1093"/>
      <c r="D200" s="1093"/>
      <c r="E200" s="1093"/>
      <c r="F200" s="1093"/>
      <c r="G200" s="1093"/>
      <c r="H200" s="1093"/>
      <c r="I200" s="1093"/>
      <c r="J200" s="1093"/>
      <c r="K200" s="1093"/>
      <c r="L200" s="1093"/>
      <c r="M200" s="1093"/>
      <c r="N200" s="1093"/>
      <c r="O200" s="1093"/>
      <c r="P200" s="1093"/>
      <c r="Q200" s="1093"/>
      <c r="R200" s="1093"/>
      <c r="S200" s="1093"/>
      <c r="T200" s="1093"/>
      <c r="U200" s="1093"/>
      <c r="V200" s="1093"/>
      <c r="W200" s="1093"/>
      <c r="X200" s="1093"/>
      <c r="Y200" s="1093"/>
      <c r="Z200" s="1093"/>
      <c r="AA200" s="1093"/>
      <c r="AB200" s="1093"/>
      <c r="AC200" s="1093"/>
      <c r="AD200" s="1093"/>
      <c r="AE200" s="1093"/>
      <c r="AF200" s="1093"/>
      <c r="AG200" s="1093"/>
      <c r="AH200" s="1093"/>
      <c r="AI200" s="1093"/>
      <c r="AJ200" s="1093"/>
    </row>
    <row r="201" spans="1:36" x14ac:dyDescent="0.25">
      <c r="A201" s="1093"/>
      <c r="B201" s="1094" t="s">
        <v>1306</v>
      </c>
      <c r="C201" s="1094" t="s">
        <v>1307</v>
      </c>
      <c r="D201" s="1093"/>
      <c r="E201" s="1094" t="s">
        <v>1314</v>
      </c>
      <c r="F201" s="1094" t="s">
        <v>1315</v>
      </c>
      <c r="G201" s="1094" t="s">
        <v>1316</v>
      </c>
      <c r="H201" s="1094" t="s">
        <v>1317</v>
      </c>
      <c r="I201" s="1094" t="s">
        <v>1318</v>
      </c>
      <c r="J201" s="1093"/>
      <c r="K201" s="1093"/>
      <c r="L201" s="1093"/>
      <c r="M201" s="1093"/>
      <c r="N201" s="1093"/>
      <c r="O201" s="1093"/>
      <c r="P201" s="1093"/>
      <c r="Q201" s="1093"/>
      <c r="R201" s="1093"/>
      <c r="S201" s="1093"/>
      <c r="T201" s="1093"/>
      <c r="U201" s="1093"/>
      <c r="V201" s="1093"/>
      <c r="W201" s="1093"/>
      <c r="X201" s="1093"/>
      <c r="Y201" s="1093"/>
      <c r="Z201" s="1093"/>
      <c r="AA201" s="1093"/>
      <c r="AB201" s="1093"/>
      <c r="AC201" s="1093"/>
      <c r="AD201" s="1093"/>
      <c r="AE201" s="1093"/>
      <c r="AF201" s="1093"/>
      <c r="AG201" s="1093"/>
      <c r="AH201" s="1093"/>
      <c r="AI201" s="1093"/>
      <c r="AJ201" s="1093"/>
    </row>
    <row r="202" spans="1:36" x14ac:dyDescent="0.25">
      <c r="A202" s="1093"/>
      <c r="B202" s="1098">
        <f ca="1">+C195</f>
        <v>4.8989958920951944</v>
      </c>
      <c r="C202" s="1451">
        <f ca="1">+B202+($C$197/20)</f>
        <v>4.9270797781351572</v>
      </c>
      <c r="D202" s="1093">
        <f t="shared" ref="D202:D221" ca="1" si="88">+COUNTIFS(OFFSET(B$251:B$2250,0,$C$194),"&gt;="&amp;$B202,
OFFSET(B$251:B$2250,0,$C$194),"&lt;="&amp;$C202)</f>
        <v>8</v>
      </c>
      <c r="E202" s="1454">
        <f ca="1">+B202*$C$198</f>
        <v>4.8989958920951944</v>
      </c>
      <c r="F202" s="1454">
        <f ca="1">+C202*$C$198</f>
        <v>4.9270797781351572</v>
      </c>
      <c r="G202" s="1453">
        <f ca="1">+AVERAGE(E202:F202)</f>
        <v>4.9130378351151762</v>
      </c>
      <c r="H202" s="1093">
        <f ca="1">+D202/$D$223</f>
        <v>4.0000000000000001E-3</v>
      </c>
      <c r="I202" s="1093">
        <f ca="1">+H202</f>
        <v>4.0000000000000001E-3</v>
      </c>
      <c r="J202" s="1093"/>
      <c r="K202" s="1093"/>
      <c r="L202" s="1093"/>
      <c r="M202" s="1093"/>
      <c r="N202" s="1093"/>
      <c r="O202" s="1093"/>
      <c r="P202" s="1093"/>
      <c r="Q202" s="1093"/>
      <c r="R202" s="1093"/>
      <c r="S202" s="1093"/>
      <c r="T202" s="1093"/>
      <c r="U202" s="1093"/>
      <c r="V202" s="1093"/>
      <c r="W202" s="1093"/>
      <c r="X202" s="1093"/>
      <c r="Y202" s="1093"/>
      <c r="Z202" s="1093"/>
      <c r="AA202" s="1093"/>
      <c r="AB202" s="1093"/>
      <c r="AC202" s="1093"/>
      <c r="AD202" s="1093"/>
      <c r="AE202" s="1093"/>
      <c r="AF202" s="1093"/>
      <c r="AG202" s="1093"/>
      <c r="AH202" s="1093"/>
      <c r="AI202" s="1093"/>
      <c r="AJ202" s="1093"/>
    </row>
    <row r="203" spans="1:36" x14ac:dyDescent="0.25">
      <c r="A203" s="1093"/>
      <c r="B203" s="1098">
        <f ca="1">+C202</f>
        <v>4.9270797781351572</v>
      </c>
      <c r="C203" s="1451">
        <f t="shared" ref="C203:C220" ca="1" si="89">+B203+($C$197/20)</f>
        <v>4.95516366417512</v>
      </c>
      <c r="D203" s="1093">
        <f t="shared" ca="1" si="88"/>
        <v>20</v>
      </c>
      <c r="E203" s="1454">
        <f t="shared" ref="E203:E221" ca="1" si="90">+B203*$C$198</f>
        <v>4.9270797781351572</v>
      </c>
      <c r="F203" s="1454">
        <f t="shared" ref="F203:F222" ca="1" si="91">+C203*$C$198</f>
        <v>4.95516366417512</v>
      </c>
      <c r="G203" s="1453">
        <f t="shared" ref="G203:G222" ca="1" si="92">+AVERAGE(E203:F203)</f>
        <v>4.9411217211551381</v>
      </c>
      <c r="H203" s="1093">
        <f t="shared" ref="H203:H221" ca="1" si="93">+D203/$D$223</f>
        <v>0.01</v>
      </c>
      <c r="I203" s="1093">
        <f ca="1">+I202+H203</f>
        <v>1.4E-2</v>
      </c>
      <c r="J203" s="1093"/>
      <c r="K203" s="1093"/>
      <c r="L203" s="1093"/>
      <c r="M203" s="1093"/>
      <c r="N203" s="1093"/>
      <c r="O203" s="1093"/>
      <c r="P203" s="1093"/>
      <c r="Q203" s="1093"/>
      <c r="R203" s="1093"/>
      <c r="S203" s="1093"/>
      <c r="T203" s="1093"/>
      <c r="U203" s="1093"/>
      <c r="V203" s="1093"/>
      <c r="W203" s="1093"/>
      <c r="X203" s="1093"/>
      <c r="Y203" s="1093"/>
      <c r="Z203" s="1093"/>
      <c r="AA203" s="1093"/>
      <c r="AB203" s="1093"/>
      <c r="AC203" s="1093"/>
      <c r="AD203" s="1093"/>
      <c r="AE203" s="1093"/>
      <c r="AF203" s="1093"/>
      <c r="AG203" s="1093"/>
      <c r="AH203" s="1093"/>
      <c r="AI203" s="1093"/>
      <c r="AJ203" s="1093"/>
    </row>
    <row r="204" spans="1:36" x14ac:dyDescent="0.25">
      <c r="A204" s="1093"/>
      <c r="B204" s="1098">
        <f t="shared" ref="B204:B221" ca="1" si="94">+C203</f>
        <v>4.95516366417512</v>
      </c>
      <c r="C204" s="1451">
        <f t="shared" ca="1" si="89"/>
        <v>4.9832475502150828</v>
      </c>
      <c r="D204" s="1093">
        <f t="shared" ca="1" si="88"/>
        <v>45</v>
      </c>
      <c r="E204" s="1454">
        <f t="shared" ca="1" si="90"/>
        <v>4.95516366417512</v>
      </c>
      <c r="F204" s="1454">
        <f t="shared" ca="1" si="91"/>
        <v>4.9832475502150828</v>
      </c>
      <c r="G204" s="1453">
        <f t="shared" ca="1" si="92"/>
        <v>4.9692056071951018</v>
      </c>
      <c r="H204" s="1093">
        <f t="shared" ca="1" si="93"/>
        <v>2.2499999999999999E-2</v>
      </c>
      <c r="I204" s="1093">
        <f t="shared" ref="I204:I221" ca="1" si="95">+I203+H204</f>
        <v>3.6499999999999998E-2</v>
      </c>
      <c r="J204" s="1093"/>
      <c r="K204" s="1093"/>
      <c r="L204" s="1093"/>
      <c r="M204" s="1093"/>
      <c r="N204" s="1093"/>
      <c r="O204" s="1093"/>
      <c r="P204" s="1093"/>
      <c r="Q204" s="1093"/>
      <c r="R204" s="1093"/>
      <c r="S204" s="1093"/>
      <c r="T204" s="1093"/>
      <c r="U204" s="1093"/>
      <c r="V204" s="1093"/>
      <c r="W204" s="1093"/>
      <c r="X204" s="1093"/>
      <c r="Y204" s="1093"/>
      <c r="Z204" s="1093"/>
      <c r="AA204" s="1093"/>
      <c r="AB204" s="1093"/>
      <c r="AC204" s="1093"/>
      <c r="AD204" s="1093"/>
      <c r="AE204" s="1093"/>
      <c r="AF204" s="1093"/>
      <c r="AG204" s="1093"/>
      <c r="AH204" s="1093"/>
      <c r="AI204" s="1093"/>
      <c r="AJ204" s="1093"/>
    </row>
    <row r="205" spans="1:36" x14ac:dyDescent="0.25">
      <c r="A205" s="1093"/>
      <c r="B205" s="1098">
        <f t="shared" ca="1" si="94"/>
        <v>4.9832475502150828</v>
      </c>
      <c r="C205" s="1451">
        <f t="shared" ca="1" si="89"/>
        <v>5.0113314362550456</v>
      </c>
      <c r="D205" s="1093">
        <f t="shared" ca="1" si="88"/>
        <v>73</v>
      </c>
      <c r="E205" s="1454">
        <f t="shared" ca="1" si="90"/>
        <v>4.9832475502150828</v>
      </c>
      <c r="F205" s="1454">
        <f t="shared" ca="1" si="91"/>
        <v>5.0113314362550456</v>
      </c>
      <c r="G205" s="1453">
        <f t="shared" ca="1" si="92"/>
        <v>4.9972894932350638</v>
      </c>
      <c r="H205" s="1093">
        <f t="shared" ca="1" si="93"/>
        <v>3.6499999999999998E-2</v>
      </c>
      <c r="I205" s="1093">
        <f t="shared" ca="1" si="95"/>
        <v>7.2999999999999995E-2</v>
      </c>
      <c r="J205" s="1093"/>
      <c r="K205" s="1093"/>
      <c r="L205" s="1093"/>
      <c r="M205" s="1093"/>
      <c r="N205" s="1093"/>
      <c r="O205" s="1093"/>
      <c r="P205" s="1093"/>
      <c r="Q205" s="1093"/>
      <c r="R205" s="1093"/>
      <c r="S205" s="1093"/>
      <c r="T205" s="1093"/>
      <c r="U205" s="1093"/>
      <c r="V205" s="1093"/>
      <c r="W205" s="1093"/>
      <c r="X205" s="1093"/>
      <c r="Y205" s="1093"/>
      <c r="Z205" s="1093"/>
      <c r="AA205" s="1093"/>
      <c r="AB205" s="1093"/>
      <c r="AC205" s="1093"/>
      <c r="AD205" s="1093"/>
      <c r="AE205" s="1093"/>
      <c r="AF205" s="1093"/>
      <c r="AG205" s="1093"/>
      <c r="AH205" s="1093"/>
      <c r="AI205" s="1093"/>
      <c r="AJ205" s="1093"/>
    </row>
    <row r="206" spans="1:36" x14ac:dyDescent="0.25">
      <c r="A206" s="1093"/>
      <c r="B206" s="1098">
        <f t="shared" ca="1" si="94"/>
        <v>5.0113314362550456</v>
      </c>
      <c r="C206" s="1451">
        <f t="shared" ca="1" si="89"/>
        <v>5.0394153222950084</v>
      </c>
      <c r="D206" s="1093">
        <f t="shared" ca="1" si="88"/>
        <v>78</v>
      </c>
      <c r="E206" s="1454">
        <f t="shared" ca="1" si="90"/>
        <v>5.0113314362550456</v>
      </c>
      <c r="F206" s="1454">
        <f t="shared" ca="1" si="91"/>
        <v>5.0394153222950084</v>
      </c>
      <c r="G206" s="1453">
        <f t="shared" ca="1" si="92"/>
        <v>5.0253733792750275</v>
      </c>
      <c r="H206" s="1093">
        <f t="shared" ca="1" si="93"/>
        <v>3.9E-2</v>
      </c>
      <c r="I206" s="1093">
        <f t="shared" ca="1" si="95"/>
        <v>0.11199999999999999</v>
      </c>
      <c r="J206" s="1093"/>
      <c r="K206" s="1093"/>
      <c r="L206" s="1093"/>
      <c r="M206" s="1093"/>
      <c r="N206" s="1093"/>
      <c r="O206" s="1093"/>
      <c r="P206" s="1093"/>
      <c r="Q206" s="1093"/>
      <c r="R206" s="1093"/>
      <c r="S206" s="1093"/>
      <c r="T206" s="1093"/>
      <c r="U206" s="1093"/>
      <c r="V206" s="1093"/>
      <c r="W206" s="1093"/>
      <c r="X206" s="1093"/>
      <c r="Y206" s="1093"/>
      <c r="Z206" s="1093"/>
      <c r="AA206" s="1093"/>
      <c r="AB206" s="1093"/>
      <c r="AC206" s="1093"/>
      <c r="AD206" s="1093"/>
      <c r="AE206" s="1093"/>
      <c r="AF206" s="1093"/>
      <c r="AG206" s="1093"/>
      <c r="AH206" s="1093"/>
      <c r="AI206" s="1093"/>
      <c r="AJ206" s="1093"/>
    </row>
    <row r="207" spans="1:36" x14ac:dyDescent="0.25">
      <c r="A207" s="1093"/>
      <c r="B207" s="1098">
        <f t="shared" ca="1" si="94"/>
        <v>5.0394153222950084</v>
      </c>
      <c r="C207" s="1451">
        <f t="shared" ca="1" si="89"/>
        <v>5.0674992083349713</v>
      </c>
      <c r="D207" s="1093">
        <f t="shared" ca="1" si="88"/>
        <v>121</v>
      </c>
      <c r="E207" s="1454">
        <f t="shared" ca="1" si="90"/>
        <v>5.0394153222950084</v>
      </c>
      <c r="F207" s="1454">
        <f t="shared" ca="1" si="91"/>
        <v>5.0674992083349713</v>
      </c>
      <c r="G207" s="1453">
        <f t="shared" ca="1" si="92"/>
        <v>5.0534572653149894</v>
      </c>
      <c r="H207" s="1093">
        <f t="shared" ca="1" si="93"/>
        <v>6.0499999999999998E-2</v>
      </c>
      <c r="I207" s="1093">
        <f t="shared" ca="1" si="95"/>
        <v>0.17249999999999999</v>
      </c>
      <c r="J207" s="1093"/>
      <c r="K207" s="1093"/>
      <c r="L207" s="1093"/>
      <c r="M207" s="1093"/>
      <c r="N207" s="1093"/>
      <c r="O207" s="1093"/>
      <c r="P207" s="1093"/>
      <c r="Q207" s="1093"/>
      <c r="R207" s="1093"/>
      <c r="S207" s="1093"/>
      <c r="T207" s="1093"/>
      <c r="U207" s="1093"/>
      <c r="V207" s="1093"/>
      <c r="W207" s="1093"/>
      <c r="X207" s="1093"/>
      <c r="Y207" s="1093"/>
      <c r="Z207" s="1093"/>
      <c r="AA207" s="1093"/>
      <c r="AB207" s="1093"/>
      <c r="AC207" s="1093"/>
      <c r="AD207" s="1093"/>
      <c r="AE207" s="1093"/>
      <c r="AF207" s="1093"/>
      <c r="AG207" s="1093"/>
      <c r="AH207" s="1093"/>
      <c r="AI207" s="1093"/>
      <c r="AJ207" s="1093"/>
    </row>
    <row r="208" spans="1:36" x14ac:dyDescent="0.25">
      <c r="A208" s="1093"/>
      <c r="B208" s="1098">
        <f t="shared" ca="1" si="94"/>
        <v>5.0674992083349713</v>
      </c>
      <c r="C208" s="1451">
        <f t="shared" ca="1" si="89"/>
        <v>5.0955830943749341</v>
      </c>
      <c r="D208" s="1093">
        <f t="shared" ca="1" si="88"/>
        <v>137</v>
      </c>
      <c r="E208" s="1454">
        <f t="shared" ca="1" si="90"/>
        <v>5.0674992083349713</v>
      </c>
      <c r="F208" s="1454">
        <f t="shared" ca="1" si="91"/>
        <v>5.0955830943749341</v>
      </c>
      <c r="G208" s="1453">
        <f t="shared" ca="1" si="92"/>
        <v>5.0815411513549531</v>
      </c>
      <c r="H208" s="1093">
        <f t="shared" ca="1" si="93"/>
        <v>6.8500000000000005E-2</v>
      </c>
      <c r="I208" s="1093">
        <f t="shared" ca="1" si="95"/>
        <v>0.24099999999999999</v>
      </c>
      <c r="J208" s="1093"/>
      <c r="K208" s="1093"/>
      <c r="L208" s="1093"/>
      <c r="M208" s="1093"/>
      <c r="N208" s="1093"/>
      <c r="O208" s="1093"/>
      <c r="P208" s="1093"/>
      <c r="Q208" s="1093"/>
      <c r="R208" s="1093"/>
      <c r="S208" s="1093"/>
      <c r="T208" s="1093"/>
      <c r="U208" s="1093"/>
      <c r="V208" s="1093"/>
      <c r="W208" s="1093"/>
      <c r="X208" s="1093"/>
      <c r="Y208" s="1093"/>
      <c r="Z208" s="1093"/>
      <c r="AA208" s="1093"/>
      <c r="AB208" s="1093"/>
      <c r="AC208" s="1093"/>
      <c r="AD208" s="1093"/>
      <c r="AE208" s="1093"/>
      <c r="AF208" s="1093"/>
      <c r="AG208" s="1093"/>
      <c r="AH208" s="1093"/>
      <c r="AI208" s="1093"/>
      <c r="AJ208" s="1093"/>
    </row>
    <row r="209" spans="1:36" x14ac:dyDescent="0.25">
      <c r="A209" s="1093"/>
      <c r="B209" s="1098">
        <f t="shared" ca="1" si="94"/>
        <v>5.0955830943749341</v>
      </c>
      <c r="C209" s="1451">
        <f t="shared" ca="1" si="89"/>
        <v>5.1236669804148969</v>
      </c>
      <c r="D209" s="1093">
        <f t="shared" ca="1" si="88"/>
        <v>158</v>
      </c>
      <c r="E209" s="1454">
        <f t="shared" ca="1" si="90"/>
        <v>5.0955830943749341</v>
      </c>
      <c r="F209" s="1454">
        <f t="shared" ca="1" si="91"/>
        <v>5.1236669804148969</v>
      </c>
      <c r="G209" s="1453">
        <f t="shared" ca="1" si="92"/>
        <v>5.109625037394915</v>
      </c>
      <c r="H209" s="1093">
        <f t="shared" ca="1" si="93"/>
        <v>7.9000000000000001E-2</v>
      </c>
      <c r="I209" s="1093">
        <f t="shared" ca="1" si="95"/>
        <v>0.32</v>
      </c>
      <c r="J209" s="1093"/>
      <c r="K209" s="1093"/>
      <c r="L209" s="1093"/>
      <c r="M209" s="1093"/>
      <c r="N209" s="1093"/>
      <c r="O209" s="1093"/>
      <c r="P209" s="1093"/>
      <c r="Q209" s="1093"/>
      <c r="R209" s="1093"/>
      <c r="S209" s="1093"/>
      <c r="T209" s="1093"/>
      <c r="U209" s="1093"/>
      <c r="V209" s="1093"/>
      <c r="W209" s="1093"/>
      <c r="X209" s="1093"/>
      <c r="Y209" s="1093"/>
      <c r="Z209" s="1093"/>
      <c r="AA209" s="1093"/>
      <c r="AB209" s="1093"/>
      <c r="AC209" s="1093"/>
      <c r="AD209" s="1093"/>
      <c r="AE209" s="1093"/>
      <c r="AF209" s="1093"/>
      <c r="AG209" s="1093"/>
      <c r="AH209" s="1093"/>
      <c r="AI209" s="1093"/>
      <c r="AJ209" s="1093"/>
    </row>
    <row r="210" spans="1:36" x14ac:dyDescent="0.25">
      <c r="A210" s="1093"/>
      <c r="B210" s="1098">
        <f t="shared" ca="1" si="94"/>
        <v>5.1236669804148969</v>
      </c>
      <c r="C210" s="1451">
        <f t="shared" ca="1" si="89"/>
        <v>5.1517508664548597</v>
      </c>
      <c r="D210" s="1093">
        <f t="shared" ca="1" si="88"/>
        <v>191</v>
      </c>
      <c r="E210" s="1454">
        <f t="shared" ca="1" si="90"/>
        <v>5.1236669804148969</v>
      </c>
      <c r="F210" s="1454">
        <f t="shared" ca="1" si="91"/>
        <v>5.1517508664548597</v>
      </c>
      <c r="G210" s="1453">
        <f t="shared" ca="1" si="92"/>
        <v>5.1377089234348787</v>
      </c>
      <c r="H210" s="1093">
        <f t="shared" ca="1" si="93"/>
        <v>9.5500000000000002E-2</v>
      </c>
      <c r="I210" s="1093">
        <f t="shared" ca="1" si="95"/>
        <v>0.41549999999999998</v>
      </c>
      <c r="J210" s="1093"/>
      <c r="K210" s="1093"/>
      <c r="L210" s="1093"/>
      <c r="M210" s="1093"/>
      <c r="N210" s="1093"/>
      <c r="O210" s="1093"/>
      <c r="P210" s="1093"/>
      <c r="Q210" s="1093"/>
      <c r="R210" s="1093"/>
      <c r="S210" s="1093"/>
      <c r="T210" s="1093"/>
      <c r="U210" s="1093"/>
      <c r="V210" s="1093"/>
      <c r="W210" s="1093"/>
      <c r="X210" s="1093"/>
      <c r="Y210" s="1093"/>
      <c r="Z210" s="1093"/>
      <c r="AA210" s="1093"/>
      <c r="AB210" s="1093"/>
      <c r="AC210" s="1093"/>
      <c r="AD210" s="1093"/>
      <c r="AE210" s="1093"/>
      <c r="AF210" s="1093"/>
      <c r="AG210" s="1093"/>
      <c r="AH210" s="1093"/>
      <c r="AI210" s="1093"/>
      <c r="AJ210" s="1093"/>
    </row>
    <row r="211" spans="1:36" x14ac:dyDescent="0.25">
      <c r="A211" s="1093"/>
      <c r="B211" s="1098">
        <f t="shared" ca="1" si="94"/>
        <v>5.1517508664548597</v>
      </c>
      <c r="C211" s="1451">
        <f t="shared" ca="1" si="89"/>
        <v>5.1798347524948225</v>
      </c>
      <c r="D211" s="1093">
        <f t="shared" ca="1" si="88"/>
        <v>191</v>
      </c>
      <c r="E211" s="1454">
        <f t="shared" ca="1" si="90"/>
        <v>5.1517508664548597</v>
      </c>
      <c r="F211" s="1454">
        <f t="shared" ca="1" si="91"/>
        <v>5.1798347524948225</v>
      </c>
      <c r="G211" s="1453">
        <f t="shared" ca="1" si="92"/>
        <v>5.1657928094748407</v>
      </c>
      <c r="H211" s="1093">
        <f t="shared" ca="1" si="93"/>
        <v>9.5500000000000002E-2</v>
      </c>
      <c r="I211" s="1093">
        <f t="shared" ca="1" si="95"/>
        <v>0.51100000000000001</v>
      </c>
      <c r="J211" s="1093"/>
      <c r="K211" s="1093"/>
      <c r="L211" s="1093"/>
      <c r="M211" s="1093"/>
      <c r="N211" s="1093"/>
      <c r="O211" s="1093"/>
      <c r="P211" s="1093"/>
      <c r="Q211" s="1093"/>
      <c r="R211" s="1093"/>
      <c r="S211" s="1093"/>
      <c r="T211" s="1093"/>
      <c r="U211" s="1093"/>
      <c r="V211" s="1093"/>
      <c r="W211" s="1093"/>
      <c r="X211" s="1093"/>
      <c r="Y211" s="1093"/>
      <c r="Z211" s="1093"/>
      <c r="AA211" s="1093"/>
      <c r="AB211" s="1093"/>
      <c r="AC211" s="1093"/>
      <c r="AD211" s="1093"/>
      <c r="AE211" s="1093"/>
      <c r="AF211" s="1093"/>
      <c r="AG211" s="1093"/>
      <c r="AH211" s="1093"/>
      <c r="AI211" s="1093"/>
      <c r="AJ211" s="1093"/>
    </row>
    <row r="212" spans="1:36" x14ac:dyDescent="0.25">
      <c r="A212" s="1093"/>
      <c r="B212" s="1098">
        <f t="shared" ca="1" si="94"/>
        <v>5.1798347524948225</v>
      </c>
      <c r="C212" s="1451">
        <f t="shared" ca="1" si="89"/>
        <v>5.2079186385347853</v>
      </c>
      <c r="D212" s="1093">
        <f t="shared" ca="1" si="88"/>
        <v>182</v>
      </c>
      <c r="E212" s="1454">
        <f t="shared" ca="1" si="90"/>
        <v>5.1798347524948225</v>
      </c>
      <c r="F212" s="1454">
        <f t="shared" ca="1" si="91"/>
        <v>5.2079186385347853</v>
      </c>
      <c r="G212" s="1453">
        <f t="shared" ca="1" si="92"/>
        <v>5.1938766955148044</v>
      </c>
      <c r="H212" s="1093">
        <f t="shared" ca="1" si="93"/>
        <v>9.0999999999999998E-2</v>
      </c>
      <c r="I212" s="1093">
        <f t="shared" ca="1" si="95"/>
        <v>0.60199999999999998</v>
      </c>
      <c r="J212" s="1093"/>
      <c r="K212" s="1093"/>
      <c r="L212" s="1093"/>
      <c r="M212" s="1093"/>
      <c r="N212" s="1093"/>
      <c r="O212" s="1093"/>
      <c r="P212" s="1093"/>
      <c r="Q212" s="1093"/>
      <c r="R212" s="1093"/>
      <c r="S212" s="1093"/>
      <c r="T212" s="1093"/>
      <c r="U212" s="1093"/>
      <c r="V212" s="1093"/>
      <c r="W212" s="1093"/>
      <c r="X212" s="1093"/>
      <c r="Y212" s="1093"/>
      <c r="Z212" s="1093"/>
      <c r="AA212" s="1093"/>
      <c r="AB212" s="1093"/>
      <c r="AC212" s="1093"/>
      <c r="AD212" s="1093"/>
      <c r="AE212" s="1093"/>
      <c r="AF212" s="1093"/>
      <c r="AG212" s="1093"/>
      <c r="AH212" s="1093"/>
      <c r="AI212" s="1093"/>
      <c r="AJ212" s="1093"/>
    </row>
    <row r="213" spans="1:36" x14ac:dyDescent="0.25">
      <c r="A213" s="1093"/>
      <c r="B213" s="1098">
        <f t="shared" ca="1" si="94"/>
        <v>5.2079186385347853</v>
      </c>
      <c r="C213" s="1451">
        <f t="shared" ca="1" si="89"/>
        <v>5.2360025245747481</v>
      </c>
      <c r="D213" s="1093">
        <f t="shared" ca="1" si="88"/>
        <v>170</v>
      </c>
      <c r="E213" s="1454">
        <f t="shared" ca="1" si="90"/>
        <v>5.2079186385347853</v>
      </c>
      <c r="F213" s="1454">
        <f t="shared" ca="1" si="91"/>
        <v>5.2360025245747481</v>
      </c>
      <c r="G213" s="1453">
        <f t="shared" ca="1" si="92"/>
        <v>5.2219605815547663</v>
      </c>
      <c r="H213" s="1093">
        <f t="shared" ca="1" si="93"/>
        <v>8.5000000000000006E-2</v>
      </c>
      <c r="I213" s="1093">
        <f t="shared" ca="1" si="95"/>
        <v>0.68699999999999994</v>
      </c>
      <c r="J213" s="1093"/>
      <c r="K213" s="1093"/>
      <c r="L213" s="1093"/>
      <c r="M213" s="1093"/>
      <c r="N213" s="1093"/>
      <c r="O213" s="1093"/>
      <c r="P213" s="1093"/>
      <c r="Q213" s="1093"/>
      <c r="R213" s="1093"/>
      <c r="S213" s="1093"/>
      <c r="T213" s="1093"/>
      <c r="U213" s="1093"/>
      <c r="V213" s="1093"/>
      <c r="W213" s="1093"/>
      <c r="X213" s="1093"/>
      <c r="Y213" s="1093"/>
      <c r="Z213" s="1093"/>
      <c r="AA213" s="1093"/>
      <c r="AB213" s="1093"/>
      <c r="AC213" s="1093"/>
      <c r="AD213" s="1093"/>
      <c r="AE213" s="1093"/>
      <c r="AF213" s="1093"/>
      <c r="AG213" s="1093"/>
      <c r="AH213" s="1093"/>
      <c r="AI213" s="1093"/>
      <c r="AJ213" s="1093"/>
    </row>
    <row r="214" spans="1:36" x14ac:dyDescent="0.25">
      <c r="A214" s="1093"/>
      <c r="B214" s="1098">
        <f t="shared" ca="1" si="94"/>
        <v>5.2360025245747481</v>
      </c>
      <c r="C214" s="1451">
        <f t="shared" ca="1" si="89"/>
        <v>5.2640864106147109</v>
      </c>
      <c r="D214" s="1093">
        <f t="shared" ca="1" si="88"/>
        <v>160</v>
      </c>
      <c r="E214" s="1454">
        <f t="shared" ca="1" si="90"/>
        <v>5.2360025245747481</v>
      </c>
      <c r="F214" s="1454">
        <f t="shared" ca="1" si="91"/>
        <v>5.2640864106147109</v>
      </c>
      <c r="G214" s="1453">
        <f t="shared" ca="1" si="92"/>
        <v>5.25004446759473</v>
      </c>
      <c r="H214" s="1093">
        <f t="shared" ca="1" si="93"/>
        <v>0.08</v>
      </c>
      <c r="I214" s="1093">
        <f t="shared" ca="1" si="95"/>
        <v>0.7669999999999999</v>
      </c>
      <c r="J214" s="1093"/>
      <c r="K214" s="1093"/>
      <c r="L214" s="1093"/>
      <c r="M214" s="1093"/>
      <c r="N214" s="1093"/>
      <c r="O214" s="1093"/>
      <c r="P214" s="1093"/>
      <c r="Q214" s="1093"/>
      <c r="R214" s="1093"/>
      <c r="S214" s="1093"/>
      <c r="T214" s="1093"/>
      <c r="U214" s="1093"/>
      <c r="V214" s="1093"/>
      <c r="W214" s="1093"/>
      <c r="X214" s="1093"/>
      <c r="Y214" s="1093"/>
      <c r="Z214" s="1093"/>
      <c r="AA214" s="1093"/>
      <c r="AB214" s="1093"/>
      <c r="AC214" s="1093"/>
      <c r="AD214" s="1093"/>
      <c r="AE214" s="1093"/>
      <c r="AF214" s="1093"/>
      <c r="AG214" s="1093"/>
      <c r="AH214" s="1093"/>
      <c r="AI214" s="1093"/>
      <c r="AJ214" s="1093"/>
    </row>
    <row r="215" spans="1:36" x14ac:dyDescent="0.25">
      <c r="A215" s="1093"/>
      <c r="B215" s="1098">
        <f t="shared" ca="1" si="94"/>
        <v>5.2640864106147109</v>
      </c>
      <c r="C215" s="1451">
        <f t="shared" ca="1" si="89"/>
        <v>5.2921702966546738</v>
      </c>
      <c r="D215" s="1093">
        <f t="shared" ca="1" si="88"/>
        <v>130</v>
      </c>
      <c r="E215" s="1454">
        <f t="shared" ca="1" si="90"/>
        <v>5.2640864106147109</v>
      </c>
      <c r="F215" s="1454">
        <f t="shared" ca="1" si="91"/>
        <v>5.2921702966546738</v>
      </c>
      <c r="G215" s="1453">
        <f t="shared" ca="1" si="92"/>
        <v>5.2781283536346919</v>
      </c>
      <c r="H215" s="1093">
        <f t="shared" ca="1" si="93"/>
        <v>6.5000000000000002E-2</v>
      </c>
      <c r="I215" s="1093">
        <f t="shared" ca="1" si="95"/>
        <v>0.83199999999999985</v>
      </c>
      <c r="J215" s="1093"/>
      <c r="K215" s="1093"/>
      <c r="L215" s="1093"/>
      <c r="M215" s="1093"/>
      <c r="N215" s="1093"/>
      <c r="O215" s="1093"/>
      <c r="P215" s="1093"/>
      <c r="Q215" s="1093"/>
      <c r="R215" s="1093"/>
      <c r="S215" s="1093"/>
      <c r="T215" s="1093"/>
      <c r="U215" s="1093"/>
      <c r="V215" s="1093"/>
      <c r="W215" s="1093"/>
      <c r="X215" s="1093"/>
      <c r="Y215" s="1093"/>
      <c r="Z215" s="1093"/>
      <c r="AA215" s="1093"/>
      <c r="AB215" s="1093"/>
      <c r="AC215" s="1093"/>
      <c r="AD215" s="1093"/>
      <c r="AE215" s="1093"/>
      <c r="AF215" s="1093"/>
      <c r="AG215" s="1093"/>
      <c r="AH215" s="1093"/>
      <c r="AI215" s="1093"/>
      <c r="AJ215" s="1093"/>
    </row>
    <row r="216" spans="1:36" x14ac:dyDescent="0.25">
      <c r="A216" s="1093"/>
      <c r="B216" s="1098">
        <f t="shared" ca="1" si="94"/>
        <v>5.2921702966546738</v>
      </c>
      <c r="C216" s="1451">
        <f t="shared" ca="1" si="89"/>
        <v>5.3202541826946366</v>
      </c>
      <c r="D216" s="1093">
        <f t="shared" ca="1" si="88"/>
        <v>109</v>
      </c>
      <c r="E216" s="1454">
        <f t="shared" ca="1" si="90"/>
        <v>5.2921702966546738</v>
      </c>
      <c r="F216" s="1454">
        <f t="shared" ca="1" si="91"/>
        <v>5.3202541826946366</v>
      </c>
      <c r="G216" s="1453">
        <f t="shared" ca="1" si="92"/>
        <v>5.3062122396746556</v>
      </c>
      <c r="H216" s="1093">
        <f t="shared" ca="1" si="93"/>
        <v>5.45E-2</v>
      </c>
      <c r="I216" s="1093">
        <f t="shared" ca="1" si="95"/>
        <v>0.88649999999999984</v>
      </c>
      <c r="J216" s="1093"/>
      <c r="K216" s="1093"/>
      <c r="L216" s="1093"/>
      <c r="M216" s="1093"/>
      <c r="N216" s="1093"/>
      <c r="O216" s="1093"/>
      <c r="P216" s="1093"/>
      <c r="Q216" s="1093"/>
      <c r="R216" s="1093"/>
      <c r="S216" s="1093"/>
      <c r="T216" s="1093"/>
      <c r="U216" s="1093"/>
      <c r="V216" s="1093"/>
      <c r="W216" s="1093"/>
      <c r="X216" s="1093"/>
      <c r="Y216" s="1093"/>
      <c r="Z216" s="1093"/>
      <c r="AA216" s="1093"/>
      <c r="AB216" s="1093"/>
      <c r="AC216" s="1093"/>
      <c r="AD216" s="1093"/>
      <c r="AE216" s="1093"/>
      <c r="AF216" s="1093"/>
      <c r="AG216" s="1093"/>
      <c r="AH216" s="1093"/>
      <c r="AI216" s="1093"/>
      <c r="AJ216" s="1093"/>
    </row>
    <row r="217" spans="1:36" x14ac:dyDescent="0.25">
      <c r="A217" s="1093"/>
      <c r="B217" s="1098">
        <f t="shared" ca="1" si="94"/>
        <v>5.3202541826946366</v>
      </c>
      <c r="C217" s="1451">
        <f t="shared" ca="1" si="89"/>
        <v>5.3483380687345994</v>
      </c>
      <c r="D217" s="1093">
        <f t="shared" ca="1" si="88"/>
        <v>111</v>
      </c>
      <c r="E217" s="1454">
        <f t="shared" ca="1" si="90"/>
        <v>5.3202541826946366</v>
      </c>
      <c r="F217" s="1454">
        <f t="shared" ca="1" si="91"/>
        <v>5.3483380687345994</v>
      </c>
      <c r="G217" s="1453">
        <f t="shared" ca="1" si="92"/>
        <v>5.3342961257146175</v>
      </c>
      <c r="H217" s="1093">
        <f t="shared" ca="1" si="93"/>
        <v>5.5500000000000001E-2</v>
      </c>
      <c r="I217" s="1093">
        <f t="shared" ca="1" si="95"/>
        <v>0.94199999999999984</v>
      </c>
      <c r="J217" s="1093"/>
      <c r="K217" s="1093"/>
      <c r="L217" s="1093"/>
      <c r="M217" s="1093"/>
      <c r="N217" s="1093"/>
      <c r="O217" s="1093"/>
      <c r="P217" s="1093"/>
      <c r="Q217" s="1093"/>
      <c r="R217" s="1093"/>
      <c r="S217" s="1093"/>
      <c r="T217" s="1093"/>
      <c r="U217" s="1093"/>
      <c r="V217" s="1093"/>
      <c r="W217" s="1093"/>
      <c r="X217" s="1093"/>
      <c r="Y217" s="1093"/>
      <c r="Z217" s="1093"/>
      <c r="AA217" s="1093"/>
      <c r="AB217" s="1093"/>
      <c r="AC217" s="1093"/>
      <c r="AD217" s="1093"/>
      <c r="AE217" s="1093"/>
      <c r="AF217" s="1093"/>
      <c r="AG217" s="1093"/>
      <c r="AH217" s="1093"/>
      <c r="AI217" s="1093"/>
      <c r="AJ217" s="1093"/>
    </row>
    <row r="218" spans="1:36" x14ac:dyDescent="0.25">
      <c r="A218" s="1093"/>
      <c r="B218" s="1098">
        <f t="shared" ca="1" si="94"/>
        <v>5.3483380687345994</v>
      </c>
      <c r="C218" s="1451">
        <f t="shared" ca="1" si="89"/>
        <v>5.3764219547745622</v>
      </c>
      <c r="D218" s="1093">
        <f t="shared" ca="1" si="88"/>
        <v>49</v>
      </c>
      <c r="E218" s="1454">
        <f t="shared" ca="1" si="90"/>
        <v>5.3483380687345994</v>
      </c>
      <c r="F218" s="1454">
        <f t="shared" ca="1" si="91"/>
        <v>5.3764219547745622</v>
      </c>
      <c r="G218" s="1453">
        <f t="shared" ca="1" si="92"/>
        <v>5.3623800117545812</v>
      </c>
      <c r="H218" s="1093">
        <f t="shared" ca="1" si="93"/>
        <v>2.4500000000000001E-2</v>
      </c>
      <c r="I218" s="1093">
        <f t="shared" ca="1" si="95"/>
        <v>0.9664999999999998</v>
      </c>
      <c r="J218" s="1093"/>
      <c r="K218" s="1093"/>
      <c r="L218" s="1093"/>
      <c r="M218" s="1093"/>
      <c r="N218" s="1093"/>
      <c r="O218" s="1093"/>
      <c r="P218" s="1093"/>
      <c r="Q218" s="1093"/>
      <c r="R218" s="1093"/>
      <c r="S218" s="1093"/>
      <c r="T218" s="1093"/>
      <c r="U218" s="1093"/>
      <c r="V218" s="1093"/>
      <c r="W218" s="1093"/>
      <c r="X218" s="1093"/>
      <c r="Y218" s="1093"/>
      <c r="Z218" s="1093"/>
      <c r="AA218" s="1093"/>
      <c r="AB218" s="1093"/>
      <c r="AC218" s="1093"/>
      <c r="AD218" s="1093"/>
      <c r="AE218" s="1093"/>
      <c r="AF218" s="1093"/>
      <c r="AG218" s="1093"/>
      <c r="AH218" s="1093"/>
      <c r="AI218" s="1093"/>
      <c r="AJ218" s="1093"/>
    </row>
    <row r="219" spans="1:36" x14ac:dyDescent="0.25">
      <c r="A219" s="1093"/>
      <c r="B219" s="1098">
        <f t="shared" ca="1" si="94"/>
        <v>5.3764219547745622</v>
      </c>
      <c r="C219" s="1451">
        <f t="shared" ca="1" si="89"/>
        <v>5.404505840814525</v>
      </c>
      <c r="D219" s="1093">
        <f t="shared" ca="1" si="88"/>
        <v>39</v>
      </c>
      <c r="E219" s="1454">
        <f t="shared" ca="1" si="90"/>
        <v>5.3764219547745622</v>
      </c>
      <c r="F219" s="1454">
        <f t="shared" ca="1" si="91"/>
        <v>5.404505840814525</v>
      </c>
      <c r="G219" s="1453">
        <f t="shared" ca="1" si="92"/>
        <v>5.3904638977945432</v>
      </c>
      <c r="H219" s="1093">
        <f t="shared" ca="1" si="93"/>
        <v>1.95E-2</v>
      </c>
      <c r="I219" s="1093">
        <f t="shared" ca="1" si="95"/>
        <v>0.98599999999999977</v>
      </c>
      <c r="J219" s="1093"/>
      <c r="K219" s="1093"/>
      <c r="L219" s="1093"/>
      <c r="M219" s="1093"/>
      <c r="N219" s="1093"/>
      <c r="O219" s="1093"/>
      <c r="P219" s="1093"/>
      <c r="Q219" s="1093"/>
      <c r="R219" s="1093"/>
      <c r="S219" s="1093"/>
      <c r="T219" s="1093"/>
      <c r="U219" s="1093"/>
      <c r="V219" s="1093"/>
      <c r="W219" s="1093"/>
      <c r="X219" s="1093"/>
      <c r="Y219" s="1093"/>
      <c r="Z219" s="1093"/>
      <c r="AA219" s="1093"/>
      <c r="AB219" s="1093"/>
      <c r="AC219" s="1093"/>
      <c r="AD219" s="1093"/>
      <c r="AE219" s="1093"/>
      <c r="AF219" s="1093"/>
      <c r="AG219" s="1093"/>
      <c r="AH219" s="1093"/>
      <c r="AI219" s="1093"/>
      <c r="AJ219" s="1093"/>
    </row>
    <row r="220" spans="1:36" x14ac:dyDescent="0.25">
      <c r="A220" s="1093"/>
      <c r="B220" s="1098">
        <f t="shared" ca="1" si="94"/>
        <v>5.404505840814525</v>
      </c>
      <c r="C220" s="1451">
        <f t="shared" ca="1" si="89"/>
        <v>5.4325897268544878</v>
      </c>
      <c r="D220" s="1093">
        <f t="shared" ca="1" si="88"/>
        <v>20</v>
      </c>
      <c r="E220" s="1454">
        <f t="shared" ca="1" si="90"/>
        <v>5.404505840814525</v>
      </c>
      <c r="F220" s="1454">
        <f t="shared" ca="1" si="91"/>
        <v>5.4325897268544878</v>
      </c>
      <c r="G220" s="1453">
        <f t="shared" ca="1" si="92"/>
        <v>5.4185477838345069</v>
      </c>
      <c r="H220" s="1093">
        <f t="shared" ca="1" si="93"/>
        <v>0.01</v>
      </c>
      <c r="I220" s="1093">
        <f t="shared" ca="1" si="95"/>
        <v>0.99599999999999977</v>
      </c>
      <c r="J220" s="1093"/>
      <c r="K220" s="1093"/>
      <c r="L220" s="1093"/>
      <c r="M220" s="1093"/>
      <c r="N220" s="1093"/>
      <c r="O220" s="1093"/>
      <c r="P220" s="1093"/>
      <c r="Q220" s="1093"/>
      <c r="R220" s="1093"/>
      <c r="S220" s="1093"/>
      <c r="T220" s="1093"/>
      <c r="U220" s="1093"/>
      <c r="V220" s="1093"/>
      <c r="W220" s="1093"/>
      <c r="X220" s="1093"/>
      <c r="Y220" s="1093"/>
      <c r="Z220" s="1093"/>
      <c r="AA220" s="1093"/>
      <c r="AB220" s="1093"/>
      <c r="AC220" s="1093"/>
      <c r="AD220" s="1093"/>
      <c r="AE220" s="1093"/>
      <c r="AF220" s="1093"/>
      <c r="AG220" s="1093"/>
      <c r="AH220" s="1093"/>
      <c r="AI220" s="1093"/>
      <c r="AJ220" s="1093"/>
    </row>
    <row r="221" spans="1:36" x14ac:dyDescent="0.25">
      <c r="A221" s="1093"/>
      <c r="B221" s="1098">
        <f t="shared" ca="1" si="94"/>
        <v>5.4325897268544878</v>
      </c>
      <c r="C221" s="1451">
        <f ca="1">+B221+($C$197/20)+0.000001</f>
        <v>5.4606746128944508</v>
      </c>
      <c r="D221" s="1093">
        <f t="shared" ca="1" si="88"/>
        <v>8</v>
      </c>
      <c r="E221" s="1454">
        <f t="shared" ca="1" si="90"/>
        <v>5.4325897268544878</v>
      </c>
      <c r="F221" s="1454">
        <f t="shared" ca="1" si="91"/>
        <v>5.4606746128944508</v>
      </c>
      <c r="G221" s="1453">
        <f t="shared" ca="1" si="92"/>
        <v>5.4466321698744693</v>
      </c>
      <c r="H221" s="1093">
        <f t="shared" ca="1" si="93"/>
        <v>4.0000000000000001E-3</v>
      </c>
      <c r="I221" s="1093">
        <f t="shared" ca="1" si="95"/>
        <v>0.99999999999999978</v>
      </c>
      <c r="J221" s="1093"/>
      <c r="K221" s="1093"/>
      <c r="L221" s="1093"/>
      <c r="M221" s="1093"/>
      <c r="N221" s="1093"/>
      <c r="O221" s="1093"/>
      <c r="P221" s="1093"/>
      <c r="Q221" s="1093"/>
      <c r="R221" s="1093"/>
      <c r="S221" s="1093"/>
      <c r="T221" s="1093"/>
      <c r="U221" s="1093"/>
      <c r="V221" s="1093"/>
      <c r="W221" s="1093"/>
      <c r="X221" s="1093"/>
      <c r="Y221" s="1093"/>
      <c r="Z221" s="1093"/>
      <c r="AA221" s="1093"/>
      <c r="AB221" s="1093"/>
      <c r="AC221" s="1093"/>
      <c r="AD221" s="1093"/>
      <c r="AE221" s="1093"/>
      <c r="AF221" s="1093"/>
      <c r="AG221" s="1093"/>
      <c r="AH221" s="1093"/>
      <c r="AI221" s="1093"/>
      <c r="AJ221" s="1093"/>
    </row>
    <row r="222" spans="1:36" x14ac:dyDescent="0.25">
      <c r="A222" s="1093"/>
      <c r="B222" s="1094"/>
      <c r="C222" s="1455"/>
      <c r="D222" s="1093"/>
      <c r="E222" s="1093"/>
      <c r="F222" s="1093">
        <f t="shared" ca="1" si="91"/>
        <v>0</v>
      </c>
      <c r="G222" s="1453">
        <f t="shared" ca="1" si="92"/>
        <v>0</v>
      </c>
      <c r="H222" s="1093"/>
      <c r="I222" s="1093"/>
      <c r="J222" s="1093"/>
      <c r="K222" s="1093"/>
      <c r="L222" s="1093"/>
      <c r="M222" s="1093"/>
      <c r="N222" s="1093"/>
      <c r="O222" s="1093"/>
      <c r="P222" s="1093"/>
      <c r="Q222" s="1093"/>
      <c r="R222" s="1093"/>
      <c r="S222" s="1093"/>
      <c r="T222" s="1093"/>
      <c r="U222" s="1093"/>
      <c r="V222" s="1093"/>
      <c r="W222" s="1093"/>
      <c r="X222" s="1093"/>
      <c r="Y222" s="1093"/>
      <c r="Z222" s="1093"/>
      <c r="AA222" s="1093"/>
      <c r="AB222" s="1093"/>
      <c r="AC222" s="1093"/>
      <c r="AD222" s="1093"/>
      <c r="AE222" s="1093"/>
      <c r="AF222" s="1093"/>
      <c r="AG222" s="1093"/>
      <c r="AH222" s="1093"/>
      <c r="AI222" s="1093"/>
      <c r="AJ222" s="1093"/>
    </row>
    <row r="223" spans="1:36" x14ac:dyDescent="0.25">
      <c r="A223" s="1093"/>
      <c r="B223" s="1094" t="s">
        <v>1308</v>
      </c>
      <c r="C223" s="1093"/>
      <c r="D223" s="1093">
        <f ca="1">+SUM(D202:D221)</f>
        <v>2000</v>
      </c>
      <c r="E223" s="1093"/>
      <c r="F223" s="1093"/>
      <c r="G223" s="1093"/>
      <c r="H223" s="1093"/>
      <c r="I223" s="1093"/>
      <c r="J223" s="1093"/>
      <c r="K223" s="1093"/>
      <c r="L223" s="1093"/>
      <c r="M223" s="1093"/>
      <c r="N223" s="1093"/>
      <c r="O223" s="1093"/>
      <c r="P223" s="1093"/>
      <c r="Q223" s="1093"/>
      <c r="R223" s="1093"/>
      <c r="S223" s="1093"/>
      <c r="T223" s="1093"/>
      <c r="U223" s="1093"/>
      <c r="V223" s="1093"/>
      <c r="W223" s="1093"/>
      <c r="X223" s="1093"/>
      <c r="Y223" s="1093"/>
      <c r="Z223" s="1093"/>
      <c r="AA223" s="1093"/>
      <c r="AB223" s="1093"/>
      <c r="AC223" s="1093"/>
      <c r="AD223" s="1093"/>
      <c r="AE223" s="1093"/>
      <c r="AF223" s="1093"/>
      <c r="AG223" s="1093"/>
      <c r="AH223" s="1093"/>
      <c r="AI223" s="1093"/>
      <c r="AJ223" s="1093"/>
    </row>
    <row r="224" spans="1:36" x14ac:dyDescent="0.25">
      <c r="A224" s="1093"/>
      <c r="B224" s="1093" t="str">
        <f t="array" ref="B224:B238">+TRANSPOSE(Sensitivity_output)</f>
        <v>Cost of hydrogen ($/kg)</v>
      </c>
      <c r="C224" s="1093"/>
      <c r="D224" s="1093"/>
      <c r="E224" s="1093"/>
      <c r="F224" s="1093"/>
      <c r="G224" s="1093"/>
      <c r="H224" s="1093"/>
      <c r="I224" s="1093"/>
      <c r="J224" s="1093"/>
      <c r="K224" s="1093"/>
      <c r="L224" s="1093"/>
      <c r="M224" s="1093"/>
      <c r="N224" s="1093"/>
      <c r="O224" s="1093"/>
      <c r="P224" s="1093"/>
      <c r="Q224" s="1093"/>
      <c r="R224" s="1093"/>
      <c r="S224" s="1093"/>
      <c r="T224" s="1093"/>
      <c r="U224" s="1093"/>
      <c r="V224" s="1093"/>
      <c r="W224" s="1093"/>
      <c r="X224" s="1093"/>
      <c r="Y224" s="1093"/>
      <c r="Z224" s="1093"/>
      <c r="AA224" s="1093"/>
      <c r="AB224" s="1093"/>
      <c r="AC224" s="1093"/>
      <c r="AD224" s="1093"/>
      <c r="AE224" s="1093"/>
      <c r="AF224" s="1093"/>
      <c r="AG224" s="1093"/>
      <c r="AH224" s="1093"/>
      <c r="AI224" s="1093"/>
      <c r="AJ224" s="1093"/>
    </row>
    <row r="225" spans="1:36" x14ac:dyDescent="0.25">
      <c r="A225" s="1093"/>
      <c r="B225" s="1093" t="str">
        <v>Revenue from byproduct sales ($/kg)</v>
      </c>
      <c r="C225" s="1093"/>
      <c r="D225" s="1093"/>
      <c r="E225" s="1093"/>
      <c r="F225" s="1093"/>
      <c r="G225" s="1093"/>
      <c r="H225" s="1093"/>
      <c r="I225" s="1093"/>
      <c r="J225" s="1093"/>
      <c r="K225" s="1093"/>
      <c r="L225" s="1093"/>
      <c r="M225" s="1093"/>
      <c r="N225" s="1093"/>
      <c r="O225" s="1093"/>
      <c r="P225" s="1093"/>
      <c r="Q225" s="1093"/>
      <c r="R225" s="1093"/>
      <c r="S225" s="1093"/>
      <c r="T225" s="1093"/>
      <c r="U225" s="1093"/>
      <c r="V225" s="1093"/>
      <c r="W225" s="1093"/>
      <c r="X225" s="1093"/>
      <c r="Y225" s="1093"/>
      <c r="Z225" s="1093"/>
      <c r="AA225" s="1093"/>
      <c r="AB225" s="1093"/>
      <c r="AC225" s="1093"/>
      <c r="AD225" s="1093"/>
      <c r="AE225" s="1093"/>
      <c r="AF225" s="1093"/>
      <c r="AG225" s="1093"/>
      <c r="AH225" s="1093"/>
      <c r="AI225" s="1093"/>
      <c r="AJ225" s="1093"/>
    </row>
    <row r="226" spans="1:36" x14ac:dyDescent="0.25">
      <c r="A226" s="1093"/>
      <c r="B226" s="1093" t="str">
        <v>Salvage value ($/kg)</v>
      </c>
      <c r="C226" s="1093"/>
      <c r="D226" s="1093"/>
      <c r="E226" s="1093"/>
      <c r="F226" s="1093"/>
      <c r="G226" s="1093"/>
      <c r="H226" s="1093"/>
      <c r="I226" s="1093"/>
      <c r="J226" s="1093"/>
      <c r="K226" s="1093"/>
      <c r="L226" s="1093"/>
      <c r="M226" s="1093"/>
      <c r="N226" s="1093"/>
      <c r="O226" s="1093"/>
      <c r="P226" s="1093"/>
      <c r="Q226" s="1093"/>
      <c r="R226" s="1093"/>
      <c r="S226" s="1093"/>
      <c r="T226" s="1093"/>
      <c r="U226" s="1093"/>
      <c r="V226" s="1093"/>
      <c r="W226" s="1093"/>
      <c r="X226" s="1093"/>
      <c r="Y226" s="1093"/>
      <c r="Z226" s="1093"/>
      <c r="AA226" s="1093"/>
      <c r="AB226" s="1093"/>
      <c r="AC226" s="1093"/>
      <c r="AD226" s="1093"/>
      <c r="AE226" s="1093"/>
      <c r="AF226" s="1093"/>
      <c r="AG226" s="1093"/>
      <c r="AH226" s="1093"/>
      <c r="AI226" s="1093"/>
      <c r="AJ226" s="1093"/>
    </row>
    <row r="227" spans="1:36" x14ac:dyDescent="0.25">
      <c r="A227" s="1093"/>
      <c r="B227" s="1093" t="str">
        <v>Initial equity depreciable capital ($/kg)</v>
      </c>
      <c r="C227" s="1093"/>
      <c r="D227" s="1093"/>
      <c r="E227" s="1093"/>
      <c r="F227" s="1093"/>
      <c r="G227" s="1093"/>
      <c r="H227" s="1093"/>
      <c r="I227" s="1093"/>
      <c r="J227" s="1093"/>
      <c r="K227" s="1093"/>
      <c r="L227" s="1093"/>
      <c r="M227" s="1093"/>
      <c r="N227" s="1093"/>
      <c r="O227" s="1093"/>
      <c r="P227" s="1093"/>
      <c r="Q227" s="1093"/>
      <c r="R227" s="1093"/>
      <c r="S227" s="1093"/>
      <c r="T227" s="1093"/>
      <c r="U227" s="1093"/>
      <c r="V227" s="1093"/>
      <c r="W227" s="1093"/>
      <c r="X227" s="1093"/>
      <c r="Y227" s="1093"/>
      <c r="Z227" s="1093"/>
      <c r="AA227" s="1093"/>
      <c r="AB227" s="1093"/>
      <c r="AC227" s="1093"/>
      <c r="AD227" s="1093"/>
      <c r="AE227" s="1093"/>
      <c r="AF227" s="1093"/>
      <c r="AG227" s="1093"/>
      <c r="AH227" s="1093"/>
      <c r="AI227" s="1093"/>
      <c r="AJ227" s="1093"/>
    </row>
    <row r="228" spans="1:36" x14ac:dyDescent="0.25">
      <c r="A228" s="1093"/>
      <c r="B228" s="1093" t="str">
        <v>Yearly replacement costs ($/kg)</v>
      </c>
      <c r="C228" s="1093"/>
      <c r="D228" s="1093"/>
      <c r="E228" s="1093"/>
      <c r="F228" s="1093"/>
      <c r="G228" s="1093"/>
      <c r="H228" s="1093"/>
      <c r="I228" s="1093"/>
      <c r="J228" s="1093"/>
      <c r="K228" s="1093"/>
      <c r="L228" s="1093"/>
      <c r="M228" s="1093"/>
      <c r="N228" s="1093"/>
      <c r="O228" s="1093"/>
      <c r="P228" s="1093"/>
      <c r="Q228" s="1093"/>
      <c r="R228" s="1093"/>
      <c r="S228" s="1093"/>
      <c r="T228" s="1093"/>
      <c r="U228" s="1093"/>
      <c r="V228" s="1093"/>
      <c r="W228" s="1093"/>
      <c r="X228" s="1093"/>
      <c r="Y228" s="1093"/>
      <c r="Z228" s="1093"/>
      <c r="AA228" s="1093"/>
      <c r="AB228" s="1093"/>
      <c r="AC228" s="1093"/>
      <c r="AD228" s="1093"/>
      <c r="AE228" s="1093"/>
      <c r="AF228" s="1093"/>
      <c r="AG228" s="1093"/>
      <c r="AH228" s="1093"/>
      <c r="AI228" s="1093"/>
      <c r="AJ228" s="1093"/>
    </row>
    <row r="229" spans="1:36" x14ac:dyDescent="0.25">
      <c r="A229" s="1093"/>
      <c r="B229" s="1093" t="str">
        <v>Cash from working capital reserve ($/kg)</v>
      </c>
      <c r="C229" s="1093"/>
      <c r="D229" s="1093"/>
      <c r="E229" s="1093"/>
      <c r="F229" s="1093"/>
      <c r="G229" s="1093"/>
      <c r="H229" s="1093"/>
      <c r="I229" s="1093"/>
      <c r="J229" s="1093"/>
      <c r="K229" s="1093"/>
      <c r="L229" s="1093"/>
      <c r="M229" s="1093"/>
      <c r="N229" s="1093"/>
      <c r="O229" s="1093"/>
      <c r="P229" s="1093"/>
      <c r="Q229" s="1093"/>
      <c r="R229" s="1093"/>
      <c r="S229" s="1093"/>
      <c r="T229" s="1093"/>
      <c r="U229" s="1093"/>
      <c r="V229" s="1093"/>
      <c r="W229" s="1093"/>
      <c r="X229" s="1093"/>
      <c r="Y229" s="1093"/>
      <c r="Z229" s="1093"/>
      <c r="AA229" s="1093"/>
      <c r="AB229" s="1093"/>
      <c r="AC229" s="1093"/>
      <c r="AD229" s="1093"/>
      <c r="AE229" s="1093"/>
      <c r="AF229" s="1093"/>
      <c r="AG229" s="1093"/>
      <c r="AH229" s="1093"/>
      <c r="AI229" s="1093"/>
      <c r="AJ229" s="1093"/>
    </row>
    <row r="230" spans="1:36" x14ac:dyDescent="0.25">
      <c r="A230" s="1093"/>
      <c r="B230" s="1093" t="str">
        <v>Other non-depreciable capital costs ($/kg)</v>
      </c>
      <c r="C230" s="1093"/>
      <c r="D230" s="1093"/>
      <c r="E230" s="1093"/>
      <c r="F230" s="1093"/>
      <c r="G230" s="1093"/>
      <c r="H230" s="1093"/>
      <c r="I230" s="1093"/>
      <c r="J230" s="1093"/>
      <c r="K230" s="1093"/>
      <c r="L230" s="1093"/>
      <c r="M230" s="1093"/>
      <c r="N230" s="1093"/>
      <c r="O230" s="1093"/>
      <c r="P230" s="1093"/>
      <c r="Q230" s="1093"/>
      <c r="R230" s="1093"/>
      <c r="S230" s="1093"/>
      <c r="T230" s="1093"/>
      <c r="U230" s="1093"/>
      <c r="V230" s="1093"/>
      <c r="W230" s="1093"/>
      <c r="X230" s="1093"/>
      <c r="Y230" s="1093"/>
      <c r="Z230" s="1093"/>
      <c r="AA230" s="1093"/>
      <c r="AB230" s="1093"/>
      <c r="AC230" s="1093"/>
      <c r="AD230" s="1093"/>
      <c r="AE230" s="1093"/>
      <c r="AF230" s="1093"/>
      <c r="AG230" s="1093"/>
      <c r="AH230" s="1093"/>
      <c r="AI230" s="1093"/>
      <c r="AJ230" s="1093"/>
    </row>
    <row r="231" spans="1:36" x14ac:dyDescent="0.25">
      <c r="A231" s="1093"/>
      <c r="B231" s="1093" t="str">
        <v>Decommissioning costs ($/kg)</v>
      </c>
      <c r="C231" s="1093"/>
      <c r="D231" s="1093"/>
      <c r="E231" s="1093"/>
      <c r="F231" s="1093"/>
      <c r="G231" s="1093"/>
      <c r="H231" s="1093"/>
      <c r="I231" s="1093"/>
      <c r="J231" s="1093"/>
      <c r="K231" s="1093"/>
      <c r="L231" s="1093"/>
      <c r="M231" s="1093"/>
      <c r="N231" s="1093"/>
      <c r="O231" s="1093"/>
      <c r="P231" s="1093"/>
      <c r="Q231" s="1093"/>
      <c r="R231" s="1093"/>
      <c r="S231" s="1093"/>
      <c r="T231" s="1093"/>
      <c r="U231" s="1093"/>
      <c r="V231" s="1093"/>
      <c r="W231" s="1093"/>
      <c r="X231" s="1093"/>
      <c r="Y231" s="1093"/>
      <c r="Z231" s="1093"/>
      <c r="AA231" s="1093"/>
      <c r="AB231" s="1093"/>
      <c r="AC231" s="1093"/>
      <c r="AD231" s="1093"/>
      <c r="AE231" s="1093"/>
      <c r="AF231" s="1093"/>
      <c r="AG231" s="1093"/>
      <c r="AH231" s="1093"/>
      <c r="AI231" s="1093"/>
      <c r="AJ231" s="1093"/>
    </row>
    <row r="232" spans="1:36" x14ac:dyDescent="0.25">
      <c r="A232" s="1093"/>
      <c r="B232" s="1093" t="str">
        <v>Fixed operating cost ($/kg)</v>
      </c>
      <c r="C232" s="1093"/>
      <c r="D232" s="1093"/>
      <c r="E232" s="1093"/>
      <c r="F232" s="1093"/>
      <c r="G232" s="1093"/>
      <c r="H232" s="1093"/>
      <c r="I232" s="1093"/>
      <c r="J232" s="1093"/>
      <c r="K232" s="1093"/>
      <c r="L232" s="1093"/>
      <c r="M232" s="1093"/>
      <c r="N232" s="1093"/>
      <c r="O232" s="1093"/>
      <c r="P232" s="1093"/>
      <c r="Q232" s="1093"/>
      <c r="R232" s="1093"/>
      <c r="S232" s="1093"/>
      <c r="T232" s="1093"/>
      <c r="U232" s="1093"/>
      <c r="V232" s="1093"/>
      <c r="W232" s="1093"/>
      <c r="X232" s="1093"/>
      <c r="Y232" s="1093"/>
      <c r="Z232" s="1093"/>
      <c r="AA232" s="1093"/>
      <c r="AB232" s="1093"/>
      <c r="AC232" s="1093"/>
      <c r="AD232" s="1093"/>
      <c r="AE232" s="1093"/>
      <c r="AF232" s="1093"/>
      <c r="AG232" s="1093"/>
      <c r="AH232" s="1093"/>
      <c r="AI232" s="1093"/>
      <c r="AJ232" s="1093"/>
    </row>
    <row r="233" spans="1:36" x14ac:dyDescent="0.25">
      <c r="A233" s="1093"/>
      <c r="B233" s="1093" t="str">
        <v>Feedstock cost ($/kg)</v>
      </c>
      <c r="C233" s="1093"/>
      <c r="D233" s="1093"/>
      <c r="E233" s="1093"/>
      <c r="F233" s="1093"/>
      <c r="G233" s="1093"/>
      <c r="H233" s="1093"/>
      <c r="I233" s="1093"/>
      <c r="J233" s="1093"/>
      <c r="K233" s="1093"/>
      <c r="L233" s="1093"/>
      <c r="M233" s="1093"/>
      <c r="N233" s="1093"/>
      <c r="O233" s="1093"/>
      <c r="P233" s="1093"/>
      <c r="Q233" s="1093"/>
      <c r="R233" s="1093"/>
      <c r="S233" s="1093"/>
      <c r="T233" s="1093"/>
      <c r="U233" s="1093"/>
      <c r="V233" s="1093"/>
      <c r="W233" s="1093"/>
      <c r="X233" s="1093"/>
      <c r="Y233" s="1093"/>
      <c r="Z233" s="1093"/>
      <c r="AA233" s="1093"/>
      <c r="AB233" s="1093"/>
      <c r="AC233" s="1093"/>
      <c r="AD233" s="1093"/>
      <c r="AE233" s="1093"/>
      <c r="AF233" s="1093"/>
      <c r="AG233" s="1093"/>
      <c r="AH233" s="1093"/>
      <c r="AI233" s="1093"/>
      <c r="AJ233" s="1093"/>
    </row>
    <row r="234" spans="1:36" x14ac:dyDescent="0.25">
      <c r="A234" s="1093"/>
      <c r="B234" s="1093" t="str">
        <v>Other raw material cost ($/kg)</v>
      </c>
      <c r="C234" s="1093"/>
      <c r="D234" s="1093"/>
      <c r="E234" s="1093"/>
      <c r="F234" s="1093"/>
      <c r="G234" s="1093"/>
      <c r="H234" s="1093"/>
      <c r="I234" s="1093"/>
      <c r="J234" s="1093"/>
      <c r="K234" s="1093"/>
      <c r="L234" s="1093"/>
      <c r="M234" s="1093"/>
      <c r="N234" s="1093"/>
      <c r="O234" s="1093"/>
      <c r="P234" s="1093"/>
      <c r="Q234" s="1093"/>
      <c r="R234" s="1093"/>
      <c r="S234" s="1093"/>
      <c r="T234" s="1093"/>
      <c r="U234" s="1093"/>
      <c r="V234" s="1093"/>
      <c r="W234" s="1093"/>
      <c r="X234" s="1093"/>
      <c r="Y234" s="1093"/>
      <c r="Z234" s="1093"/>
      <c r="AA234" s="1093"/>
      <c r="AB234" s="1093"/>
      <c r="AC234" s="1093"/>
      <c r="AD234" s="1093"/>
      <c r="AE234" s="1093"/>
      <c r="AF234" s="1093"/>
      <c r="AG234" s="1093"/>
      <c r="AH234" s="1093"/>
      <c r="AI234" s="1093"/>
      <c r="AJ234" s="1093"/>
    </row>
    <row r="235" spans="1:36" x14ac:dyDescent="0.25">
      <c r="A235" s="1093"/>
      <c r="B235" s="1093" t="str">
        <v>Other variable operating costs ($/kg)</v>
      </c>
      <c r="C235" s="1093"/>
      <c r="D235" s="1093"/>
      <c r="E235" s="1093"/>
      <c r="F235" s="1093"/>
      <c r="G235" s="1093"/>
      <c r="H235" s="1093"/>
      <c r="I235" s="1093"/>
      <c r="J235" s="1093"/>
      <c r="K235" s="1093"/>
      <c r="L235" s="1093"/>
      <c r="M235" s="1093"/>
      <c r="N235" s="1093"/>
      <c r="O235" s="1093"/>
      <c r="P235" s="1093"/>
      <c r="Q235" s="1093"/>
      <c r="R235" s="1093"/>
      <c r="S235" s="1093"/>
      <c r="T235" s="1093"/>
      <c r="U235" s="1093"/>
      <c r="V235" s="1093"/>
      <c r="W235" s="1093"/>
      <c r="X235" s="1093"/>
      <c r="Y235" s="1093"/>
      <c r="Z235" s="1093"/>
      <c r="AA235" s="1093"/>
      <c r="AB235" s="1093"/>
      <c r="AC235" s="1093"/>
      <c r="AD235" s="1093"/>
      <c r="AE235" s="1093"/>
      <c r="AF235" s="1093"/>
      <c r="AG235" s="1093"/>
      <c r="AH235" s="1093"/>
      <c r="AI235" s="1093"/>
      <c r="AJ235" s="1093"/>
    </row>
    <row r="236" spans="1:36" x14ac:dyDescent="0.25">
      <c r="A236" s="1093"/>
      <c r="B236" s="1093" t="str">
        <v>Debt interest ($/kg)</v>
      </c>
      <c r="C236" s="1093"/>
      <c r="D236" s="1093"/>
      <c r="E236" s="1093"/>
      <c r="F236" s="1093"/>
      <c r="G236" s="1093"/>
      <c r="H236" s="1093"/>
      <c r="I236" s="1093"/>
      <c r="J236" s="1093"/>
      <c r="K236" s="1093"/>
      <c r="L236" s="1093"/>
      <c r="M236" s="1093"/>
      <c r="N236" s="1093"/>
      <c r="O236" s="1093"/>
      <c r="P236" s="1093"/>
      <c r="Q236" s="1093"/>
      <c r="R236" s="1093"/>
      <c r="S236" s="1093"/>
      <c r="T236" s="1093"/>
      <c r="U236" s="1093"/>
      <c r="V236" s="1093"/>
      <c r="W236" s="1093"/>
      <c r="X236" s="1093"/>
      <c r="Y236" s="1093"/>
      <c r="Z236" s="1093"/>
      <c r="AA236" s="1093"/>
      <c r="AB236" s="1093"/>
      <c r="AC236" s="1093"/>
      <c r="AD236" s="1093"/>
      <c r="AE236" s="1093"/>
      <c r="AF236" s="1093"/>
      <c r="AG236" s="1093"/>
      <c r="AH236" s="1093"/>
      <c r="AI236" s="1093"/>
      <c r="AJ236" s="1093"/>
    </row>
    <row r="237" spans="1:36" x14ac:dyDescent="0.25">
      <c r="A237" s="1093"/>
      <c r="B237" s="1093" t="str">
        <v>Taxes ($/kg)</v>
      </c>
      <c r="C237" s="1093"/>
      <c r="D237" s="1093"/>
      <c r="E237" s="1093"/>
      <c r="F237" s="1093"/>
      <c r="G237" s="1093"/>
      <c r="H237" s="1093"/>
      <c r="I237" s="1093"/>
      <c r="J237" s="1093"/>
      <c r="K237" s="1093"/>
      <c r="L237" s="1093"/>
      <c r="M237" s="1093"/>
      <c r="N237" s="1093"/>
      <c r="O237" s="1093"/>
      <c r="P237" s="1093"/>
      <c r="Q237" s="1093"/>
      <c r="R237" s="1093"/>
      <c r="S237" s="1093"/>
      <c r="T237" s="1093"/>
      <c r="U237" s="1093"/>
      <c r="V237" s="1093"/>
      <c r="W237" s="1093"/>
      <c r="X237" s="1093"/>
      <c r="Y237" s="1093"/>
      <c r="Z237" s="1093"/>
      <c r="AA237" s="1093"/>
      <c r="AB237" s="1093"/>
      <c r="AC237" s="1093"/>
      <c r="AD237" s="1093"/>
      <c r="AE237" s="1093"/>
      <c r="AF237" s="1093"/>
      <c r="AG237" s="1093"/>
      <c r="AH237" s="1093"/>
      <c r="AI237" s="1093"/>
      <c r="AJ237" s="1093"/>
    </row>
    <row r="238" spans="1:36" x14ac:dyDescent="0.25">
      <c r="A238" s="1093"/>
      <c r="B238" s="1093" t="str">
        <v>Principal payment ($/kg)</v>
      </c>
      <c r="C238" s="1093"/>
      <c r="D238" s="1093"/>
      <c r="E238" s="1093"/>
      <c r="F238" s="1093"/>
      <c r="G238" s="1093"/>
      <c r="H238" s="1093"/>
      <c r="I238" s="1093"/>
      <c r="J238" s="1093"/>
      <c r="K238" s="1093"/>
      <c r="L238" s="1093"/>
      <c r="M238" s="1093"/>
      <c r="N238" s="1093"/>
      <c r="O238" s="1093"/>
      <c r="P238" s="1093"/>
      <c r="Q238" s="1093"/>
      <c r="R238" s="1093"/>
      <c r="S238" s="1093"/>
      <c r="T238" s="1093"/>
      <c r="U238" s="1093"/>
      <c r="V238" s="1093"/>
      <c r="W238" s="1093"/>
      <c r="X238" s="1093"/>
      <c r="Y238" s="1093"/>
      <c r="Z238" s="1093"/>
      <c r="AA238" s="1093"/>
      <c r="AB238" s="1093"/>
      <c r="AC238" s="1093"/>
      <c r="AD238" s="1093"/>
      <c r="AE238" s="1093"/>
      <c r="AF238" s="1093"/>
      <c r="AG238" s="1093"/>
      <c r="AH238" s="1093"/>
      <c r="AI238" s="1093"/>
      <c r="AJ238" s="1093"/>
    </row>
    <row r="239" spans="1:36" x14ac:dyDescent="0.25">
      <c r="A239" s="1093"/>
      <c r="B239" s="1093" t="str">
        <f t="array" ref="B239:B245">+TRANSPOSE(C50:I50)</f>
        <v>Operating capacity factor</v>
      </c>
      <c r="C239" s="1093"/>
      <c r="D239" s="1093"/>
      <c r="E239" s="1093"/>
      <c r="F239" s="1093"/>
      <c r="G239" s="1093"/>
      <c r="H239" s="1093"/>
      <c r="I239" s="1093"/>
      <c r="J239" s="1093"/>
      <c r="K239" s="1093"/>
      <c r="L239" s="1093"/>
      <c r="M239" s="1093"/>
      <c r="N239" s="1093"/>
      <c r="O239" s="1093"/>
      <c r="P239" s="1093"/>
      <c r="Q239" s="1093"/>
      <c r="R239" s="1093"/>
      <c r="S239" s="1093"/>
      <c r="T239" s="1093"/>
      <c r="U239" s="1093"/>
      <c r="V239" s="1093"/>
      <c r="W239" s="1093"/>
      <c r="X239" s="1093"/>
      <c r="Y239" s="1093"/>
      <c r="Z239" s="1093"/>
      <c r="AA239" s="1093"/>
      <c r="AB239" s="1093"/>
      <c r="AC239" s="1093"/>
      <c r="AD239" s="1093"/>
      <c r="AE239" s="1093"/>
      <c r="AF239" s="1093"/>
      <c r="AG239" s="1093"/>
      <c r="AH239" s="1093"/>
      <c r="AI239" s="1093"/>
      <c r="AJ239" s="1093"/>
    </row>
    <row r="240" spans="1:36" x14ac:dyDescent="0.25">
      <c r="A240" s="1093"/>
      <c r="B240" s="1093" t="str">
        <v>Plant design capacity (kg of H2/day)</v>
      </c>
      <c r="C240" s="1093"/>
      <c r="D240" s="1093"/>
      <c r="E240" s="1093"/>
      <c r="F240" s="1093"/>
      <c r="G240" s="1093"/>
      <c r="H240" s="1093"/>
      <c r="I240" s="1093"/>
      <c r="J240" s="1093"/>
      <c r="K240" s="1093"/>
      <c r="L240" s="1093"/>
      <c r="M240" s="1093"/>
      <c r="N240" s="1093"/>
      <c r="O240" s="1093"/>
      <c r="P240" s="1093"/>
      <c r="Q240" s="1093"/>
      <c r="R240" s="1093"/>
      <c r="S240" s="1093"/>
      <c r="T240" s="1093"/>
      <c r="U240" s="1093"/>
      <c r="V240" s="1093"/>
      <c r="W240" s="1093"/>
      <c r="X240" s="1093"/>
      <c r="Y240" s="1093"/>
      <c r="Z240" s="1093"/>
      <c r="AA240" s="1093"/>
      <c r="AB240" s="1093"/>
      <c r="AC240" s="1093"/>
      <c r="AD240" s="1093"/>
      <c r="AE240" s="1093"/>
      <c r="AF240" s="1093"/>
      <c r="AG240" s="1093"/>
      <c r="AH240" s="1093"/>
      <c r="AI240" s="1093"/>
      <c r="AJ240" s="1093"/>
    </row>
    <row r="241" spans="1:36" x14ac:dyDescent="0.25">
      <c r="A241" s="1093"/>
      <c r="B241" s="1093" t="str">
        <v>After-tax real IRR (%)</v>
      </c>
      <c r="C241" s="1093"/>
      <c r="D241" s="1093"/>
      <c r="E241" s="1093"/>
      <c r="F241" s="1093"/>
      <c r="G241" s="1093"/>
      <c r="H241" s="1093"/>
      <c r="I241" s="1093"/>
      <c r="J241" s="1093"/>
      <c r="K241" s="1093"/>
      <c r="L241" s="1093"/>
      <c r="M241" s="1093"/>
      <c r="N241" s="1093"/>
      <c r="O241" s="1093"/>
      <c r="P241" s="1093"/>
      <c r="Q241" s="1093"/>
      <c r="R241" s="1093"/>
      <c r="S241" s="1093"/>
      <c r="T241" s="1093"/>
      <c r="U241" s="1093"/>
      <c r="V241" s="1093"/>
      <c r="W241" s="1093"/>
      <c r="X241" s="1093"/>
      <c r="Y241" s="1093"/>
      <c r="Z241" s="1093"/>
      <c r="AA241" s="1093"/>
      <c r="AB241" s="1093"/>
      <c r="AC241" s="1093"/>
      <c r="AD241" s="1093"/>
      <c r="AE241" s="1093"/>
      <c r="AF241" s="1093"/>
      <c r="AG241" s="1093"/>
      <c r="AH241" s="1093"/>
      <c r="AI241" s="1093"/>
      <c r="AJ241" s="1093"/>
    </row>
    <row r="242" spans="1:36" x14ac:dyDescent="0.25">
      <c r="A242" s="1093"/>
      <c r="B242" s="1093" t="str">
        <v>Feedstock consumption (% of most likely value)</v>
      </c>
      <c r="C242" s="1093"/>
      <c r="D242" s="1093"/>
      <c r="E242" s="1093"/>
      <c r="F242" s="1093"/>
      <c r="G242" s="1093"/>
      <c r="H242" s="1093"/>
      <c r="I242" s="1093"/>
      <c r="J242" s="1093"/>
      <c r="K242" s="1093"/>
      <c r="L242" s="1093"/>
      <c r="M242" s="1093"/>
      <c r="N242" s="1093"/>
      <c r="O242" s="1093"/>
      <c r="P242" s="1093"/>
      <c r="Q242" s="1093"/>
      <c r="R242" s="1093"/>
      <c r="S242" s="1093"/>
      <c r="T242" s="1093"/>
      <c r="U242" s="1093"/>
      <c r="V242" s="1093"/>
      <c r="W242" s="1093"/>
      <c r="X242" s="1093"/>
      <c r="Y242" s="1093"/>
      <c r="Z242" s="1093"/>
      <c r="AA242" s="1093"/>
      <c r="AB242" s="1093"/>
      <c r="AC242" s="1093"/>
      <c r="AD242" s="1093"/>
      <c r="AE242" s="1093"/>
      <c r="AF242" s="1093"/>
      <c r="AG242" s="1093"/>
      <c r="AH242" s="1093"/>
      <c r="AI242" s="1093"/>
      <c r="AJ242" s="1093"/>
    </row>
    <row r="243" spans="1:36" x14ac:dyDescent="0.25">
      <c r="A243" s="1093"/>
      <c r="B243" s="1093" t="str">
        <v>Utilities consumption (% of most likely value)</v>
      </c>
      <c r="C243" s="1093"/>
      <c r="D243" s="1093"/>
      <c r="E243" s="1093"/>
      <c r="F243" s="1093"/>
      <c r="G243" s="1093"/>
      <c r="H243" s="1093"/>
      <c r="I243" s="1093"/>
      <c r="J243" s="1093"/>
      <c r="K243" s="1093"/>
      <c r="L243" s="1093"/>
      <c r="M243" s="1093"/>
      <c r="N243" s="1093"/>
      <c r="O243" s="1093"/>
      <c r="P243" s="1093"/>
      <c r="Q243" s="1093"/>
      <c r="R243" s="1093"/>
      <c r="S243" s="1093"/>
      <c r="T243" s="1093"/>
      <c r="U243" s="1093"/>
      <c r="V243" s="1093"/>
      <c r="W243" s="1093"/>
      <c r="X243" s="1093"/>
      <c r="Y243" s="1093"/>
      <c r="Z243" s="1093"/>
      <c r="AA243" s="1093"/>
      <c r="AB243" s="1093"/>
      <c r="AC243" s="1093"/>
      <c r="AD243" s="1093"/>
      <c r="AE243" s="1093"/>
      <c r="AF243" s="1093"/>
      <c r="AG243" s="1093"/>
      <c r="AH243" s="1093"/>
      <c r="AI243" s="1093"/>
      <c r="AJ243" s="1093"/>
    </row>
    <row r="244" spans="1:36" x14ac:dyDescent="0.25">
      <c r="A244" s="1093"/>
      <c r="B244" s="1093" t="str">
        <v>Total capital investment ($)</v>
      </c>
      <c r="C244" s="1093"/>
      <c r="D244" s="1093"/>
      <c r="E244" s="1093"/>
      <c r="F244" s="1093"/>
      <c r="G244" s="1093"/>
      <c r="H244" s="1093"/>
      <c r="I244" s="1093"/>
      <c r="J244" s="1093"/>
      <c r="K244" s="1093"/>
      <c r="L244" s="1093"/>
      <c r="M244" s="1093"/>
      <c r="N244" s="1093"/>
      <c r="O244" s="1093"/>
      <c r="P244" s="1093"/>
      <c r="Q244" s="1093"/>
      <c r="R244" s="1093"/>
      <c r="S244" s="1093"/>
      <c r="T244" s="1093"/>
      <c r="U244" s="1093"/>
      <c r="V244" s="1093"/>
      <c r="W244" s="1093"/>
      <c r="X244" s="1093"/>
      <c r="Y244" s="1093"/>
      <c r="Z244" s="1093"/>
      <c r="AA244" s="1093"/>
      <c r="AB244" s="1093"/>
      <c r="AC244" s="1093"/>
      <c r="AD244" s="1093"/>
      <c r="AE244" s="1093"/>
      <c r="AF244" s="1093"/>
      <c r="AG244" s="1093"/>
      <c r="AH244" s="1093"/>
      <c r="AI244" s="1093"/>
      <c r="AJ244" s="1093"/>
    </row>
    <row r="245" spans="1:36" x14ac:dyDescent="0.25">
      <c r="A245" s="1093"/>
      <c r="B245" s="1093" t="str">
        <v>Total fixed operating cost ($/year)</v>
      </c>
      <c r="C245" s="1093"/>
      <c r="D245" s="1093"/>
      <c r="E245" s="1093"/>
      <c r="F245" s="1093"/>
      <c r="G245" s="1093"/>
      <c r="H245" s="1093"/>
      <c r="I245" s="1093"/>
      <c r="J245" s="1093"/>
      <c r="K245" s="1093"/>
      <c r="L245" s="1093"/>
      <c r="M245" s="1093"/>
      <c r="N245" s="1093"/>
      <c r="O245" s="1093"/>
      <c r="P245" s="1093"/>
      <c r="Q245" s="1093"/>
      <c r="R245" s="1093"/>
      <c r="S245" s="1093"/>
      <c r="T245" s="1093"/>
      <c r="U245" s="1093"/>
      <c r="V245" s="1093"/>
      <c r="W245" s="1093"/>
      <c r="X245" s="1093"/>
      <c r="Y245" s="1093"/>
      <c r="Z245" s="1093"/>
      <c r="AA245" s="1093"/>
      <c r="AB245" s="1093"/>
      <c r="AC245" s="1093"/>
      <c r="AD245" s="1093"/>
      <c r="AE245" s="1093"/>
      <c r="AF245" s="1093"/>
      <c r="AG245" s="1093"/>
      <c r="AH245" s="1093"/>
      <c r="AI245" s="1093"/>
      <c r="AJ245" s="1093"/>
    </row>
    <row r="246" spans="1:36" x14ac:dyDescent="0.25">
      <c r="A246" s="1093"/>
      <c r="B246" s="1093"/>
      <c r="C246" s="1093"/>
      <c r="D246" s="1093"/>
      <c r="E246" s="1093"/>
      <c r="F246" s="1093"/>
      <c r="G246" s="1093"/>
      <c r="H246" s="1093"/>
      <c r="I246" s="1093"/>
      <c r="J246" s="1093"/>
      <c r="K246" s="1093"/>
      <c r="L246" s="1093"/>
      <c r="M246" s="1093"/>
      <c r="N246" s="1093"/>
      <c r="O246" s="1093"/>
      <c r="P246" s="1093"/>
      <c r="Q246" s="1093"/>
      <c r="R246" s="1093"/>
      <c r="S246" s="1093"/>
      <c r="T246" s="1093"/>
      <c r="U246" s="1093"/>
      <c r="V246" s="1093"/>
      <c r="W246" s="1093"/>
      <c r="X246" s="1093"/>
      <c r="Y246" s="1093"/>
      <c r="Z246" s="1093"/>
      <c r="AA246" s="1093"/>
      <c r="AB246" s="1093"/>
      <c r="AC246" s="1093"/>
      <c r="AD246" s="1093"/>
      <c r="AE246" s="1093"/>
      <c r="AF246" s="1093"/>
      <c r="AG246" s="1093"/>
      <c r="AH246" s="1093"/>
      <c r="AI246" s="1093"/>
      <c r="AJ246" s="1093"/>
    </row>
    <row r="247" spans="1:36" x14ac:dyDescent="0.25">
      <c r="A247" s="1093"/>
      <c r="B247" s="1093"/>
      <c r="C247" s="1093"/>
      <c r="D247" s="1093"/>
      <c r="E247" s="1093"/>
      <c r="F247" s="1093"/>
      <c r="G247" s="1093"/>
      <c r="H247" s="1093"/>
      <c r="I247" s="1093"/>
      <c r="J247" s="1093"/>
      <c r="K247" s="1093"/>
      <c r="L247" s="1093"/>
      <c r="M247" s="1093"/>
      <c r="N247" s="1093"/>
      <c r="O247" s="1093"/>
      <c r="P247" s="1093"/>
      <c r="Q247" s="1093"/>
      <c r="R247" s="1093"/>
      <c r="S247" s="1093"/>
      <c r="T247" s="1093"/>
      <c r="U247" s="1093"/>
      <c r="V247" s="1093"/>
      <c r="W247" s="1093"/>
      <c r="X247" s="1093"/>
      <c r="Y247" s="1093"/>
      <c r="Z247" s="1093"/>
      <c r="AA247" s="1093"/>
      <c r="AB247" s="1093"/>
      <c r="AC247" s="1093"/>
      <c r="AD247" s="1093"/>
      <c r="AE247" s="1093"/>
      <c r="AF247" s="1093"/>
      <c r="AG247" s="1093"/>
      <c r="AH247" s="1093"/>
      <c r="AI247" s="1093"/>
      <c r="AJ247" s="1093"/>
    </row>
    <row r="248" spans="1:36" x14ac:dyDescent="0.25">
      <c r="A248" s="1093"/>
      <c r="B248" s="1094"/>
      <c r="C248">
        <f ca="1">+RAND()</f>
        <v>0.45511507235618387</v>
      </c>
      <c r="D248">
        <f t="shared" ref="D248:I248" ca="1" si="96">+RAND()</f>
        <v>0.3068061028100002</v>
      </c>
      <c r="E248">
        <f t="shared" ca="1" si="96"/>
        <v>5.7497941707616018E-3</v>
      </c>
      <c r="F248">
        <f t="shared" ca="1" si="96"/>
        <v>0.40061212523878564</v>
      </c>
      <c r="G248">
        <f t="shared" ca="1" si="96"/>
        <v>0.34289745485371614</v>
      </c>
      <c r="H248">
        <f t="shared" ca="1" si="96"/>
        <v>0.84376009623700943</v>
      </c>
      <c r="I248">
        <f t="shared" ca="1" si="96"/>
        <v>0.63765428152307468</v>
      </c>
      <c r="J248" s="1093"/>
      <c r="K248" s="1093"/>
      <c r="L248" s="1093"/>
      <c r="M248" s="1093"/>
      <c r="N248" s="1093"/>
      <c r="O248" s="1093"/>
      <c r="P248" s="1093"/>
      <c r="Q248" s="1093"/>
      <c r="R248" s="1093"/>
      <c r="S248" s="1093"/>
      <c r="T248" s="1093"/>
      <c r="U248" s="1093"/>
      <c r="V248" s="1093"/>
      <c r="W248" s="1093"/>
      <c r="X248" s="1093"/>
      <c r="Y248" s="1093"/>
      <c r="Z248" s="1093"/>
      <c r="AA248" s="1093"/>
      <c r="AB248" s="1093"/>
      <c r="AC248" s="1093"/>
      <c r="AD248" s="1093"/>
      <c r="AE248" s="1093"/>
      <c r="AF248" s="1093"/>
      <c r="AG248" s="1093"/>
      <c r="AH248" s="1093"/>
      <c r="AI248" s="1093"/>
      <c r="AJ248" s="1093"/>
    </row>
    <row r="249" spans="1:36" x14ac:dyDescent="0.25">
      <c r="A249" s="1093"/>
      <c r="B249" s="305"/>
      <c r="C249" s="1098">
        <f ca="1">IFERROR(IF(C$248&lt;=(C$190-C$189)/(C$191-C$189),C$189+SQRT(C$248*(C$191-C$189)*(C$190-C$189)),C$191-SQRT((1-C$248)*(C$191-C$189)*(C$191-C$190))),1)</f>
        <v>0.9977029911198545</v>
      </c>
      <c r="D249" s="1098">
        <f t="shared" ref="D249:I249" ca="1" si="97">IFERROR(IF(D$248&lt;=(D$190-D$189)/(D$191-D$189),D$189+SQRT(D$248*(D$191-D$189)*(D$190-D$189)),D$191-SQRT((1-D$248)*(D$191-D$189)*(D$191-D$190))),1)</f>
        <v>0.98916670159778586</v>
      </c>
      <c r="E249" s="1098">
        <f t="shared" ca="1" si="97"/>
        <v>0.95536180667814563</v>
      </c>
      <c r="F249" s="1098">
        <f t="shared" ca="1" si="97"/>
        <v>0.99475556530973475</v>
      </c>
      <c r="G249" s="1098">
        <f t="shared" ca="1" si="97"/>
        <v>0.99140636755703859</v>
      </c>
      <c r="H249" s="1098">
        <f t="shared" ca="1" si="97"/>
        <v>1.0220500533307315</v>
      </c>
      <c r="I249" s="1098">
        <f t="shared" ca="1" si="97"/>
        <v>1.0074355947723379</v>
      </c>
    </row>
    <row r="250" spans="1:36" x14ac:dyDescent="0.25">
      <c r="A250" s="1093"/>
      <c r="B250" s="305"/>
    </row>
    <row r="251" spans="1:36" x14ac:dyDescent="0.25">
      <c r="A251" s="1093"/>
      <c r="B251" s="1452">
        <v>1</v>
      </c>
      <c r="C251" s="1098">
        <v>0.97287851769895772</v>
      </c>
      <c r="D251" s="1098">
        <v>0.99394444760380241</v>
      </c>
      <c r="E251" s="1098">
        <v>0.99577889450528567</v>
      </c>
      <c r="F251" s="1098">
        <v>0.99986265312636902</v>
      </c>
      <c r="G251" s="1098">
        <v>1.0052800153173664</v>
      </c>
      <c r="H251" s="1098">
        <v>1.0142982586829534</v>
      </c>
      <c r="I251" s="1098">
        <v>1.0212767551476516</v>
      </c>
      <c r="K251">
        <v>5.2284276467086626</v>
      </c>
      <c r="L251">
        <v>0</v>
      </c>
      <c r="M251">
        <v>3.8125443903721228E-3</v>
      </c>
      <c r="N251">
        <v>0.32664904561996017</v>
      </c>
      <c r="O251">
        <v>0.15299884940460837</v>
      </c>
      <c r="P251">
        <v>2.0380481503702336E-2</v>
      </c>
      <c r="Q251">
        <v>1.3383291171781455E-3</v>
      </c>
      <c r="R251">
        <v>3.8063063918334478E-3</v>
      </c>
      <c r="S251">
        <v>0.48877450792061949</v>
      </c>
      <c r="T251">
        <v>3.9953124856010289</v>
      </c>
      <c r="U251">
        <v>0</v>
      </c>
      <c r="V251">
        <v>1.1304767209823811E-2</v>
      </c>
      <c r="W251">
        <v>0.19512785179905201</v>
      </c>
      <c r="X251">
        <v>2.5790654070157581E-2</v>
      </c>
      <c r="Y251">
        <v>1.0756912461067272E-2</v>
      </c>
    </row>
    <row r="252" spans="1:36" x14ac:dyDescent="0.25">
      <c r="A252" s="1093"/>
      <c r="B252" s="1452">
        <v>2</v>
      </c>
      <c r="C252" s="1098">
        <v>0.98398980413159043</v>
      </c>
      <c r="D252" s="1098">
        <v>0.96722511777423392</v>
      </c>
      <c r="E252" s="1098">
        <v>0.96273708079165543</v>
      </c>
      <c r="F252" s="1098">
        <v>1.00269434745116</v>
      </c>
      <c r="G252" s="1098">
        <v>1.0037656787804377</v>
      </c>
      <c r="H252" s="1098">
        <v>1.0323919720990202</v>
      </c>
      <c r="I252" s="1098">
        <v>0.97109680866057935</v>
      </c>
      <c r="K252">
        <v>5.2212513221066512</v>
      </c>
      <c r="L252">
        <v>0</v>
      </c>
      <c r="M252">
        <v>4.1691079274719534E-3</v>
      </c>
      <c r="N252">
        <v>0.32384743696202678</v>
      </c>
      <c r="O252">
        <v>0.15431139726584542</v>
      </c>
      <c r="P252">
        <v>1.9845397402938343E-2</v>
      </c>
      <c r="Q252">
        <v>1.2998775067808689E-3</v>
      </c>
      <c r="R252">
        <v>4.1624249749689091E-3</v>
      </c>
      <c r="S252">
        <v>0.46651889308134747</v>
      </c>
      <c r="T252">
        <v>4.0108276306898452</v>
      </c>
      <c r="U252">
        <v>0</v>
      </c>
      <c r="V252">
        <v>1.1304767209823808E-2</v>
      </c>
      <c r="W252">
        <v>0.19788603673125668</v>
      </c>
      <c r="X252">
        <v>2.3653237443913087E-2</v>
      </c>
      <c r="Y252">
        <v>1.1763330765375725E-2</v>
      </c>
    </row>
    <row r="253" spans="1:36" x14ac:dyDescent="0.25">
      <c r="A253" s="1093"/>
      <c r="B253" s="1452">
        <v>3</v>
      </c>
      <c r="C253" s="1098">
        <v>0.97915254466407053</v>
      </c>
      <c r="D253" s="1098">
        <v>1.0227313322250895</v>
      </c>
      <c r="E253" s="1098">
        <v>0.997611965500383</v>
      </c>
      <c r="F253" s="1098">
        <v>1.0391052932720217</v>
      </c>
      <c r="G253" s="1098">
        <v>0.99692054502841487</v>
      </c>
      <c r="H253" s="1098">
        <v>0.976806832073285</v>
      </c>
      <c r="I253" s="1098">
        <v>1.0272067541373309</v>
      </c>
      <c r="K253">
        <v>5.3868300851195121</v>
      </c>
      <c r="L253">
        <v>0</v>
      </c>
      <c r="M253">
        <v>3.7335564932154124E-3</v>
      </c>
      <c r="N253">
        <v>0.32162450517869895</v>
      </c>
      <c r="O253">
        <v>0.15613728571415589</v>
      </c>
      <c r="P253">
        <v>2.1143708444189807E-2</v>
      </c>
      <c r="Q253">
        <v>1.3167251072899507E-3</v>
      </c>
      <c r="R253">
        <v>3.7274524431333135E-3</v>
      </c>
      <c r="S253">
        <v>0.49416916154800006</v>
      </c>
      <c r="T253">
        <v>4.1518811137400125</v>
      </c>
      <c r="U253">
        <v>0</v>
      </c>
      <c r="V253">
        <v>1.1304767209823804E-2</v>
      </c>
      <c r="W253">
        <v>0.1918879635850021</v>
      </c>
      <c r="X253">
        <v>2.6836893460597748E-2</v>
      </c>
      <c r="Y253">
        <v>1.05340651818265E-2</v>
      </c>
    </row>
    <row r="254" spans="1:36" x14ac:dyDescent="0.25">
      <c r="A254" s="1093"/>
      <c r="B254" s="1452">
        <v>4</v>
      </c>
      <c r="C254" s="1098">
        <v>1.0419642405161593</v>
      </c>
      <c r="D254" s="1098">
        <v>0.95474381060131486</v>
      </c>
      <c r="E254" s="1098">
        <v>1.0301207053622778</v>
      </c>
      <c r="F254" s="1098">
        <v>1.030866526658279</v>
      </c>
      <c r="G254" s="1098">
        <v>0.98712925064940038</v>
      </c>
      <c r="H254" s="1098">
        <v>0.97712694688650936</v>
      </c>
      <c r="I254" s="1098">
        <v>0.9943089721862034</v>
      </c>
      <c r="K254">
        <v>5.2891428309361066</v>
      </c>
      <c r="L254">
        <v>0</v>
      </c>
      <c r="M254">
        <v>3.3416856967140984E-3</v>
      </c>
      <c r="N254">
        <v>0.31693912688049874</v>
      </c>
      <c r="O254">
        <v>0.14871037044366725</v>
      </c>
      <c r="P254">
        <v>2.1289905802277343E-2</v>
      </c>
      <c r="Q254">
        <v>1.3074845250736484E-3</v>
      </c>
      <c r="R254">
        <v>3.3361805330408894E-3</v>
      </c>
      <c r="S254">
        <v>0.45254137628478858</v>
      </c>
      <c r="T254">
        <v>4.1147820204902503</v>
      </c>
      <c r="U254">
        <v>0</v>
      </c>
      <c r="V254">
        <v>1.1304767209823806E-2</v>
      </c>
      <c r="W254">
        <v>0.18502105871900323</v>
      </c>
      <c r="X254">
        <v>2.7823924852692285E-2</v>
      </c>
      <c r="Y254">
        <v>9.4283008917081142E-3</v>
      </c>
    </row>
    <row r="255" spans="1:36" x14ac:dyDescent="0.25">
      <c r="A255" s="1093"/>
      <c r="B255" s="1452">
        <v>5</v>
      </c>
      <c r="C255" s="1098">
        <v>1.0072347448285919</v>
      </c>
      <c r="D255" s="1098">
        <v>1.0003908499389977</v>
      </c>
      <c r="E255" s="1098">
        <v>0.97777838013215979</v>
      </c>
      <c r="F255" s="1098">
        <v>1.0240374921492581</v>
      </c>
      <c r="G255" s="1098">
        <v>1.036047197963786</v>
      </c>
      <c r="H255" s="1098">
        <v>1.0088297478570365</v>
      </c>
      <c r="I255" s="1098">
        <v>0.95701081056608661</v>
      </c>
      <c r="K255">
        <v>5.2704771315302947</v>
      </c>
      <c r="L255">
        <v>0</v>
      </c>
      <c r="M255">
        <v>3.8856138207101691E-3</v>
      </c>
      <c r="N255">
        <v>0.31561190953093149</v>
      </c>
      <c r="O255">
        <v>0.15147147542169051</v>
      </c>
      <c r="P255">
        <v>2.037358303802865E-2</v>
      </c>
      <c r="Q255">
        <v>1.2694371761039296E-3</v>
      </c>
      <c r="R255">
        <v>3.8793724597581186E-3</v>
      </c>
      <c r="S255">
        <v>0.44979274663830693</v>
      </c>
      <c r="T255">
        <v>4.0942404902342071</v>
      </c>
      <c r="U255">
        <v>0</v>
      </c>
      <c r="V255">
        <v>1.130476720982383E-2</v>
      </c>
      <c r="W255">
        <v>0.19086339863564619</v>
      </c>
      <c r="X255">
        <v>2.4592162259150601E-2</v>
      </c>
      <c r="Y255">
        <v>1.0963402747352788E-2</v>
      </c>
    </row>
    <row r="256" spans="1:36" x14ac:dyDescent="0.25">
      <c r="A256" s="1093"/>
      <c r="B256" s="1452">
        <v>6</v>
      </c>
      <c r="C256" s="1098">
        <v>0.99304724004360856</v>
      </c>
      <c r="D256" s="1098">
        <v>1.0168849752342228</v>
      </c>
      <c r="E256" s="1098">
        <v>0.97619367532600421</v>
      </c>
      <c r="F256" s="1098">
        <v>1.0179657742173736</v>
      </c>
      <c r="G256" s="1098">
        <v>1.0290583967890192</v>
      </c>
      <c r="H256" s="1098">
        <v>1.0172066099986397</v>
      </c>
      <c r="I256" s="1098">
        <v>0.99412345505826638</v>
      </c>
      <c r="K256">
        <v>5.2731192872532731</v>
      </c>
      <c r="L256">
        <v>0</v>
      </c>
      <c r="M256">
        <v>3.937644555710434E-3</v>
      </c>
      <c r="N256">
        <v>0.31833853096856918</v>
      </c>
      <c r="O256">
        <v>0.1517737203540572</v>
      </c>
      <c r="P256">
        <v>2.0339108480820774E-2</v>
      </c>
      <c r="Q256">
        <v>1.2774167301560062E-3</v>
      </c>
      <c r="R256">
        <v>3.9313343522197246E-3</v>
      </c>
      <c r="S256">
        <v>0.47163727113466636</v>
      </c>
      <c r="T256">
        <v>4.070169663241356</v>
      </c>
      <c r="U256">
        <v>0</v>
      </c>
      <c r="V256">
        <v>1.1304767209823817E-2</v>
      </c>
      <c r="W256">
        <v>0.19272185872757808</v>
      </c>
      <c r="X256">
        <v>2.4453009587183595E-2</v>
      </c>
      <c r="Y256">
        <v>1.1110251022552102E-2</v>
      </c>
    </row>
    <row r="257" spans="1:25" x14ac:dyDescent="0.25">
      <c r="A257" s="1093"/>
      <c r="B257" s="1452">
        <v>7</v>
      </c>
      <c r="C257" s="1098">
        <v>1.0110072805358279</v>
      </c>
      <c r="D257" s="1098">
        <v>1.0343293338386053</v>
      </c>
      <c r="E257" s="1098">
        <v>0.98392588045702134</v>
      </c>
      <c r="F257" s="1098">
        <v>0.96862081151733992</v>
      </c>
      <c r="G257" s="1098">
        <v>1.0085742837164624</v>
      </c>
      <c r="H257" s="1098">
        <v>0.99613618553755945</v>
      </c>
      <c r="I257" s="1098">
        <v>0.99909219754330936</v>
      </c>
      <c r="K257">
        <v>4.9860913352943852</v>
      </c>
      <c r="L257">
        <v>0</v>
      </c>
      <c r="M257">
        <v>3.522198549392206E-3</v>
      </c>
      <c r="N257">
        <v>0.29132656632656478</v>
      </c>
      <c r="O257">
        <v>0.14068597056060811</v>
      </c>
      <c r="P257">
        <v>1.9431848282396361E-2</v>
      </c>
      <c r="Q257">
        <v>1.2546084407135032E-3</v>
      </c>
      <c r="R257">
        <v>3.5161415927930373E-3</v>
      </c>
      <c r="S257">
        <v>0.44132791888323974</v>
      </c>
      <c r="T257">
        <v>3.8719227712573918</v>
      </c>
      <c r="U257">
        <v>0</v>
      </c>
      <c r="V257">
        <v>1.1304767209823824E-2</v>
      </c>
      <c r="W257">
        <v>0.17543701867022735</v>
      </c>
      <c r="X257">
        <v>2.3469038034069974E-2</v>
      </c>
      <c r="Y257">
        <v>9.9368845859446383E-3</v>
      </c>
    </row>
    <row r="258" spans="1:25" x14ac:dyDescent="0.25">
      <c r="A258" s="1093"/>
      <c r="B258" s="1452">
        <v>8</v>
      </c>
      <c r="C258" s="1098">
        <v>0.99350574625662369</v>
      </c>
      <c r="D258" s="1098">
        <v>1.0020028159388701</v>
      </c>
      <c r="E258" s="1098">
        <v>1.0418679859009119</v>
      </c>
      <c r="F258" s="1098">
        <v>1.0108553840215022</v>
      </c>
      <c r="G258" s="1098">
        <v>0.9776447866852398</v>
      </c>
      <c r="H258" s="1098">
        <v>1.0363466775174481</v>
      </c>
      <c r="I258" s="1098">
        <v>0.97016807662818216</v>
      </c>
      <c r="K258">
        <v>5.2580792877147058</v>
      </c>
      <c r="L258">
        <v>0</v>
      </c>
      <c r="M258">
        <v>3.4874441176651026E-3</v>
      </c>
      <c r="N258">
        <v>0.34246902500034887</v>
      </c>
      <c r="O258">
        <v>0.14967652312540938</v>
      </c>
      <c r="P258">
        <v>2.1135211326551974E-2</v>
      </c>
      <c r="Q258">
        <v>1.3583131411574266E-3</v>
      </c>
      <c r="R258">
        <v>3.4819200703000096E-3</v>
      </c>
      <c r="S258">
        <v>0.46220964274904247</v>
      </c>
      <c r="T258">
        <v>4.0334404880376482</v>
      </c>
      <c r="U258">
        <v>0</v>
      </c>
      <c r="V258">
        <v>1.1304767209823829E-2</v>
      </c>
      <c r="W258">
        <v>0.19838153654355326</v>
      </c>
      <c r="X258">
        <v>2.8269132677840071E-2</v>
      </c>
      <c r="Y258">
        <v>9.8401719506896971E-3</v>
      </c>
    </row>
    <row r="259" spans="1:25" x14ac:dyDescent="0.25">
      <c r="A259" s="1093"/>
      <c r="B259" s="1452">
        <v>9</v>
      </c>
      <c r="C259" s="1098">
        <v>0.98673478240613877</v>
      </c>
      <c r="D259" s="1098">
        <v>1.0043821897834173</v>
      </c>
      <c r="E259" s="1098">
        <v>0.98239725908553688</v>
      </c>
      <c r="F259" s="1098">
        <v>0.97137140452759529</v>
      </c>
      <c r="G259" s="1098">
        <v>1.045263058102015</v>
      </c>
      <c r="H259" s="1098">
        <v>0.97134202345125187</v>
      </c>
      <c r="I259" s="1098">
        <v>1.0167974541756029</v>
      </c>
      <c r="K259">
        <v>5.0279988243696341</v>
      </c>
      <c r="L259">
        <v>0</v>
      </c>
      <c r="M259">
        <v>3.5821921220084737E-3</v>
      </c>
      <c r="N259">
        <v>0.29493663344318505</v>
      </c>
      <c r="O259">
        <v>0.14630668663768809</v>
      </c>
      <c r="P259">
        <v>1.9540319436544863E-2</v>
      </c>
      <c r="Q259">
        <v>1.2989453750226945E-3</v>
      </c>
      <c r="R259">
        <v>3.5758926140519679E-3</v>
      </c>
      <c r="S259">
        <v>0.45931512146076658</v>
      </c>
      <c r="T259">
        <v>3.8831057733408576</v>
      </c>
      <c r="U259">
        <v>0</v>
      </c>
      <c r="V259">
        <v>1.1304767209823811E-2</v>
      </c>
      <c r="W259">
        <v>0.17779671294946442</v>
      </c>
      <c r="X259">
        <v>2.429441849043832E-2</v>
      </c>
      <c r="Y259">
        <v>1.0105745533797053E-2</v>
      </c>
    </row>
    <row r="260" spans="1:25" x14ac:dyDescent="0.25">
      <c r="A260" s="1093"/>
      <c r="B260" s="1452">
        <v>10</v>
      </c>
      <c r="C260" s="1098">
        <v>1.0098138560439847</v>
      </c>
      <c r="D260" s="1098">
        <v>0.96211451900239409</v>
      </c>
      <c r="E260" s="1098">
        <v>1.0105497329161117</v>
      </c>
      <c r="F260" s="1098">
        <v>1.0186666535518856</v>
      </c>
      <c r="G260" s="1098">
        <v>0.98444763711597238</v>
      </c>
      <c r="H260" s="1098">
        <v>1.0295332231101244</v>
      </c>
      <c r="I260" s="1098">
        <v>0.99292777422410861</v>
      </c>
      <c r="K260">
        <v>5.2932009272529008</v>
      </c>
      <c r="L260">
        <v>0</v>
      </c>
      <c r="M260">
        <v>3.7301264358188635E-3</v>
      </c>
      <c r="N260">
        <v>0.33389977944347959</v>
      </c>
      <c r="O260">
        <v>0.1517215474509262</v>
      </c>
      <c r="P260">
        <v>2.0859639029996713E-2</v>
      </c>
      <c r="Q260">
        <v>1.3228819373026677E-3</v>
      </c>
      <c r="R260">
        <v>3.7242244143004888E-3</v>
      </c>
      <c r="S260">
        <v>0.47096829104651422</v>
      </c>
      <c r="T260">
        <v>4.0685643383783088</v>
      </c>
      <c r="U260">
        <v>0</v>
      </c>
      <c r="V260">
        <v>1.1304767209823827E-2</v>
      </c>
      <c r="W260">
        <v>0.19748204280613649</v>
      </c>
      <c r="X260">
        <v>2.6558599446030697E-2</v>
      </c>
      <c r="Y260">
        <v>1.0524942525896598E-2</v>
      </c>
    </row>
    <row r="261" spans="1:25" x14ac:dyDescent="0.25">
      <c r="A261" s="1093"/>
      <c r="B261" s="1452">
        <v>11</v>
      </c>
      <c r="C261" s="1098">
        <v>0.98298937224857441</v>
      </c>
      <c r="D261" s="1098">
        <v>1.0006435440479946</v>
      </c>
      <c r="E261" s="1098">
        <v>1.0156707955102753</v>
      </c>
      <c r="F261" s="1098">
        <v>1.0162759356724083</v>
      </c>
      <c r="G261" s="1098">
        <v>0.98817202298161633</v>
      </c>
      <c r="H261" s="1098">
        <v>1.0277255014086164</v>
      </c>
      <c r="I261" s="1098">
        <v>0.96019001944100757</v>
      </c>
      <c r="K261">
        <v>5.2820945892592839</v>
      </c>
      <c r="L261">
        <v>0</v>
      </c>
      <c r="M261">
        <v>3.716377926333289E-3</v>
      </c>
      <c r="N261">
        <v>0.33774816921875583</v>
      </c>
      <c r="O261">
        <v>0.15292552314783792</v>
      </c>
      <c r="P261">
        <v>2.08547245353355E-2</v>
      </c>
      <c r="Q261">
        <v>1.3436396281718578E-3</v>
      </c>
      <c r="R261">
        <v>3.7104734807582806E-3</v>
      </c>
      <c r="S261">
        <v>0.46295875637609973</v>
      </c>
      <c r="T261">
        <v>4.0583663968964263</v>
      </c>
      <c r="U261">
        <v>0</v>
      </c>
      <c r="V261">
        <v>1.1304767209823803E-2</v>
      </c>
      <c r="W261">
        <v>0.19907402363870827</v>
      </c>
      <c r="X261">
        <v>2.7038411715830997E-2</v>
      </c>
      <c r="Y261">
        <v>1.0486081337872202E-2</v>
      </c>
    </row>
    <row r="262" spans="1:25" x14ac:dyDescent="0.25">
      <c r="A262" s="1093"/>
      <c r="B262" s="1452">
        <v>12</v>
      </c>
      <c r="C262" s="1098">
        <v>1.0194296661550237</v>
      </c>
      <c r="D262" s="1098">
        <v>1.0197787465800532</v>
      </c>
      <c r="E262" s="1098">
        <v>0.95371321611145687</v>
      </c>
      <c r="F262" s="1098">
        <v>0.99153428767807139</v>
      </c>
      <c r="G262" s="1098">
        <v>1.0300358742262139</v>
      </c>
      <c r="H262" s="1098">
        <v>1.0152434751655095</v>
      </c>
      <c r="I262" s="1098">
        <v>0.97414031772263177</v>
      </c>
      <c r="K262">
        <v>5.0933583000242137</v>
      </c>
      <c r="L262">
        <v>0</v>
      </c>
      <c r="M262">
        <v>3.9044181014532033E-3</v>
      </c>
      <c r="N262">
        <v>0.295247316383974</v>
      </c>
      <c r="O262">
        <v>0.14444667768507508</v>
      </c>
      <c r="P262">
        <v>1.9398668851155553E-2</v>
      </c>
      <c r="Q262">
        <v>1.2186944157811148E-3</v>
      </c>
      <c r="R262">
        <v>3.8979822100650612E-3</v>
      </c>
      <c r="S262">
        <v>0.43975276443382533</v>
      </c>
      <c r="T262">
        <v>3.9673321251482756</v>
      </c>
      <c r="U262">
        <v>0</v>
      </c>
      <c r="V262">
        <v>1.1304767209823808E-2</v>
      </c>
      <c r="W262">
        <v>0.18154569924946731</v>
      </c>
      <c r="X262">
        <v>2.2102027215717655E-2</v>
      </c>
      <c r="Y262">
        <v>1.1015995322507431E-2</v>
      </c>
    </row>
    <row r="263" spans="1:25" x14ac:dyDescent="0.25">
      <c r="A263" s="1093"/>
      <c r="B263" s="1452">
        <v>13</v>
      </c>
      <c r="C263" s="1098">
        <v>1.020624687243004</v>
      </c>
      <c r="D263" s="1098">
        <v>0.98355713057870919</v>
      </c>
      <c r="E263" s="1098">
        <v>0.98760177267292215</v>
      </c>
      <c r="F263" s="1098">
        <v>1.0229076718987204</v>
      </c>
      <c r="G263" s="1098">
        <v>1.0198766515950697</v>
      </c>
      <c r="H263" s="1098">
        <v>1.0007039727717317</v>
      </c>
      <c r="I263" s="1098">
        <v>1.0145441577585512</v>
      </c>
      <c r="K263">
        <v>5.2791485983866835</v>
      </c>
      <c r="L263">
        <v>0</v>
      </c>
      <c r="M263">
        <v>3.74732478587802E-3</v>
      </c>
      <c r="N263">
        <v>0.31337589606510197</v>
      </c>
      <c r="O263">
        <v>0.15006063858857777</v>
      </c>
      <c r="P263">
        <v>2.0591394264758929E-2</v>
      </c>
      <c r="Q263">
        <v>1.2720985844328649E-3</v>
      </c>
      <c r="R263">
        <v>3.741249987053605E-3</v>
      </c>
      <c r="S263">
        <v>0.47015084540956759</v>
      </c>
      <c r="T263">
        <v>4.088451464041877</v>
      </c>
      <c r="U263">
        <v>0</v>
      </c>
      <c r="V263">
        <v>1.1304767209823832E-2</v>
      </c>
      <c r="W263">
        <v>0.18824231976000552</v>
      </c>
      <c r="X263">
        <v>2.5132191167021208E-2</v>
      </c>
      <c r="Y263">
        <v>1.0573058094337895E-2</v>
      </c>
    </row>
    <row r="264" spans="1:25" x14ac:dyDescent="0.25">
      <c r="A264" s="1093"/>
      <c r="B264" s="1452">
        <v>14</v>
      </c>
      <c r="C264" s="1098">
        <v>0.99860709575974971</v>
      </c>
      <c r="D264" s="1098">
        <v>1.0023180621070373</v>
      </c>
      <c r="E264" s="1098">
        <v>1.0139939587910207</v>
      </c>
      <c r="F264" s="1098">
        <v>1.0163472679423284</v>
      </c>
      <c r="G264" s="1098">
        <v>0.98972352890444315</v>
      </c>
      <c r="H264" s="1098">
        <v>1.0273398170710524</v>
      </c>
      <c r="I264" s="1098">
        <v>0.98708500310891734</v>
      </c>
      <c r="K264">
        <v>5.2754669838160897</v>
      </c>
      <c r="L264">
        <v>0</v>
      </c>
      <c r="M264">
        <v>3.6676519429787021E-3</v>
      </c>
      <c r="N264">
        <v>0.33166958904085464</v>
      </c>
      <c r="O264">
        <v>0.15049122602635037</v>
      </c>
      <c r="P264">
        <v>2.0855772999509324E-2</v>
      </c>
      <c r="Q264">
        <v>1.3198611460634188E-3</v>
      </c>
      <c r="R264">
        <v>3.6618231323360347E-3</v>
      </c>
      <c r="S264">
        <v>0.46828377599381688</v>
      </c>
      <c r="T264">
        <v>4.0588637301788228</v>
      </c>
      <c r="U264">
        <v>0</v>
      </c>
      <c r="V264">
        <v>1.1304767209823815E-2</v>
      </c>
      <c r="W264">
        <v>0.19571067879259746</v>
      </c>
      <c r="X264">
        <v>2.6624819499941419E-2</v>
      </c>
      <c r="Y264">
        <v>1.0348591738952539E-2</v>
      </c>
    </row>
    <row r="265" spans="1:25" x14ac:dyDescent="0.25">
      <c r="A265" s="1093"/>
      <c r="B265" s="1452">
        <v>15</v>
      </c>
      <c r="C265" s="1098">
        <v>0.96321431676302049</v>
      </c>
      <c r="D265" s="1098">
        <v>0.99781567139458027</v>
      </c>
      <c r="E265" s="1098">
        <v>1.0137620833689247</v>
      </c>
      <c r="F265" s="1098">
        <v>0.99627002946895449</v>
      </c>
      <c r="G265" s="1098">
        <v>0.97299501682777967</v>
      </c>
      <c r="H265" s="1098">
        <v>0.99961419083624414</v>
      </c>
      <c r="I265" s="1098">
        <v>1.0241182914318583</v>
      </c>
      <c r="K265">
        <v>5.2151229795398191</v>
      </c>
      <c r="L265">
        <v>0</v>
      </c>
      <c r="M265">
        <v>3.635146971047365E-3</v>
      </c>
      <c r="N265">
        <v>0.32847927412509648</v>
      </c>
      <c r="O265">
        <v>0.15322120646341614</v>
      </c>
      <c r="P265">
        <v>2.0584981199808582E-2</v>
      </c>
      <c r="Q265">
        <v>1.3705551318329069E-3</v>
      </c>
      <c r="R265">
        <v>3.6290901285110887E-3</v>
      </c>
      <c r="S265">
        <v>0.49026346073568189</v>
      </c>
      <c r="T265">
        <v>3.9787124942095531</v>
      </c>
      <c r="U265">
        <v>0</v>
      </c>
      <c r="V265">
        <v>1.1304767209823818E-2</v>
      </c>
      <c r="W265">
        <v>0.19385824115377334</v>
      </c>
      <c r="X265">
        <v>2.7077970382269737E-2</v>
      </c>
      <c r="Y265">
        <v>1.0256085771096622E-2</v>
      </c>
    </row>
    <row r="266" spans="1:25" x14ac:dyDescent="0.25">
      <c r="A266" s="1093"/>
      <c r="B266" s="1452">
        <v>16</v>
      </c>
      <c r="C266" s="1098">
        <v>1.0248385542411993</v>
      </c>
      <c r="D266" s="1098">
        <v>0.96773914305531306</v>
      </c>
      <c r="E266" s="1098">
        <v>0.96565877606523842</v>
      </c>
      <c r="F266" s="1098">
        <v>1.025729441651642</v>
      </c>
      <c r="G266" s="1098">
        <v>0.95827744143093718</v>
      </c>
      <c r="H266" s="1098">
        <v>1.0061292782952311</v>
      </c>
      <c r="I266" s="1098">
        <v>0.96067578646733265</v>
      </c>
      <c r="K266">
        <v>5.2688325138159584</v>
      </c>
      <c r="L266">
        <v>0</v>
      </c>
      <c r="M266">
        <v>3.9653931519767769E-3</v>
      </c>
      <c r="N266">
        <v>0.31070700838321846</v>
      </c>
      <c r="O266">
        <v>0.15144988200790607</v>
      </c>
      <c r="P266">
        <v>2.0209289311685138E-2</v>
      </c>
      <c r="Q266">
        <v>1.25100167353543E-3</v>
      </c>
      <c r="R266">
        <v>3.959017065386229E-3</v>
      </c>
      <c r="S266">
        <v>0.44679994779431037</v>
      </c>
      <c r="T266">
        <v>4.1025865987720653</v>
      </c>
      <c r="U266">
        <v>0</v>
      </c>
      <c r="V266">
        <v>1.1304767209823811E-2</v>
      </c>
      <c r="W266">
        <v>0.18947283429098227</v>
      </c>
      <c r="X266">
        <v>2.3869075975585508E-2</v>
      </c>
      <c r="Y266">
        <v>1.1188484483435821E-2</v>
      </c>
    </row>
    <row r="267" spans="1:25" x14ac:dyDescent="0.25">
      <c r="A267" s="1093"/>
      <c r="B267" s="1452">
        <v>17</v>
      </c>
      <c r="C267" s="1098">
        <v>1.0329139731121226</v>
      </c>
      <c r="D267" s="1098">
        <v>1.001212097015246</v>
      </c>
      <c r="E267" s="1098">
        <v>1.0062613113421992</v>
      </c>
      <c r="F267" s="1098">
        <v>1.0064879399855864</v>
      </c>
      <c r="G267" s="1098">
        <v>1.0047016219752765</v>
      </c>
      <c r="H267" s="1098">
        <v>1.0296895845285503</v>
      </c>
      <c r="I267" s="1098">
        <v>1.0031452806112235</v>
      </c>
      <c r="K267">
        <v>5.194062866932657</v>
      </c>
      <c r="L267">
        <v>0</v>
      </c>
      <c r="M267">
        <v>3.5789797266013554E-3</v>
      </c>
      <c r="N267">
        <v>0.31632149785074354</v>
      </c>
      <c r="O267">
        <v>0.14435477243782519</v>
      </c>
      <c r="P267">
        <v>2.0509323490092549E-2</v>
      </c>
      <c r="Q267">
        <v>1.2682091183511557E-3</v>
      </c>
      <c r="R267">
        <v>3.5732493195313802E-3</v>
      </c>
      <c r="S267">
        <v>0.45686814905560447</v>
      </c>
      <c r="T267">
        <v>4.0204622119458771</v>
      </c>
      <c r="U267">
        <v>0</v>
      </c>
      <c r="V267">
        <v>1.1304767209823813E-2</v>
      </c>
      <c r="W267">
        <v>0.18762547744821453</v>
      </c>
      <c r="X267">
        <v>2.525591340151366E-2</v>
      </c>
      <c r="Y267">
        <v>1.0098275381675882E-2</v>
      </c>
    </row>
    <row r="268" spans="1:25" x14ac:dyDescent="0.25">
      <c r="A268" s="1093"/>
      <c r="B268" s="1452">
        <v>18</v>
      </c>
      <c r="C268" s="1098">
        <v>1.0115378184599282</v>
      </c>
      <c r="D268" s="1098">
        <v>0.98467675441543667</v>
      </c>
      <c r="E268" s="1098">
        <v>0.99050841879364604</v>
      </c>
      <c r="F268" s="1098">
        <v>1.0067144591666537</v>
      </c>
      <c r="G268" s="1098">
        <v>0.97109771674756451</v>
      </c>
      <c r="H268" s="1098">
        <v>1.0294507684708218</v>
      </c>
      <c r="I268" s="1098">
        <v>0.97047699728571002</v>
      </c>
      <c r="K268">
        <v>5.2066078191566305</v>
      </c>
      <c r="L268">
        <v>0</v>
      </c>
      <c r="M268">
        <v>3.8030753966894443E-3</v>
      </c>
      <c r="N268">
        <v>0.32079764748967776</v>
      </c>
      <c r="O268">
        <v>0.14886298529183875</v>
      </c>
      <c r="P268">
        <v>2.0264534517502601E-2</v>
      </c>
      <c r="Q268">
        <v>1.2861644777142757E-3</v>
      </c>
      <c r="R268">
        <v>3.7969861391991522E-3</v>
      </c>
      <c r="S268">
        <v>0.45287240402717138</v>
      </c>
      <c r="T268">
        <v>4.0233596654469501</v>
      </c>
      <c r="U268">
        <v>0</v>
      </c>
      <c r="V268">
        <v>1.1304767209823824E-2</v>
      </c>
      <c r="W268">
        <v>0.19231949071866072</v>
      </c>
      <c r="X268">
        <v>2.4815676519223697E-2</v>
      </c>
      <c r="Y268">
        <v>1.0730572715555125E-2</v>
      </c>
    </row>
    <row r="269" spans="1:25" x14ac:dyDescent="0.25">
      <c r="A269" s="1093"/>
      <c r="B269" s="1452">
        <v>19</v>
      </c>
      <c r="C269" s="1098">
        <v>0.97739853895363982</v>
      </c>
      <c r="D269" s="1098">
        <v>0.99261611284989437</v>
      </c>
      <c r="E269" s="1098">
        <v>1.0365580916420878</v>
      </c>
      <c r="F269" s="1098">
        <v>1.0197135813761817</v>
      </c>
      <c r="G269" s="1098">
        <v>0.98062706075116335</v>
      </c>
      <c r="H269" s="1098">
        <v>0.99915734995041672</v>
      </c>
      <c r="I269" s="1098">
        <v>1.0269431189430094</v>
      </c>
      <c r="K269">
        <v>5.3258717520941348</v>
      </c>
      <c r="L269">
        <v>0</v>
      </c>
      <c r="M269">
        <v>3.4997573523430589E-3</v>
      </c>
      <c r="N269">
        <v>0.33831367482289121</v>
      </c>
      <c r="O269">
        <v>0.15420998510869605</v>
      </c>
      <c r="P269">
        <v>2.1373371639278337E-2</v>
      </c>
      <c r="Q269">
        <v>1.379767132099966E-3</v>
      </c>
      <c r="R269">
        <v>3.4940573338977394E-3</v>
      </c>
      <c r="S269">
        <v>0.49443776519233207</v>
      </c>
      <c r="T269">
        <v>4.0694530161306233</v>
      </c>
      <c r="U269">
        <v>0</v>
      </c>
      <c r="V269">
        <v>1.1304767209823825E-2</v>
      </c>
      <c r="W269">
        <v>0.19666061284024838</v>
      </c>
      <c r="X269">
        <v>2.8870019252329553E-2</v>
      </c>
      <c r="Y269">
        <v>9.8744727842531212E-3</v>
      </c>
    </row>
    <row r="270" spans="1:25" x14ac:dyDescent="0.25">
      <c r="A270" s="1093"/>
      <c r="B270" s="1452">
        <v>20</v>
      </c>
      <c r="C270" s="1098">
        <v>0.99944271335663659</v>
      </c>
      <c r="D270" s="1098">
        <v>1.0031362565981849</v>
      </c>
      <c r="E270" s="1098">
        <v>1.0031586357858617</v>
      </c>
      <c r="F270" s="1098">
        <v>0.98175746388860696</v>
      </c>
      <c r="G270" s="1098">
        <v>1.0077599422112429</v>
      </c>
      <c r="H270" s="1098">
        <v>0.99628534329732699</v>
      </c>
      <c r="I270" s="1098">
        <v>0.96404117347285734</v>
      </c>
      <c r="K270">
        <v>5.0637897817652107</v>
      </c>
      <c r="L270">
        <v>0</v>
      </c>
      <c r="M270">
        <v>3.5112584286927785E-3</v>
      </c>
      <c r="N270">
        <v>0.30746783040412057</v>
      </c>
      <c r="O270">
        <v>0.14549648264287104</v>
      </c>
      <c r="P270">
        <v>1.9928874199801518E-2</v>
      </c>
      <c r="Q270">
        <v>1.3062076065778871E-3</v>
      </c>
      <c r="R270">
        <v>3.5053018355559475E-3</v>
      </c>
      <c r="S270">
        <v>0.43829835269571699</v>
      </c>
      <c r="T270">
        <v>3.9220567874239283</v>
      </c>
      <c r="U270">
        <v>0</v>
      </c>
      <c r="V270">
        <v>1.1304767209823829E-2</v>
      </c>
      <c r="W270">
        <v>0.18275556272315405</v>
      </c>
      <c r="X270">
        <v>2.5274622847933075E-2</v>
      </c>
      <c r="Y270">
        <v>9.9062506044163088E-3</v>
      </c>
    </row>
    <row r="271" spans="1:25" x14ac:dyDescent="0.25">
      <c r="A271" s="1093"/>
      <c r="B271" s="1452">
        <v>21</v>
      </c>
      <c r="C271" s="1098">
        <v>0.97226604706840503</v>
      </c>
      <c r="D271" s="1098">
        <v>0.96239371120694905</v>
      </c>
      <c r="E271" s="1098">
        <v>1.0109941297275347</v>
      </c>
      <c r="F271" s="1098">
        <v>0.97249885734074548</v>
      </c>
      <c r="G271" s="1098">
        <v>1.0402780953942239</v>
      </c>
      <c r="H271" s="1098">
        <v>1.0343300693293174</v>
      </c>
      <c r="I271" s="1098">
        <v>1.0367236963997768</v>
      </c>
      <c r="K271">
        <v>5.1255995607459894</v>
      </c>
      <c r="L271">
        <v>0</v>
      </c>
      <c r="M271">
        <v>3.7122021549098891E-3</v>
      </c>
      <c r="N271">
        <v>0.33271035307943442</v>
      </c>
      <c r="O271">
        <v>0.15040898980675402</v>
      </c>
      <c r="P271">
        <v>2.0118306006482418E-2</v>
      </c>
      <c r="Q271">
        <v>1.3743304428507116E-3</v>
      </c>
      <c r="R271">
        <v>3.7060786583890479E-3</v>
      </c>
      <c r="S271">
        <v>0.49223148509555359</v>
      </c>
      <c r="T271">
        <v>3.8841157340970609</v>
      </c>
      <c r="U271">
        <v>0</v>
      </c>
      <c r="V271">
        <v>1.1304767209823822E-2</v>
      </c>
      <c r="W271">
        <v>0.19671990209190882</v>
      </c>
      <c r="X271">
        <v>2.6148155178308662E-2</v>
      </c>
      <c r="Y271">
        <v>1.0473661234327936E-2</v>
      </c>
    </row>
    <row r="272" spans="1:25" x14ac:dyDescent="0.25">
      <c r="A272" s="1093"/>
      <c r="B272" s="1452">
        <v>22</v>
      </c>
      <c r="C272" s="1098">
        <v>0.99662316951904639</v>
      </c>
      <c r="D272" s="1098">
        <v>0.99702808130443599</v>
      </c>
      <c r="E272" s="1098">
        <v>0.99531119954744807</v>
      </c>
      <c r="F272" s="1098">
        <v>0.99261080076466324</v>
      </c>
      <c r="G272" s="1098">
        <v>0.97651702474368207</v>
      </c>
      <c r="H272" s="1098">
        <v>0.99296309964203633</v>
      </c>
      <c r="I272" s="1098">
        <v>1.0096369353131283</v>
      </c>
      <c r="K272">
        <v>5.1414337269308703</v>
      </c>
      <c r="L272">
        <v>0</v>
      </c>
      <c r="M272">
        <v>3.6161233172738844E-3</v>
      </c>
      <c r="N272">
        <v>0.30937633700094636</v>
      </c>
      <c r="O272">
        <v>0.14809977625722728</v>
      </c>
      <c r="P272">
        <v>2.0132291125048482E-2</v>
      </c>
      <c r="Q272">
        <v>1.3043011506876617E-3</v>
      </c>
      <c r="R272">
        <v>3.6100354910482049E-3</v>
      </c>
      <c r="S272">
        <v>0.46451041670939214</v>
      </c>
      <c r="T272">
        <v>3.9663934980314863</v>
      </c>
      <c r="U272">
        <v>0</v>
      </c>
      <c r="V272">
        <v>1.1304767209823829E-2</v>
      </c>
      <c r="W272">
        <v>0.18486839061067145</v>
      </c>
      <c r="X272">
        <v>2.5247800750933611E-2</v>
      </c>
      <c r="Y272">
        <v>1.0202235910873761E-2</v>
      </c>
    </row>
    <row r="273" spans="1:25" x14ac:dyDescent="0.25">
      <c r="A273" s="1093"/>
      <c r="B273" s="1452">
        <v>23</v>
      </c>
      <c r="C273" s="1098">
        <v>0.99377010261431242</v>
      </c>
      <c r="D273" s="1098">
        <v>1.0157137476134073</v>
      </c>
      <c r="E273" s="1098">
        <v>1.0170057943172364</v>
      </c>
      <c r="F273" s="1098">
        <v>1.0091086932158773</v>
      </c>
      <c r="G273" s="1098">
        <v>0.98298786202730903</v>
      </c>
      <c r="H273" s="1098">
        <v>1.0281739053946892</v>
      </c>
      <c r="I273" s="1098">
        <v>1.0279152672663778</v>
      </c>
      <c r="K273">
        <v>5.2599111286386595</v>
      </c>
      <c r="L273">
        <v>0</v>
      </c>
      <c r="M273">
        <v>3.619784731176474E-3</v>
      </c>
      <c r="N273">
        <v>0.33026844103041625</v>
      </c>
      <c r="O273">
        <v>0.14926682290024904</v>
      </c>
      <c r="P273">
        <v>2.0848665384222115E-2</v>
      </c>
      <c r="Q273">
        <v>1.3226370600342094E-3</v>
      </c>
      <c r="R273">
        <v>3.6139954957743934E-3</v>
      </c>
      <c r="S273">
        <v>0.48598066171055659</v>
      </c>
      <c r="T273">
        <v>4.0295771053246918</v>
      </c>
      <c r="U273">
        <v>0</v>
      </c>
      <c r="V273">
        <v>1.1304767209823834E-2</v>
      </c>
      <c r="W273">
        <v>0.1944917206138369</v>
      </c>
      <c r="X273">
        <v>2.6642669453661533E-2</v>
      </c>
      <c r="Y273">
        <v>1.0213427186562027E-2</v>
      </c>
    </row>
    <row r="274" spans="1:25" x14ac:dyDescent="0.25">
      <c r="A274" s="1093"/>
      <c r="B274" s="1452">
        <v>24</v>
      </c>
      <c r="C274" s="1098">
        <v>1.0310017154720563</v>
      </c>
      <c r="D274" s="1098">
        <v>1.0174068793475652</v>
      </c>
      <c r="E274" s="1098">
        <v>1.0025725002099364</v>
      </c>
      <c r="F274" s="1098">
        <v>1.0231470762327741</v>
      </c>
      <c r="G274" s="1098">
        <v>1.0285256442423623</v>
      </c>
      <c r="H274" s="1098">
        <v>1.000645086387177</v>
      </c>
      <c r="I274" s="1098">
        <v>0.96377831347014908</v>
      </c>
      <c r="K274">
        <v>5.2361896014524172</v>
      </c>
      <c r="L274">
        <v>0</v>
      </c>
      <c r="M274">
        <v>3.5468613928048426E-3</v>
      </c>
      <c r="N274">
        <v>0.31007012033894338</v>
      </c>
      <c r="O274">
        <v>0.14617690037120906</v>
      </c>
      <c r="P274">
        <v>2.0678539963689468E-2</v>
      </c>
      <c r="Q274">
        <v>1.2584589828711099E-3</v>
      </c>
      <c r="R274">
        <v>3.5411125706751221E-3</v>
      </c>
      <c r="S274">
        <v>0.43930641124614161</v>
      </c>
      <c r="T274">
        <v>4.0874807717028165</v>
      </c>
      <c r="U274">
        <v>0</v>
      </c>
      <c r="V274">
        <v>1.1304767209823817E-2</v>
      </c>
      <c r="W274">
        <v>0.18437522052964922</v>
      </c>
      <c r="X274">
        <v>2.5536705453516838E-2</v>
      </c>
      <c r="Y274">
        <v>1.0007454475883384E-2</v>
      </c>
    </row>
    <row r="275" spans="1:25" x14ac:dyDescent="0.25">
      <c r="A275" s="1093"/>
      <c r="B275" s="1452">
        <v>25</v>
      </c>
      <c r="C275" s="1098">
        <v>0.97161834864855068</v>
      </c>
      <c r="D275" s="1098">
        <v>0.99118488415808104</v>
      </c>
      <c r="E275" s="1098">
        <v>1.0136987152931531</v>
      </c>
      <c r="F275" s="1098">
        <v>0.99240331660337811</v>
      </c>
      <c r="G275" s="1098">
        <v>1.0411061419621641</v>
      </c>
      <c r="H275" s="1098">
        <v>1.0190037091092212</v>
      </c>
      <c r="I275" s="1098">
        <v>1.0025103727118025</v>
      </c>
      <c r="K275">
        <v>5.1909595789199878</v>
      </c>
      <c r="L275">
        <v>0</v>
      </c>
      <c r="M275">
        <v>3.6696347987468982E-3</v>
      </c>
      <c r="N275">
        <v>0.33154189114968474</v>
      </c>
      <c r="O275">
        <v>0.151712259686025</v>
      </c>
      <c r="P275">
        <v>2.0459426228982083E-2</v>
      </c>
      <c r="Q275">
        <v>1.3622556275601832E-3</v>
      </c>
      <c r="R275">
        <v>3.6636135046093127E-3</v>
      </c>
      <c r="S275">
        <v>0.47858159981134069</v>
      </c>
      <c r="T275">
        <v>3.9632782012080643</v>
      </c>
      <c r="U275">
        <v>0</v>
      </c>
      <c r="V275">
        <v>1.1304767209823825E-2</v>
      </c>
      <c r="W275">
        <v>0.19567400511071567</v>
      </c>
      <c r="X275">
        <v>2.6697542714237878E-2</v>
      </c>
      <c r="Y275">
        <v>1.0353651467685281E-2</v>
      </c>
    </row>
    <row r="276" spans="1:25" x14ac:dyDescent="0.25">
      <c r="A276" s="1093"/>
      <c r="B276" s="1452">
        <v>26</v>
      </c>
      <c r="C276" s="1098">
        <v>1.0175642064411421</v>
      </c>
      <c r="D276" s="1098">
        <v>0.96843950595720507</v>
      </c>
      <c r="E276" s="1098">
        <v>0.96267164664239746</v>
      </c>
      <c r="F276" s="1098">
        <v>0.97755569316809132</v>
      </c>
      <c r="G276" s="1098">
        <v>1.0212609901069933</v>
      </c>
      <c r="H276" s="1098">
        <v>1.0173191030792348</v>
      </c>
      <c r="I276" s="1098">
        <v>0.99453393486156705</v>
      </c>
      <c r="K276">
        <v>5.055018146522916</v>
      </c>
      <c r="L276">
        <v>0</v>
      </c>
      <c r="M276">
        <v>3.8718403301608688E-3</v>
      </c>
      <c r="N276">
        <v>0.30067812527350563</v>
      </c>
      <c r="O276">
        <v>0.14540757701293755</v>
      </c>
      <c r="P276">
        <v>1.9324468608474952E-2</v>
      </c>
      <c r="Q276">
        <v>1.2562853366367762E-3</v>
      </c>
      <c r="R276">
        <v>3.8653802386461713E-3</v>
      </c>
      <c r="S276">
        <v>0.44946462907298113</v>
      </c>
      <c r="T276">
        <v>3.9102799249988607</v>
      </c>
      <c r="U276">
        <v>0</v>
      </c>
      <c r="V276">
        <v>1.1304767209823818E-2</v>
      </c>
      <c r="W276">
        <v>0.18373683089726256</v>
      </c>
      <c r="X276">
        <v>2.2648138541705672E-2</v>
      </c>
      <c r="Y276">
        <v>1.0923859662234876E-2</v>
      </c>
    </row>
    <row r="277" spans="1:25" x14ac:dyDescent="0.25">
      <c r="A277" s="1093"/>
      <c r="B277" s="1452">
        <v>27</v>
      </c>
      <c r="C277" s="1098">
        <v>1.0244848588337587</v>
      </c>
      <c r="D277" s="1098">
        <v>0.99156758243516629</v>
      </c>
      <c r="E277" s="1098">
        <v>0.98031057505457031</v>
      </c>
      <c r="F277" s="1098">
        <v>1.0437060235124456</v>
      </c>
      <c r="G277" s="1098">
        <v>1.0013151203299873</v>
      </c>
      <c r="H277" s="1098">
        <v>0.97217176572972674</v>
      </c>
      <c r="I277" s="1098">
        <v>0.98178354157980896</v>
      </c>
      <c r="K277">
        <v>5.3404162590133781</v>
      </c>
      <c r="L277">
        <v>0</v>
      </c>
      <c r="M277">
        <v>3.7453259622269547E-3</v>
      </c>
      <c r="N277">
        <v>0.30650259380456918</v>
      </c>
      <c r="O277">
        <v>0.15224811873933319</v>
      </c>
      <c r="P277">
        <v>2.0786583985556766E-2</v>
      </c>
      <c r="Q277">
        <v>1.2552507653274679E-3</v>
      </c>
      <c r="R277">
        <v>3.7392005532404841E-3</v>
      </c>
      <c r="S277">
        <v>0.45490068689421403</v>
      </c>
      <c r="T277">
        <v>4.1725428614149243</v>
      </c>
      <c r="U277">
        <v>0</v>
      </c>
      <c r="V277">
        <v>1.130476720982382E-2</v>
      </c>
      <c r="W277">
        <v>0.18503312385043136</v>
      </c>
      <c r="X277">
        <v>2.5281131520265274E-2</v>
      </c>
      <c r="Y277">
        <v>1.0567266237915141E-2</v>
      </c>
    </row>
    <row r="278" spans="1:25" x14ac:dyDescent="0.25">
      <c r="A278" s="1093"/>
      <c r="B278" s="1452">
        <v>28</v>
      </c>
      <c r="C278" s="1098">
        <v>1.0372400776765485</v>
      </c>
      <c r="D278" s="1098">
        <v>1.0000853001949837</v>
      </c>
      <c r="E278" s="1098">
        <v>1.0039237006196522</v>
      </c>
      <c r="F278" s="1098">
        <v>0.97218815330973218</v>
      </c>
      <c r="G278" s="1098">
        <v>1.0108091004392687</v>
      </c>
      <c r="H278" s="1098">
        <v>0.99311554278378245</v>
      </c>
      <c r="I278" s="1098">
        <v>1.0364784178596418</v>
      </c>
      <c r="K278">
        <v>5.0060973258864454</v>
      </c>
      <c r="L278">
        <v>0</v>
      </c>
      <c r="M278">
        <v>3.3384112394395445E-3</v>
      </c>
      <c r="N278">
        <v>0.29298900167762609</v>
      </c>
      <c r="O278">
        <v>0.13897734385942581</v>
      </c>
      <c r="P278">
        <v>1.9819073705778355E-2</v>
      </c>
      <c r="Q278">
        <v>1.2609680954280581E-3</v>
      </c>
      <c r="R278">
        <v>3.3326739653184436E-3</v>
      </c>
      <c r="S278">
        <v>0.45005799645734823</v>
      </c>
      <c r="T278">
        <v>3.8837347891731646</v>
      </c>
      <c r="U278">
        <v>0</v>
      </c>
      <c r="V278">
        <v>1.130476720982382E-2</v>
      </c>
      <c r="W278">
        <v>0.17405969169375021</v>
      </c>
      <c r="X278">
        <v>2.4481040224610191E-2</v>
      </c>
      <c r="Y278">
        <v>9.4183910636107E-3</v>
      </c>
    </row>
    <row r="279" spans="1:25" x14ac:dyDescent="0.25">
      <c r="A279" s="1093"/>
      <c r="B279" s="1452">
        <v>29</v>
      </c>
      <c r="C279" s="1098">
        <v>0.97511088427576675</v>
      </c>
      <c r="D279" s="1098">
        <v>0.95892254795130727</v>
      </c>
      <c r="E279" s="1098">
        <v>1.0001539737748668</v>
      </c>
      <c r="F279" s="1098">
        <v>0.99145301251414941</v>
      </c>
      <c r="G279" s="1098">
        <v>0.98132638264891692</v>
      </c>
      <c r="H279" s="1098">
        <v>0.99421510359630638</v>
      </c>
      <c r="I279" s="1098">
        <v>0.97792439918610308</v>
      </c>
      <c r="K279">
        <v>5.1619664050399301</v>
      </c>
      <c r="L279">
        <v>0</v>
      </c>
      <c r="M279">
        <v>3.7162367046417173E-3</v>
      </c>
      <c r="N279">
        <v>0.32253735493809293</v>
      </c>
      <c r="O279">
        <v>0.15342627305534554</v>
      </c>
      <c r="P279">
        <v>2.0175620912867887E-2</v>
      </c>
      <c r="Q279">
        <v>1.3596574291818481E-3</v>
      </c>
      <c r="R279">
        <v>3.7099809292342155E-3</v>
      </c>
      <c r="S279">
        <v>0.46322369005454878</v>
      </c>
      <c r="T279">
        <v>3.9611635978968773</v>
      </c>
      <c r="U279">
        <v>0</v>
      </c>
      <c r="V279">
        <v>1.1304767209823834E-2</v>
      </c>
      <c r="W279">
        <v>0.19210200833567811</v>
      </c>
      <c r="X279">
        <v>2.6195001633254545E-2</v>
      </c>
      <c r="Y279">
        <v>1.0484689349660667E-2</v>
      </c>
    </row>
    <row r="280" spans="1:25" x14ac:dyDescent="0.25">
      <c r="A280" s="1093"/>
      <c r="B280" s="1452">
        <v>30</v>
      </c>
      <c r="C280" s="1098">
        <v>0.96322027253567477</v>
      </c>
      <c r="D280" s="1098">
        <v>1.0433798256785023</v>
      </c>
      <c r="E280" s="1098">
        <v>1.0013642732025299</v>
      </c>
      <c r="F280" s="1098">
        <v>1.011838254522315</v>
      </c>
      <c r="G280" s="1098">
        <v>1.0234511083636484</v>
      </c>
      <c r="H280" s="1098">
        <v>0.98038064364911515</v>
      </c>
      <c r="I280" s="1098">
        <v>1.0105190812924054</v>
      </c>
      <c r="K280">
        <v>5.2551326483105445</v>
      </c>
      <c r="L280">
        <v>0</v>
      </c>
      <c r="M280">
        <v>3.6508990025059603E-3</v>
      </c>
      <c r="N280">
        <v>0.31800825797990878</v>
      </c>
      <c r="O280">
        <v>0.15321627872388374</v>
      </c>
      <c r="P280">
        <v>2.0649944835819448E-2</v>
      </c>
      <c r="Q280">
        <v>1.332123802815719E-3</v>
      </c>
      <c r="R280">
        <v>3.644791847921023E-3</v>
      </c>
      <c r="S280">
        <v>0.48211919088473021</v>
      </c>
      <c r="T280">
        <v>4.0424552884942822</v>
      </c>
      <c r="U280">
        <v>0</v>
      </c>
      <c r="V280">
        <v>1.1304767209823817E-2</v>
      </c>
      <c r="W280">
        <v>0.18924970384987549</v>
      </c>
      <c r="X280">
        <v>2.6502739655071252E-2</v>
      </c>
      <c r="Y280">
        <v>1.0300460028918667E-2</v>
      </c>
    </row>
    <row r="281" spans="1:25" x14ac:dyDescent="0.25">
      <c r="A281" s="1093"/>
      <c r="B281" s="1452">
        <v>31</v>
      </c>
      <c r="C281" s="1098">
        <v>1.0327953753443497</v>
      </c>
      <c r="D281" s="1098">
        <v>0.96944218614607613</v>
      </c>
      <c r="E281" s="1098">
        <v>0.97961413060092062</v>
      </c>
      <c r="F281" s="1098">
        <v>0.97002058844261441</v>
      </c>
      <c r="G281" s="1098">
        <v>0.99319835133968859</v>
      </c>
      <c r="H281" s="1098">
        <v>0.98106325679379736</v>
      </c>
      <c r="I281" s="1098">
        <v>1.0426844691009201</v>
      </c>
      <c r="K281">
        <v>5.0008473483397431</v>
      </c>
      <c r="L281">
        <v>0</v>
      </c>
      <c r="M281">
        <v>3.5216421677921076E-3</v>
      </c>
      <c r="N281">
        <v>0.28757109174482137</v>
      </c>
      <c r="O281">
        <v>0.14165196805217789</v>
      </c>
      <c r="P281">
        <v>1.9454716802062455E-2</v>
      </c>
      <c r="Q281">
        <v>1.2556811195043246E-3</v>
      </c>
      <c r="R281">
        <v>3.515501982506821E-3</v>
      </c>
      <c r="S281">
        <v>0.45446146982360597</v>
      </c>
      <c r="T281">
        <v>3.8780477917543017</v>
      </c>
      <c r="U281">
        <v>0</v>
      </c>
      <c r="V281">
        <v>1.1304767209823808E-2</v>
      </c>
      <c r="W281">
        <v>0.17368718826605142</v>
      </c>
      <c r="X281">
        <v>2.3483736754235748E-2</v>
      </c>
      <c r="Y281">
        <v>9.9350769984438581E-3</v>
      </c>
    </row>
    <row r="282" spans="1:25" x14ac:dyDescent="0.25">
      <c r="A282" s="1093"/>
      <c r="B282" s="1452">
        <v>32</v>
      </c>
      <c r="C282" s="1097">
        <v>0.9922506016255529</v>
      </c>
      <c r="D282" s="1097">
        <v>1.0181665968822744</v>
      </c>
      <c r="E282" s="1097">
        <v>1.0352650253528712</v>
      </c>
      <c r="F282" s="1097">
        <v>0.9626644380004139</v>
      </c>
      <c r="G282" s="1097">
        <v>1.027319260569368</v>
      </c>
      <c r="H282" s="1097">
        <v>0.99189037833163829</v>
      </c>
      <c r="I282" s="1097">
        <v>1.0323373177343802</v>
      </c>
      <c r="K282">
        <v>5.003867786143446</v>
      </c>
      <c r="L282">
        <v>0</v>
      </c>
      <c r="M282">
        <v>3.2072342835907362E-3</v>
      </c>
      <c r="N282">
        <v>0.3088199785111852</v>
      </c>
      <c r="O282">
        <v>0.14198766196685547</v>
      </c>
      <c r="P282">
        <v>2.0144270688047829E-2</v>
      </c>
      <c r="Q282">
        <v>1.3439114361548366E-3</v>
      </c>
      <c r="R282">
        <v>3.2016611350724833E-3</v>
      </c>
      <c r="S282">
        <v>0.46288261505233924</v>
      </c>
      <c r="T282">
        <v>3.8419360433190346</v>
      </c>
      <c r="U282">
        <v>0</v>
      </c>
      <c r="V282">
        <v>1.1304767209823836E-2</v>
      </c>
      <c r="W282">
        <v>0.17966921901200872</v>
      </c>
      <c r="X282">
        <v>2.6736753293530334E-2</v>
      </c>
      <c r="Y282">
        <v>9.0481388029792029E-3</v>
      </c>
    </row>
    <row r="283" spans="1:25" x14ac:dyDescent="0.25">
      <c r="A283" s="1093"/>
      <c r="B283" s="1452">
        <v>33</v>
      </c>
      <c r="C283" s="1097">
        <v>1.0140527194301785</v>
      </c>
      <c r="D283" s="1097">
        <v>0.98298788158267048</v>
      </c>
      <c r="E283" s="1097">
        <v>0.98517801475797273</v>
      </c>
      <c r="F283" s="1097">
        <v>1.0051705696772901</v>
      </c>
      <c r="G283" s="1097">
        <v>1.0245049409881526</v>
      </c>
      <c r="H283" s="1097">
        <v>0.99043071656464587</v>
      </c>
      <c r="I283" s="1097">
        <v>0.98068566280683156</v>
      </c>
      <c r="K283">
        <v>5.1735691662509877</v>
      </c>
      <c r="L283">
        <v>0</v>
      </c>
      <c r="M283">
        <v>3.6878540449320632E-3</v>
      </c>
      <c r="N283">
        <v>0.30617947601617967</v>
      </c>
      <c r="O283">
        <v>0.14851595362892303</v>
      </c>
      <c r="P283">
        <v>2.0140762438359758E-2</v>
      </c>
      <c r="Q283">
        <v>1.2779588958915691E-3</v>
      </c>
      <c r="R283">
        <v>3.6817072312142823E-3</v>
      </c>
      <c r="S283">
        <v>0.44891504333633453</v>
      </c>
      <c r="T283">
        <v>4.0178660199757372</v>
      </c>
      <c r="U283">
        <v>0</v>
      </c>
      <c r="V283">
        <v>1.1304767209823808E-2</v>
      </c>
      <c r="W283">
        <v>0.18422382979026442</v>
      </c>
      <c r="X283">
        <v>2.4746716052735287E-2</v>
      </c>
      <c r="Y283">
        <v>1.0404785720461603E-2</v>
      </c>
    </row>
    <row r="284" spans="1:25" x14ac:dyDescent="0.25">
      <c r="A284" s="1093"/>
      <c r="B284" s="1452">
        <v>34</v>
      </c>
      <c r="C284" s="1097">
        <v>1.0119102295184541</v>
      </c>
      <c r="D284" s="1097">
        <v>0.99938508582349661</v>
      </c>
      <c r="E284" s="1097">
        <v>0.98301314869359113</v>
      </c>
      <c r="F284" s="1097">
        <v>0.98842823083970366</v>
      </c>
      <c r="G284" s="1097">
        <v>1.0098504037908511</v>
      </c>
      <c r="H284" s="1097">
        <v>1.0362590244338039</v>
      </c>
      <c r="I284" s="1097">
        <v>1.016762462306888</v>
      </c>
      <c r="K284">
        <v>5.1322309999512781</v>
      </c>
      <c r="L284">
        <v>0</v>
      </c>
      <c r="M284">
        <v>3.7945055161750468E-3</v>
      </c>
      <c r="N284">
        <v>0.31303208543018457</v>
      </c>
      <c r="O284">
        <v>0.14544504117624668</v>
      </c>
      <c r="P284">
        <v>1.9889513996105185E-2</v>
      </c>
      <c r="Q284">
        <v>1.2698358158735833E-3</v>
      </c>
      <c r="R284">
        <v>3.7883584233583652E-3</v>
      </c>
      <c r="S284">
        <v>0.46694346378971113</v>
      </c>
      <c r="T284">
        <v>3.9512142376376644</v>
      </c>
      <c r="U284">
        <v>0</v>
      </c>
      <c r="V284">
        <v>1.1304767209823818E-2</v>
      </c>
      <c r="W284">
        <v>0.18862573442795513</v>
      </c>
      <c r="X284">
        <v>2.380627742862975E-2</v>
      </c>
      <c r="Y284">
        <v>1.0706190131894115E-2</v>
      </c>
    </row>
    <row r="285" spans="1:25" x14ac:dyDescent="0.25">
      <c r="A285" s="1093"/>
      <c r="B285" s="1452">
        <v>35</v>
      </c>
      <c r="C285" s="1097">
        <v>0.99704072235330776</v>
      </c>
      <c r="D285" s="1097">
        <v>1.0334807474378451</v>
      </c>
      <c r="E285" s="1097">
        <v>1.0401307623099354</v>
      </c>
      <c r="F285" s="1097">
        <v>0.97646612982686731</v>
      </c>
      <c r="G285" s="1097">
        <v>1.0362880887379233</v>
      </c>
      <c r="H285" s="1097">
        <v>1.0065006628328061</v>
      </c>
      <c r="I285" s="1097">
        <v>1.0136296849728674</v>
      </c>
      <c r="K285">
        <v>5.0659915689482862</v>
      </c>
      <c r="L285">
        <v>0</v>
      </c>
      <c r="M285">
        <v>3.2321559035254936E-3</v>
      </c>
      <c r="N285">
        <v>0.3157419425920186</v>
      </c>
      <c r="O285">
        <v>0.14234709337303031</v>
      </c>
      <c r="P285">
        <v>2.0452454847604832E-2</v>
      </c>
      <c r="Q285">
        <v>1.334916158322216E-3</v>
      </c>
      <c r="R285">
        <v>3.2266990767254762E-3</v>
      </c>
      <c r="S285">
        <v>0.4590723813967228</v>
      </c>
      <c r="T285">
        <v>3.8964318743429387</v>
      </c>
      <c r="U285">
        <v>0</v>
      </c>
      <c r="V285">
        <v>1.1304767209823832E-2</v>
      </c>
      <c r="W285">
        <v>0.18310838615725669</v>
      </c>
      <c r="X285">
        <v>2.708431175971493E-2</v>
      </c>
      <c r="Y285">
        <v>9.1188979376469782E-3</v>
      </c>
    </row>
    <row r="286" spans="1:25" x14ac:dyDescent="0.25">
      <c r="A286" s="1093"/>
      <c r="B286" s="1452">
        <v>36</v>
      </c>
      <c r="C286" s="1097">
        <v>1.0178585779213032</v>
      </c>
      <c r="D286" s="1097">
        <v>0.99650919898943469</v>
      </c>
      <c r="E286" s="1097">
        <v>0.96245696635378353</v>
      </c>
      <c r="F286" s="1097">
        <v>0.95932996392766556</v>
      </c>
      <c r="G286" s="1097">
        <v>0.99930541659129168</v>
      </c>
      <c r="H286" s="1097">
        <v>1.0198077853786867</v>
      </c>
      <c r="I286" s="1097">
        <v>1.0265545580415183</v>
      </c>
      <c r="K286">
        <v>4.9679986981253901</v>
      </c>
      <c r="L286">
        <v>0</v>
      </c>
      <c r="M286">
        <v>3.7663883925763905E-3</v>
      </c>
      <c r="N286">
        <v>0.29229441546685869</v>
      </c>
      <c r="O286">
        <v>0.14103981819672132</v>
      </c>
      <c r="P286">
        <v>1.9020947264037E-2</v>
      </c>
      <c r="Q286">
        <v>1.2414159113694116E-3</v>
      </c>
      <c r="R286">
        <v>3.7600006897179289E-3</v>
      </c>
      <c r="S286">
        <v>0.45439632784109307</v>
      </c>
      <c r="T286">
        <v>3.8374022523700693</v>
      </c>
      <c r="U286">
        <v>0</v>
      </c>
      <c r="V286">
        <v>1.1304767209823818E-2</v>
      </c>
      <c r="W286">
        <v>0.17864034508642679</v>
      </c>
      <c r="X286">
        <v>2.2038747470231542E-2</v>
      </c>
      <c r="Y286">
        <v>1.0626049011615697E-2</v>
      </c>
    </row>
    <row r="287" spans="1:25" x14ac:dyDescent="0.25">
      <c r="A287" s="1093"/>
      <c r="B287" s="1452">
        <v>37</v>
      </c>
      <c r="C287" s="1097">
        <v>0.97300681506495212</v>
      </c>
      <c r="D287" s="1097">
        <v>0.99812025429306805</v>
      </c>
      <c r="E287" s="1097">
        <v>1.0195912248925381</v>
      </c>
      <c r="F287" s="1097">
        <v>0.99457332141531141</v>
      </c>
      <c r="G287" s="1097">
        <v>1.0074073824681526</v>
      </c>
      <c r="H287" s="1097">
        <v>1.0260224716709059</v>
      </c>
      <c r="I287" s="1097">
        <v>0.99393105731786369</v>
      </c>
      <c r="K287">
        <v>5.1999463762842968</v>
      </c>
      <c r="L287">
        <v>0</v>
      </c>
      <c r="M287">
        <v>3.6418036489456801E-3</v>
      </c>
      <c r="N287">
        <v>0.33482020157871623</v>
      </c>
      <c r="O287">
        <v>0.15123634748537412</v>
      </c>
      <c r="P287">
        <v>2.0569902224935956E-2</v>
      </c>
      <c r="Q287">
        <v>1.3633184275014135E-3</v>
      </c>
      <c r="R287">
        <v>3.6358818262234712E-3</v>
      </c>
      <c r="S287">
        <v>0.47535445701301982</v>
      </c>
      <c r="T287">
        <v>3.9712143369731567</v>
      </c>
      <c r="U287">
        <v>0</v>
      </c>
      <c r="V287">
        <v>1.1304767209823818E-2</v>
      </c>
      <c r="W287">
        <v>0.19683219732373269</v>
      </c>
      <c r="X287">
        <v>2.6981490243399957E-2</v>
      </c>
      <c r="Y287">
        <v>1.0275279627353407E-2</v>
      </c>
    </row>
    <row r="288" spans="1:25" x14ac:dyDescent="0.25">
      <c r="A288" s="1093"/>
      <c r="B288" s="1452">
        <v>38</v>
      </c>
      <c r="C288" s="1097">
        <v>1.0047099954738319</v>
      </c>
      <c r="D288" s="1097">
        <v>1.0319970140874386</v>
      </c>
      <c r="E288" s="1097">
        <v>0.99501429497525562</v>
      </c>
      <c r="F288" s="1097">
        <v>1.0323438993317078</v>
      </c>
      <c r="G288" s="1097">
        <v>0.97849705120225594</v>
      </c>
      <c r="H288" s="1097">
        <v>1.0336219591106017</v>
      </c>
      <c r="I288" s="1097">
        <v>0.9814473204751496</v>
      </c>
      <c r="K288">
        <v>5.3365033606481109</v>
      </c>
      <c r="L288">
        <v>0</v>
      </c>
      <c r="M288">
        <v>3.8323263533136891E-3</v>
      </c>
      <c r="N288">
        <v>0.3276272330975219</v>
      </c>
      <c r="O288">
        <v>0.15070435432568818</v>
      </c>
      <c r="P288">
        <v>2.0860651848568865E-2</v>
      </c>
      <c r="Q288">
        <v>1.27575965549305E-3</v>
      </c>
      <c r="R288">
        <v>3.8263665019738647E-3</v>
      </c>
      <c r="S288">
        <v>0.46744334559298745</v>
      </c>
      <c r="T288">
        <v>4.1252023575950671</v>
      </c>
      <c r="U288">
        <v>0</v>
      </c>
      <c r="V288">
        <v>1.1304767209823817E-2</v>
      </c>
      <c r="W288">
        <v>0.19581366588463259</v>
      </c>
      <c r="X288">
        <v>2.5463581425824916E-2</v>
      </c>
      <c r="Y288">
        <v>1.0813603863841047E-2</v>
      </c>
    </row>
    <row r="289" spans="1:25" x14ac:dyDescent="0.25">
      <c r="A289" s="1093"/>
      <c r="B289" s="1452">
        <v>39</v>
      </c>
      <c r="C289" s="1097">
        <v>1.0185046182150435</v>
      </c>
      <c r="D289" s="1097">
        <v>0.98685472212816405</v>
      </c>
      <c r="E289" s="1097">
        <v>0.99377237260197471</v>
      </c>
      <c r="F289" s="1097">
        <v>1.020343132111557</v>
      </c>
      <c r="G289" s="1097">
        <v>1.0270835966106284</v>
      </c>
      <c r="H289" s="1097">
        <v>0.99879534578196538</v>
      </c>
      <c r="I289" s="1097">
        <v>1.0074939142232915</v>
      </c>
      <c r="K289">
        <v>5.2639352879040899</v>
      </c>
      <c r="L289">
        <v>0</v>
      </c>
      <c r="M289">
        <v>3.6854455788709771E-3</v>
      </c>
      <c r="N289">
        <v>0.31388960628659163</v>
      </c>
      <c r="O289">
        <v>0.14962236382084693</v>
      </c>
      <c r="P289">
        <v>2.0619268160519767E-2</v>
      </c>
      <c r="Q289">
        <v>1.279831425449915E-3</v>
      </c>
      <c r="R289">
        <v>3.6794446552294762E-3</v>
      </c>
      <c r="S289">
        <v>0.46620063777202359</v>
      </c>
      <c r="T289">
        <v>4.0774073200517371</v>
      </c>
      <c r="U289">
        <v>0</v>
      </c>
      <c r="V289">
        <v>1.1304767209823808E-2</v>
      </c>
      <c r="W289">
        <v>0.18776120735318003</v>
      </c>
      <c r="X289">
        <v>2.5457895239571839E-2</v>
      </c>
      <c r="Y289">
        <v>1.0398391507989036E-2</v>
      </c>
    </row>
    <row r="290" spans="1:25" x14ac:dyDescent="0.25">
      <c r="A290" s="1093"/>
      <c r="B290" s="1452">
        <v>40</v>
      </c>
      <c r="C290" s="1097">
        <v>1.0121843460702322</v>
      </c>
      <c r="D290" s="1097">
        <v>1.0049997905360726</v>
      </c>
      <c r="E290" s="1097">
        <v>1.0031709069820733</v>
      </c>
      <c r="F290" s="1097">
        <v>0.9759678617551325</v>
      </c>
      <c r="G290" s="1097">
        <v>1.0186351004868719</v>
      </c>
      <c r="H290" s="1097">
        <v>0.99415904563621371</v>
      </c>
      <c r="I290" s="1097">
        <v>1.0161206002737189</v>
      </c>
      <c r="K290">
        <v>5.0419155693623541</v>
      </c>
      <c r="L290">
        <v>0</v>
      </c>
      <c r="M290">
        <v>3.4366493683948866E-3</v>
      </c>
      <c r="N290">
        <v>0.30094140325835222</v>
      </c>
      <c r="O290">
        <v>0.14271140153022283</v>
      </c>
      <c r="P290">
        <v>1.9892283250854004E-2</v>
      </c>
      <c r="Q290">
        <v>1.2888211036933995E-3</v>
      </c>
      <c r="R290">
        <v>3.4307722751636817E-3</v>
      </c>
      <c r="S290">
        <v>0.4533571559919321</v>
      </c>
      <c r="T290">
        <v>3.8989262045563966</v>
      </c>
      <c r="U290">
        <v>0</v>
      </c>
      <c r="V290">
        <v>1.1304767209823813E-2</v>
      </c>
      <c r="W290">
        <v>0.1788748444326908</v>
      </c>
      <c r="X290">
        <v>2.4928940744934777E-2</v>
      </c>
      <c r="Y290">
        <v>9.6956243766850025E-3</v>
      </c>
    </row>
    <row r="291" spans="1:25" x14ac:dyDescent="0.25">
      <c r="A291" s="1093"/>
      <c r="B291" s="1452">
        <v>41</v>
      </c>
      <c r="C291" s="1097">
        <v>1.0219481180300758</v>
      </c>
      <c r="D291" s="1097">
        <v>0.98335129619054384</v>
      </c>
      <c r="E291" s="1097">
        <v>0.99862820977347955</v>
      </c>
      <c r="F291" s="1097">
        <v>0.96464918482543072</v>
      </c>
      <c r="G291" s="1097">
        <v>0.9973307372044995</v>
      </c>
      <c r="H291" s="1097">
        <v>1.0204864674518246</v>
      </c>
      <c r="I291" s="1097">
        <v>1.0058018671155329</v>
      </c>
      <c r="K291">
        <v>4.9934551527030679</v>
      </c>
      <c r="L291">
        <v>0</v>
      </c>
      <c r="M291">
        <v>3.517208685559956E-3</v>
      </c>
      <c r="N291">
        <v>0.30388580341646515</v>
      </c>
      <c r="O291">
        <v>0.141051065127515</v>
      </c>
      <c r="P291">
        <v>1.9592349374967066E-2</v>
      </c>
      <c r="Q291">
        <v>1.2826745415233296E-3</v>
      </c>
      <c r="R291">
        <v>3.5112803665878442E-3</v>
      </c>
      <c r="S291">
        <v>0.44680049748478362</v>
      </c>
      <c r="T291">
        <v>3.8542588027839177</v>
      </c>
      <c r="U291">
        <v>0</v>
      </c>
      <c r="V291">
        <v>1.1304767209823804E-2</v>
      </c>
      <c r="W291">
        <v>0.18118003412047462</v>
      </c>
      <c r="X291">
        <v>2.4181940573019409E-2</v>
      </c>
      <c r="Y291">
        <v>9.9231463895516989E-3</v>
      </c>
    </row>
    <row r="292" spans="1:25" x14ac:dyDescent="0.25">
      <c r="A292" s="1093"/>
      <c r="B292" s="1452">
        <v>42</v>
      </c>
      <c r="C292" s="1097">
        <v>1.0352260986905664</v>
      </c>
      <c r="D292" s="1097">
        <v>0.98960405722728939</v>
      </c>
      <c r="E292" s="1097">
        <v>1.0173866025516258</v>
      </c>
      <c r="F292" s="1097">
        <v>0.99882944559084019</v>
      </c>
      <c r="G292" s="1097">
        <v>0.99617775279284915</v>
      </c>
      <c r="H292" s="1097">
        <v>0.95585151358062781</v>
      </c>
      <c r="I292" s="1097">
        <v>0.98152524093698312</v>
      </c>
      <c r="K292">
        <v>5.0996003123372571</v>
      </c>
      <c r="L292">
        <v>0</v>
      </c>
      <c r="M292">
        <v>3.2284405669136805E-3</v>
      </c>
      <c r="N292">
        <v>0.2948534391383037</v>
      </c>
      <c r="O292">
        <v>0.14330462553573448</v>
      </c>
      <c r="P292">
        <v>2.0412040878245191E-2</v>
      </c>
      <c r="Q292">
        <v>1.2833808240276926E-3</v>
      </c>
      <c r="R292">
        <v>3.2228294842398322E-3</v>
      </c>
      <c r="S292">
        <v>0.43104636388901124</v>
      </c>
      <c r="T292">
        <v>3.9884826018825992</v>
      </c>
      <c r="U292">
        <v>0</v>
      </c>
      <c r="V292">
        <v>1.1304767209823806E-2</v>
      </c>
      <c r="W292">
        <v>0.17359201946070299</v>
      </c>
      <c r="X292">
        <v>2.6218722427633095E-2</v>
      </c>
      <c r="Y292">
        <v>9.1079621738531374E-3</v>
      </c>
    </row>
    <row r="293" spans="1:25" x14ac:dyDescent="0.25">
      <c r="A293" s="1093"/>
      <c r="B293" s="1452">
        <v>43</v>
      </c>
      <c r="C293" s="1097">
        <v>0.99625064742508973</v>
      </c>
      <c r="D293" s="1097">
        <v>0.98085155289846415</v>
      </c>
      <c r="E293" s="1097">
        <v>1.0079966062400838</v>
      </c>
      <c r="F293" s="1097">
        <v>1.040547317780053</v>
      </c>
      <c r="G293" s="1097">
        <v>0.98243231063198522</v>
      </c>
      <c r="H293" s="1097">
        <v>1.0049265297323158</v>
      </c>
      <c r="I293" s="1097">
        <v>0.98589508120693037</v>
      </c>
      <c r="K293">
        <v>5.3919523579686057</v>
      </c>
      <c r="L293">
        <v>0</v>
      </c>
      <c r="M293">
        <v>3.7609094333732667E-3</v>
      </c>
      <c r="N293">
        <v>0.33411832921891066</v>
      </c>
      <c r="O293">
        <v>0.15595794079767292</v>
      </c>
      <c r="P293">
        <v>2.1244214675589207E-2</v>
      </c>
      <c r="Q293">
        <v>1.3276955244348341E-3</v>
      </c>
      <c r="R293">
        <v>3.7549409869793381E-3</v>
      </c>
      <c r="S293">
        <v>0.4759049975433331</v>
      </c>
      <c r="T293">
        <v>4.1562880133030955</v>
      </c>
      <c r="U293">
        <v>0</v>
      </c>
      <c r="V293">
        <v>1.1304767209823825E-2</v>
      </c>
      <c r="W293">
        <v>0.1979504531158901</v>
      </c>
      <c r="X293">
        <v>2.7250165120856464E-2</v>
      </c>
      <c r="Y293">
        <v>1.061174990538641E-2</v>
      </c>
    </row>
    <row r="294" spans="1:25" x14ac:dyDescent="0.25">
      <c r="A294" s="1093"/>
      <c r="B294" s="1452">
        <v>44</v>
      </c>
      <c r="C294" s="1097">
        <v>1.0109058440986161</v>
      </c>
      <c r="D294" s="1097">
        <v>1.0054933104507071</v>
      </c>
      <c r="E294" s="1097">
        <v>0.99716721041989331</v>
      </c>
      <c r="F294" s="1097">
        <v>1.0091775992534551</v>
      </c>
      <c r="G294" s="1097">
        <v>1.0005550596015029</v>
      </c>
      <c r="H294" s="1097">
        <v>1.0123239949923093</v>
      </c>
      <c r="I294" s="1097">
        <v>0.99118454737109118</v>
      </c>
      <c r="K294">
        <v>5.2115027527894897</v>
      </c>
      <c r="L294">
        <v>0</v>
      </c>
      <c r="M294">
        <v>3.6682707921543299E-3</v>
      </c>
      <c r="N294">
        <v>0.31558765447082915</v>
      </c>
      <c r="O294">
        <v>0.14789159129315013</v>
      </c>
      <c r="P294">
        <v>2.0433165209473216E-2</v>
      </c>
      <c r="Q294">
        <v>1.2835769270552624E-3</v>
      </c>
      <c r="R294">
        <v>3.6623125617390177E-3</v>
      </c>
      <c r="S294">
        <v>0.45868285588119256</v>
      </c>
      <c r="T294">
        <v>4.032357519748115</v>
      </c>
      <c r="U294">
        <v>0</v>
      </c>
      <c r="V294">
        <v>1.1304767209823815E-2</v>
      </c>
      <c r="W294">
        <v>0.18834295859498507</v>
      </c>
      <c r="X294">
        <v>2.5274646781467201E-2</v>
      </c>
      <c r="Y294">
        <v>1.0349974903811541E-2</v>
      </c>
    </row>
    <row r="295" spans="1:25" x14ac:dyDescent="0.25">
      <c r="A295" s="1093"/>
      <c r="B295" s="1452">
        <v>45</v>
      </c>
      <c r="C295" s="1097">
        <v>1.0052657017032276</v>
      </c>
      <c r="D295" s="1097">
        <v>1.0136362019773755</v>
      </c>
      <c r="E295" s="1097">
        <v>0.9946129551550732</v>
      </c>
      <c r="F295" s="1097">
        <v>0.95972200735300284</v>
      </c>
      <c r="G295" s="1097">
        <v>1.0184311065712204</v>
      </c>
      <c r="H295" s="1097">
        <v>1.0103747475700007</v>
      </c>
      <c r="I295" s="1097">
        <v>1.0294882535049545</v>
      </c>
      <c r="K295">
        <v>4.9790460728994734</v>
      </c>
      <c r="L295">
        <v>0</v>
      </c>
      <c r="M295">
        <v>3.5091527910635443E-3</v>
      </c>
      <c r="N295">
        <v>0.29959551089511594</v>
      </c>
      <c r="O295">
        <v>0.14104506877177678</v>
      </c>
      <c r="P295">
        <v>1.9498524451654623E-2</v>
      </c>
      <c r="Q295">
        <v>1.2838000208230532E-3</v>
      </c>
      <c r="R295">
        <v>3.5031482394341893E-3</v>
      </c>
      <c r="S295">
        <v>0.45825357326014143</v>
      </c>
      <c r="T295">
        <v>3.8350568406615064</v>
      </c>
      <c r="U295">
        <v>0</v>
      </c>
      <c r="V295">
        <v>1.130476720982381E-2</v>
      </c>
      <c r="W295">
        <v>0.17910863570499383</v>
      </c>
      <c r="X295">
        <v>2.4005192097911413E-2</v>
      </c>
      <c r="Y295">
        <v>9.9001643773569317E-3</v>
      </c>
    </row>
    <row r="296" spans="1:25" x14ac:dyDescent="0.25">
      <c r="A296" s="1093"/>
      <c r="B296" s="1452">
        <v>46</v>
      </c>
      <c r="C296" s="1097">
        <v>1.0207734341501862</v>
      </c>
      <c r="D296" s="1097">
        <v>1.0147046845128251</v>
      </c>
      <c r="E296" s="1097">
        <v>1.0367496972278363</v>
      </c>
      <c r="F296" s="1097">
        <v>0.99279930548347506</v>
      </c>
      <c r="G296" s="1097">
        <v>0.99673545188757551</v>
      </c>
      <c r="H296" s="1097">
        <v>1.012688605400528</v>
      </c>
      <c r="I296" s="1097">
        <v>0.96723702665963163</v>
      </c>
      <c r="K296">
        <v>5.1115137234711012</v>
      </c>
      <c r="L296">
        <v>0</v>
      </c>
      <c r="M296">
        <v>3.2766131302055506E-3</v>
      </c>
      <c r="N296">
        <v>0.31691531239728382</v>
      </c>
      <c r="O296">
        <v>0.14249480244471918</v>
      </c>
      <c r="P296">
        <v>2.0603661466989678E-2</v>
      </c>
      <c r="Q296">
        <v>1.3097682613978485E-3</v>
      </c>
      <c r="R296">
        <v>3.2712053499232611E-3</v>
      </c>
      <c r="S296">
        <v>0.43650811580689686</v>
      </c>
      <c r="T296">
        <v>3.9620205809176219</v>
      </c>
      <c r="U296">
        <v>0</v>
      </c>
      <c r="V296">
        <v>1.130476720982382E-2</v>
      </c>
      <c r="W296">
        <v>0.18419854385172654</v>
      </c>
      <c r="X296">
        <v>2.6918902831323883E-2</v>
      </c>
      <c r="Y296">
        <v>9.2446760635971348E-3</v>
      </c>
    </row>
    <row r="297" spans="1:25" x14ac:dyDescent="0.25">
      <c r="A297" s="1093"/>
      <c r="B297" s="1452">
        <v>47</v>
      </c>
      <c r="C297" s="1097">
        <v>0.97475060510511857</v>
      </c>
      <c r="D297" s="1097">
        <v>0.99495563569109602</v>
      </c>
      <c r="E297" s="1097">
        <v>1.0067457416378116</v>
      </c>
      <c r="F297" s="1097">
        <v>1.0072632209819128</v>
      </c>
      <c r="G297" s="1097">
        <v>0.96139628050256221</v>
      </c>
      <c r="H297" s="1097">
        <v>1.010184800294035</v>
      </c>
      <c r="I297" s="1097">
        <v>1.0032920341848772</v>
      </c>
      <c r="K297">
        <v>5.2544676817220797</v>
      </c>
      <c r="L297">
        <v>0</v>
      </c>
      <c r="M297">
        <v>3.7290970377424921E-3</v>
      </c>
      <c r="N297">
        <v>0.33005272020947241</v>
      </c>
      <c r="O297">
        <v>0.1534566167653566</v>
      </c>
      <c r="P297">
        <v>2.06423664260885E-2</v>
      </c>
      <c r="Q297">
        <v>1.3478141824447717E-3</v>
      </c>
      <c r="R297">
        <v>3.7230156658783248E-3</v>
      </c>
      <c r="S297">
        <v>0.48132079669297484</v>
      </c>
      <c r="T297">
        <v>4.0234980316006661</v>
      </c>
      <c r="U297">
        <v>0</v>
      </c>
      <c r="V297">
        <v>1.130476720982382E-2</v>
      </c>
      <c r="W297">
        <v>0.19570631964589294</v>
      </c>
      <c r="X297">
        <v>2.662280385064782E-2</v>
      </c>
      <c r="Y297">
        <v>1.0521526510571982E-2</v>
      </c>
    </row>
    <row r="298" spans="1:25" x14ac:dyDescent="0.25">
      <c r="A298" s="1093"/>
      <c r="B298" s="1452">
        <v>48</v>
      </c>
      <c r="C298" s="1097">
        <v>1.0256457207334322</v>
      </c>
      <c r="D298" s="1097">
        <v>0.96530006143725133</v>
      </c>
      <c r="E298" s="1097">
        <v>0.99009511446743281</v>
      </c>
      <c r="F298" s="1097">
        <v>0.99287819552258605</v>
      </c>
      <c r="G298" s="1097">
        <v>1.0298941167607598</v>
      </c>
      <c r="H298" s="1097">
        <v>1.0180096270338328</v>
      </c>
      <c r="I298" s="1097">
        <v>0.99527364483042491</v>
      </c>
      <c r="K298">
        <v>5.1313975294179315</v>
      </c>
      <c r="L298">
        <v>0</v>
      </c>
      <c r="M298">
        <v>3.69058836845565E-3</v>
      </c>
      <c r="N298">
        <v>0.3109152325905738</v>
      </c>
      <c r="O298">
        <v>0.14596451374971486</v>
      </c>
      <c r="P298">
        <v>2.0007195112358822E-2</v>
      </c>
      <c r="Q298">
        <v>1.2781417371258131E-3</v>
      </c>
      <c r="R298">
        <v>3.6845296737837898E-3</v>
      </c>
      <c r="S298">
        <v>0.45250602224321784</v>
      </c>
      <c r="T298">
        <v>3.9681144463786975</v>
      </c>
      <c r="U298">
        <v>0</v>
      </c>
      <c r="V298">
        <v>1.130476720982381E-2</v>
      </c>
      <c r="W298">
        <v>0.18644736234381218</v>
      </c>
      <c r="X298">
        <v>2.4453144588630286E-2</v>
      </c>
      <c r="Y298">
        <v>1.0412762158646329E-2</v>
      </c>
    </row>
    <row r="299" spans="1:25" x14ac:dyDescent="0.25">
      <c r="A299" s="1093"/>
      <c r="B299" s="1452">
        <v>49</v>
      </c>
      <c r="C299" s="1097">
        <v>0.9820712823064407</v>
      </c>
      <c r="D299" s="1097">
        <v>1.0359837563955498</v>
      </c>
      <c r="E299" s="1097">
        <v>1.0320632319013461</v>
      </c>
      <c r="F299" s="1097">
        <v>1.0032915582212696</v>
      </c>
      <c r="G299" s="1097">
        <v>0.97870033556773772</v>
      </c>
      <c r="H299" s="1097">
        <v>0.98478344275366159</v>
      </c>
      <c r="I299" s="1097">
        <v>0.9834933517045138</v>
      </c>
      <c r="K299">
        <v>5.1882741446087861</v>
      </c>
      <c r="L299">
        <v>0</v>
      </c>
      <c r="M299">
        <v>3.35225963034001E-3</v>
      </c>
      <c r="N299">
        <v>0.31976274340167993</v>
      </c>
      <c r="O299">
        <v>0.1485696568437217</v>
      </c>
      <c r="P299">
        <v>2.0833484067383647E-2</v>
      </c>
      <c r="Q299">
        <v>1.3448344294689754E-3</v>
      </c>
      <c r="R299">
        <v>3.3466296276722872E-3</v>
      </c>
      <c r="S299">
        <v>0.45837819578733696</v>
      </c>
      <c r="T299">
        <v>4.0044733427989216</v>
      </c>
      <c r="U299">
        <v>0</v>
      </c>
      <c r="V299">
        <v>1.1304767209823811E-2</v>
      </c>
      <c r="W299">
        <v>0.18642958629326867</v>
      </c>
      <c r="X299">
        <v>2.7725332948964485E-2</v>
      </c>
      <c r="Y299">
        <v>9.45783083088708E-3</v>
      </c>
    </row>
    <row r="300" spans="1:25" x14ac:dyDescent="0.25">
      <c r="A300" s="1093"/>
      <c r="B300" s="1452">
        <v>50</v>
      </c>
      <c r="C300" s="1097">
        <v>1.0223788273898262</v>
      </c>
      <c r="D300" s="1097">
        <v>1.0033419638803973</v>
      </c>
      <c r="E300" s="1097">
        <v>1.0424130325557135</v>
      </c>
      <c r="F300" s="1097">
        <v>1.02321759403072</v>
      </c>
      <c r="G300" s="1097">
        <v>0.98501118852417646</v>
      </c>
      <c r="H300" s="1097">
        <v>1.0139935919113525</v>
      </c>
      <c r="I300" s="1097">
        <v>0.96614494334064127</v>
      </c>
      <c r="K300">
        <v>5.269475782579927</v>
      </c>
      <c r="L300">
        <v>0</v>
      </c>
      <c r="M300">
        <v>3.3506774976855987E-3</v>
      </c>
      <c r="N300">
        <v>0.32956353833988744</v>
      </c>
      <c r="O300">
        <v>0.14713446437816757</v>
      </c>
      <c r="P300">
        <v>2.1306644939403679E-2</v>
      </c>
      <c r="Q300">
        <v>1.3198480909859388E-3</v>
      </c>
      <c r="R300">
        <v>3.3453185161919814E-3</v>
      </c>
      <c r="S300">
        <v>0.4477357231699845</v>
      </c>
      <c r="T300">
        <v>4.0826986408084371</v>
      </c>
      <c r="U300">
        <v>0</v>
      </c>
      <c r="V300">
        <v>1.1304767209823811E-2</v>
      </c>
      <c r="W300">
        <v>0.19083745172947492</v>
      </c>
      <c r="X300">
        <v>2.8125937365510008E-2</v>
      </c>
      <c r="Y300">
        <v>9.4541255297451096E-3</v>
      </c>
    </row>
    <row r="301" spans="1:25" x14ac:dyDescent="0.25">
      <c r="A301" s="1093"/>
      <c r="B301" s="1452">
        <v>51</v>
      </c>
      <c r="C301" s="1097">
        <v>1.020898410637326</v>
      </c>
      <c r="D301" s="1097">
        <v>0.96932947246013357</v>
      </c>
      <c r="E301" s="1097">
        <v>0.96608379783336062</v>
      </c>
      <c r="F301" s="1097">
        <v>1.0002313646712053</v>
      </c>
      <c r="G301" s="1097">
        <v>0.97626061422963006</v>
      </c>
      <c r="H301" s="1097">
        <v>1.000069063115846</v>
      </c>
      <c r="I301" s="1097">
        <v>1.0007012458329418</v>
      </c>
      <c r="K301">
        <v>5.1580464175144805</v>
      </c>
      <c r="L301">
        <v>0</v>
      </c>
      <c r="M301">
        <v>3.8525570208028555E-3</v>
      </c>
      <c r="N301">
        <v>0.30223171002791632</v>
      </c>
      <c r="O301">
        <v>0.14814599045058308</v>
      </c>
      <c r="P301">
        <v>1.9805254800379618E-2</v>
      </c>
      <c r="Q301">
        <v>1.2554726432162152E-3</v>
      </c>
      <c r="R301">
        <v>3.8461662202210062E-3</v>
      </c>
      <c r="S301">
        <v>0.45619125082291295</v>
      </c>
      <c r="T301">
        <v>4.0005482962865466</v>
      </c>
      <c r="U301">
        <v>0</v>
      </c>
      <c r="V301">
        <v>1.1304767209823822E-2</v>
      </c>
      <c r="W301">
        <v>0.18425031519969906</v>
      </c>
      <c r="X301">
        <v>2.3450191494739425E-2</v>
      </c>
      <c r="Y301">
        <v>1.0869559379244444E-2</v>
      </c>
    </row>
    <row r="302" spans="1:25" x14ac:dyDescent="0.25">
      <c r="A302" s="1093"/>
      <c r="B302" s="1452">
        <v>52</v>
      </c>
      <c r="C302" s="1097">
        <v>1.0497422548974715</v>
      </c>
      <c r="D302" s="1097">
        <v>0.97101070047321469</v>
      </c>
      <c r="E302" s="1097">
        <v>1.0229638431170271</v>
      </c>
      <c r="F302" s="1097">
        <v>1.0190390994464975</v>
      </c>
      <c r="G302" s="1097">
        <v>0.9838631195920482</v>
      </c>
      <c r="H302" s="1097">
        <v>0.9920792880949757</v>
      </c>
      <c r="I302" s="1097">
        <v>0.98624542164378104</v>
      </c>
      <c r="K302">
        <v>5.2203766403474772</v>
      </c>
      <c r="L302">
        <v>0</v>
      </c>
      <c r="M302">
        <v>3.357104289222093E-3</v>
      </c>
      <c r="N302">
        <v>0.31173555884383475</v>
      </c>
      <c r="O302">
        <v>0.1451279450547322</v>
      </c>
      <c r="P302">
        <v>2.09186362524061E-2</v>
      </c>
      <c r="Q302">
        <v>1.2813049549555856E-3</v>
      </c>
      <c r="R302">
        <v>3.3515939599368578E-3</v>
      </c>
      <c r="S302">
        <v>0.44251051577154682</v>
      </c>
      <c r="T302">
        <v>4.0684761409529182</v>
      </c>
      <c r="U302">
        <v>0</v>
      </c>
      <c r="V302">
        <v>1.1304767209823837E-2</v>
      </c>
      <c r="W302">
        <v>0.18285002471030279</v>
      </c>
      <c r="X302">
        <v>2.6705396513359764E-2</v>
      </c>
      <c r="Y302">
        <v>9.4718604128755952E-3</v>
      </c>
    </row>
    <row r="303" spans="1:25" x14ac:dyDescent="0.25">
      <c r="A303" s="1093"/>
      <c r="B303" s="1452">
        <v>53</v>
      </c>
      <c r="C303" s="1097">
        <v>1.0099655143341211</v>
      </c>
      <c r="D303" s="1097">
        <v>1.0026099811800873</v>
      </c>
      <c r="E303" s="1097">
        <v>0.99769536772094558</v>
      </c>
      <c r="F303" s="1097">
        <v>0.99565819888076545</v>
      </c>
      <c r="G303" s="1097">
        <v>0.99612784203454197</v>
      </c>
      <c r="H303" s="1097">
        <v>1.0214262220614587</v>
      </c>
      <c r="I303" s="1097">
        <v>0.99460499039732231</v>
      </c>
      <c r="K303">
        <v>5.1528084688303002</v>
      </c>
      <c r="L303">
        <v>0</v>
      </c>
      <c r="M303">
        <v>3.6552862937012094E-3</v>
      </c>
      <c r="N303">
        <v>0.31496085510348421</v>
      </c>
      <c r="O303">
        <v>0.14619959802159516</v>
      </c>
      <c r="P303">
        <v>2.0190023945627265E-2</v>
      </c>
      <c r="Q303">
        <v>1.2868319427295806E-3</v>
      </c>
      <c r="R303">
        <v>3.6493222960503539E-3</v>
      </c>
      <c r="S303">
        <v>0.45743622287608832</v>
      </c>
      <c r="T303">
        <v>3.9782721278028657</v>
      </c>
      <c r="U303">
        <v>0</v>
      </c>
      <c r="V303">
        <v>1.130476720982382E-2</v>
      </c>
      <c r="W303">
        <v>0.18790168031062654</v>
      </c>
      <c r="X303">
        <v>2.4949062193895265E-2</v>
      </c>
      <c r="Y303">
        <v>1.0313263421215505E-2</v>
      </c>
    </row>
    <row r="304" spans="1:25" x14ac:dyDescent="0.25">
      <c r="A304" s="1093"/>
      <c r="B304" s="1452">
        <v>54</v>
      </c>
      <c r="C304" s="1097">
        <v>0.96846944637407451</v>
      </c>
      <c r="D304" s="1097">
        <v>0.99467210490849145</v>
      </c>
      <c r="E304" s="1097">
        <v>1.0274647849030389</v>
      </c>
      <c r="F304" s="1097">
        <v>0.97643925361361794</v>
      </c>
      <c r="G304" s="1097">
        <v>0.9586969453521168</v>
      </c>
      <c r="H304" s="1097">
        <v>1.0357237961157821</v>
      </c>
      <c r="I304" s="1097">
        <v>1.0217620302184958</v>
      </c>
      <c r="K304">
        <v>5.135503905543227</v>
      </c>
      <c r="L304">
        <v>0</v>
      </c>
      <c r="M304">
        <v>3.5713275972201358E-3</v>
      </c>
      <c r="N304">
        <v>0.33607213807240943</v>
      </c>
      <c r="O304">
        <v>0.14915963203656141</v>
      </c>
      <c r="P304">
        <v>2.0395885001235989E-2</v>
      </c>
      <c r="Q304">
        <v>1.3807516272538105E-3</v>
      </c>
      <c r="R304">
        <v>3.5654681101192939E-3</v>
      </c>
      <c r="S304">
        <v>0.48566025164051085</v>
      </c>
      <c r="T304">
        <v>3.8978526001771661</v>
      </c>
      <c r="U304">
        <v>0</v>
      </c>
      <c r="V304">
        <v>1.1304767209823813E-2</v>
      </c>
      <c r="W304">
        <v>0.19653611792333625</v>
      </c>
      <c r="X304">
        <v>2.7071336252220392E-2</v>
      </c>
      <c r="Y304">
        <v>1.0076285089810089E-2</v>
      </c>
    </row>
    <row r="305" spans="1:25" x14ac:dyDescent="0.25">
      <c r="A305" s="1093"/>
      <c r="B305" s="1452">
        <v>55</v>
      </c>
      <c r="C305" s="1097">
        <v>0.99821935679251039</v>
      </c>
      <c r="D305" s="1097">
        <v>0.99104081434504498</v>
      </c>
      <c r="E305" s="1097">
        <v>0.9998661167635805</v>
      </c>
      <c r="F305" s="1097">
        <v>0.9969075577751294</v>
      </c>
      <c r="G305" s="1097">
        <v>0.96522341446255144</v>
      </c>
      <c r="H305" s="1097">
        <v>0.98763811236006938</v>
      </c>
      <c r="I305" s="1097">
        <v>1.0147491427821247</v>
      </c>
      <c r="K305">
        <v>5.1632308833708267</v>
      </c>
      <c r="L305">
        <v>0</v>
      </c>
      <c r="M305">
        <v>3.5806981635335584E-3</v>
      </c>
      <c r="N305">
        <v>0.31050821993467242</v>
      </c>
      <c r="O305">
        <v>0.14873416866815684</v>
      </c>
      <c r="P305">
        <v>2.0289294241472678E-2</v>
      </c>
      <c r="Q305">
        <v>1.3104702683291807E-3</v>
      </c>
      <c r="R305">
        <v>3.5746635531690484E-3</v>
      </c>
      <c r="S305">
        <v>0.46734359616756693</v>
      </c>
      <c r="T305">
        <v>3.9829922345473339</v>
      </c>
      <c r="U305">
        <v>0</v>
      </c>
      <c r="V305">
        <v>1.1304767209823808E-2</v>
      </c>
      <c r="W305">
        <v>0.18497348558010715</v>
      </c>
      <c r="X305">
        <v>2.5678409249822152E-2</v>
      </c>
      <c r="Y305">
        <v>1.0102272113907559E-2</v>
      </c>
    </row>
    <row r="306" spans="1:25" x14ac:dyDescent="0.25">
      <c r="A306" s="1093"/>
      <c r="B306" s="1452">
        <v>56</v>
      </c>
      <c r="C306" s="1097">
        <v>1.0247550446764584</v>
      </c>
      <c r="D306" s="1097">
        <v>1.0108496482584597</v>
      </c>
      <c r="E306" s="1097">
        <v>1.0391845752082465</v>
      </c>
      <c r="F306" s="1097">
        <v>0.99720863622825584</v>
      </c>
      <c r="G306" s="1097">
        <v>1.0283648819885094</v>
      </c>
      <c r="H306" s="1097">
        <v>0.97830864725212863</v>
      </c>
      <c r="I306" s="1097">
        <v>1.0383532692184392</v>
      </c>
      <c r="K306">
        <v>5.1399243264181731</v>
      </c>
      <c r="L306">
        <v>0</v>
      </c>
      <c r="M306">
        <v>3.155566513880013E-3</v>
      </c>
      <c r="N306">
        <v>0.30739574729383939</v>
      </c>
      <c r="O306">
        <v>0.14272310707190189</v>
      </c>
      <c r="P306">
        <v>2.0841989959610528E-2</v>
      </c>
      <c r="Q306">
        <v>1.3093318078205916E-3</v>
      </c>
      <c r="R306">
        <v>3.1501992878661365E-3</v>
      </c>
      <c r="S306">
        <v>0.462390213093269</v>
      </c>
      <c r="T306">
        <v>3.9793177698675897</v>
      </c>
      <c r="U306">
        <v>0</v>
      </c>
      <c r="V306">
        <v>1.1304767209823818E-2</v>
      </c>
      <c r="W306">
        <v>0.1783791987272913</v>
      </c>
      <c r="X306">
        <v>2.7364864919193297E-2</v>
      </c>
      <c r="Y306">
        <v>8.902703693847892E-3</v>
      </c>
    </row>
    <row r="307" spans="1:25" x14ac:dyDescent="0.25">
      <c r="A307" s="1093"/>
      <c r="B307" s="1452">
        <v>57</v>
      </c>
      <c r="C307" s="1097">
        <v>1.010920329207899</v>
      </c>
      <c r="D307" s="1097">
        <v>0.99958040632399137</v>
      </c>
      <c r="E307" s="1097">
        <v>1.0152286201131822</v>
      </c>
      <c r="F307" s="1097">
        <v>0.97351006062144918</v>
      </c>
      <c r="G307" s="1097">
        <v>1.028018422646729</v>
      </c>
      <c r="H307" s="1097">
        <v>0.98807026257871611</v>
      </c>
      <c r="I307" s="1097">
        <v>0.97500313995935284</v>
      </c>
      <c r="K307">
        <v>5.0125309409413141</v>
      </c>
      <c r="L307">
        <v>0</v>
      </c>
      <c r="M307">
        <v>3.3328245052425915E-3</v>
      </c>
      <c r="N307">
        <v>0.30245305338347006</v>
      </c>
      <c r="O307">
        <v>0.14251529247447042</v>
      </c>
      <c r="P307">
        <v>1.9929636563676783E-2</v>
      </c>
      <c r="Q307">
        <v>1.3065811544084461E-3</v>
      </c>
      <c r="R307">
        <v>3.3270753895307454E-3</v>
      </c>
      <c r="S307">
        <v>0.43403494006938076</v>
      </c>
      <c r="T307">
        <v>3.8876400628134347</v>
      </c>
      <c r="U307">
        <v>0</v>
      </c>
      <c r="V307">
        <v>1.1304767209823817E-2</v>
      </c>
      <c r="W307">
        <v>0.17832326376951602</v>
      </c>
      <c r="X307">
        <v>2.5626523557838562E-2</v>
      </c>
      <c r="Y307">
        <v>9.4025690610036218E-3</v>
      </c>
    </row>
    <row r="308" spans="1:25" x14ac:dyDescent="0.25">
      <c r="A308" s="1093"/>
      <c r="B308" s="1452">
        <v>58</v>
      </c>
      <c r="C308" s="1097">
        <v>1.0022184855565675</v>
      </c>
      <c r="D308" s="1097">
        <v>1.0044736833959784</v>
      </c>
      <c r="E308" s="1097">
        <v>0.99078085162003948</v>
      </c>
      <c r="F308" s="1097">
        <v>0.99447659642302</v>
      </c>
      <c r="G308" s="1097">
        <v>0.97504874669744401</v>
      </c>
      <c r="H308" s="1097">
        <v>1.0116809966072227</v>
      </c>
      <c r="I308" s="1097">
        <v>0.98078304834020413</v>
      </c>
      <c r="K308">
        <v>5.1404317553561629</v>
      </c>
      <c r="L308">
        <v>0</v>
      </c>
      <c r="M308">
        <v>3.6947322997210644E-3</v>
      </c>
      <c r="N308">
        <v>0.31189548297367481</v>
      </c>
      <c r="O308">
        <v>0.14723619969250989</v>
      </c>
      <c r="P308">
        <v>2.0044472312788407E-2</v>
      </c>
      <c r="Q308">
        <v>1.2881317409608047E-3</v>
      </c>
      <c r="R308">
        <v>3.6886386526004994E-3</v>
      </c>
      <c r="S308">
        <v>0.45217255338976575</v>
      </c>
      <c r="T308">
        <v>3.9744165737814541</v>
      </c>
      <c r="U308">
        <v>0</v>
      </c>
      <c r="V308">
        <v>1.1304767209823811E-2</v>
      </c>
      <c r="W308">
        <v>0.18694796152593787</v>
      </c>
      <c r="X308">
        <v>2.4707331929878274E-2</v>
      </c>
      <c r="Y308">
        <v>1.0424374446488043E-2</v>
      </c>
    </row>
    <row r="309" spans="1:25" x14ac:dyDescent="0.25">
      <c r="A309" s="1093"/>
      <c r="B309" s="1452">
        <v>59</v>
      </c>
      <c r="C309" s="1097">
        <v>0.98659442448194945</v>
      </c>
      <c r="D309" s="1097">
        <v>1.0071447892985992</v>
      </c>
      <c r="E309" s="1097">
        <v>0.99289411025544216</v>
      </c>
      <c r="F309" s="1097">
        <v>1.0237711569288386</v>
      </c>
      <c r="G309" s="1097">
        <v>1.021402638592313</v>
      </c>
      <c r="H309" s="1097">
        <v>0.99385788982413426</v>
      </c>
      <c r="I309" s="1097">
        <v>0.99487398312671349</v>
      </c>
      <c r="K309">
        <v>5.3012406084067871</v>
      </c>
      <c r="L309">
        <v>0</v>
      </c>
      <c r="M309">
        <v>3.7747079384561275E-3</v>
      </c>
      <c r="N309">
        <v>0.3206553150301279</v>
      </c>
      <c r="O309">
        <v>0.15374941584405724</v>
      </c>
      <c r="P309">
        <v>2.0702351267565002E-2</v>
      </c>
      <c r="Q309">
        <v>1.3095236844579393E-3</v>
      </c>
      <c r="R309">
        <v>3.768551785617795E-3</v>
      </c>
      <c r="S309">
        <v>0.47375400320806549</v>
      </c>
      <c r="T309">
        <v>4.0912193408280109</v>
      </c>
      <c r="U309">
        <v>0</v>
      </c>
      <c r="V309">
        <v>1.1304767209823829E-2</v>
      </c>
      <c r="W309">
        <v>0.19192269864047456</v>
      </c>
      <c r="X309">
        <v>2.5979133785563872E-2</v>
      </c>
      <c r="Y309">
        <v>1.0650215061474008E-2</v>
      </c>
    </row>
    <row r="310" spans="1:25" x14ac:dyDescent="0.25">
      <c r="A310" s="1093"/>
      <c r="B310" s="1452">
        <v>60</v>
      </c>
      <c r="C310" s="1097">
        <v>1.0360873416740775</v>
      </c>
      <c r="D310" s="1097">
        <v>1.0031824038301016</v>
      </c>
      <c r="E310" s="1097">
        <v>0.99925012910967392</v>
      </c>
      <c r="F310" s="1097">
        <v>1.0149275813315954</v>
      </c>
      <c r="G310" s="1097">
        <v>1.0071248290252126</v>
      </c>
      <c r="H310" s="1097">
        <v>1.0127146432013969</v>
      </c>
      <c r="I310" s="1097">
        <v>1.0188071898861684</v>
      </c>
      <c r="K310">
        <v>5.2268823032773613</v>
      </c>
      <c r="L310">
        <v>0</v>
      </c>
      <c r="M310">
        <v>3.5884087557956461E-3</v>
      </c>
      <c r="N310">
        <v>0.3106314651547849</v>
      </c>
      <c r="O310">
        <v>0.14519623874821269</v>
      </c>
      <c r="P310">
        <v>2.058550630029049E-2</v>
      </c>
      <c r="Q310">
        <v>1.2557757955654059E-3</v>
      </c>
      <c r="R310">
        <v>3.5826154447309477E-3</v>
      </c>
      <c r="S310">
        <v>0.46249055385705407</v>
      </c>
      <c r="T310">
        <v>4.055067002609916</v>
      </c>
      <c r="U310">
        <v>0</v>
      </c>
      <c r="V310">
        <v>1.1304767209823803E-2</v>
      </c>
      <c r="W310">
        <v>0.1851239840070612</v>
      </c>
      <c r="X310">
        <v>2.5108058139159107E-2</v>
      </c>
      <c r="Y310">
        <v>1.0124744766559689E-2</v>
      </c>
    </row>
    <row r="311" spans="1:25" x14ac:dyDescent="0.25">
      <c r="A311" s="1093"/>
      <c r="B311" s="1452">
        <v>61</v>
      </c>
      <c r="C311" s="1097">
        <v>0.97812490414073716</v>
      </c>
      <c r="D311" s="1097">
        <v>0.99066019675088079</v>
      </c>
      <c r="E311" s="1097">
        <v>0.96442310757219385</v>
      </c>
      <c r="F311" s="1097">
        <v>0.99202397059381286</v>
      </c>
      <c r="G311" s="1097">
        <v>1.0048780769105792</v>
      </c>
      <c r="H311" s="1097">
        <v>0.98732977249532616</v>
      </c>
      <c r="I311" s="1097">
        <v>0.98585120839965312</v>
      </c>
      <c r="K311">
        <v>5.1409720666069987</v>
      </c>
      <c r="L311">
        <v>0</v>
      </c>
      <c r="M311">
        <v>3.9167546906556001E-3</v>
      </c>
      <c r="N311">
        <v>0.30574508817513724</v>
      </c>
      <c r="O311">
        <v>0.15207322662503897</v>
      </c>
      <c r="P311">
        <v>1.9658827678736224E-2</v>
      </c>
      <c r="Q311">
        <v>1.2971259982168684E-3</v>
      </c>
      <c r="R311">
        <v>3.9101192057708492E-3</v>
      </c>
      <c r="S311">
        <v>0.46144200038254146</v>
      </c>
      <c r="T311">
        <v>3.9679320166356167</v>
      </c>
      <c r="U311">
        <v>0</v>
      </c>
      <c r="V311">
        <v>1.1304767209823822E-2</v>
      </c>
      <c r="W311">
        <v>0.18660653101768801</v>
      </c>
      <c r="X311">
        <v>2.386882297009452E-2</v>
      </c>
      <c r="Y311">
        <v>1.1050295398987777E-2</v>
      </c>
    </row>
    <row r="312" spans="1:25" x14ac:dyDescent="0.25">
      <c r="A312" s="1093"/>
      <c r="B312" s="1452">
        <v>62</v>
      </c>
      <c r="C312" s="1097">
        <v>1.0306982259938913</v>
      </c>
      <c r="D312" s="1097">
        <v>0.99345505070077156</v>
      </c>
      <c r="E312" s="1097">
        <v>0.9736749158174105</v>
      </c>
      <c r="F312" s="1097">
        <v>0.9822247456704708</v>
      </c>
      <c r="G312" s="1097">
        <v>1.012337775989204</v>
      </c>
      <c r="H312" s="1097">
        <v>1.023927584763813</v>
      </c>
      <c r="I312" s="1097">
        <v>0.99008917964857035</v>
      </c>
      <c r="K312">
        <v>5.0600055700765632</v>
      </c>
      <c r="L312">
        <v>0</v>
      </c>
      <c r="M312">
        <v>3.7392320729253805E-3</v>
      </c>
      <c r="N312">
        <v>0.30003185780164732</v>
      </c>
      <c r="O312">
        <v>0.1424840290773994</v>
      </c>
      <c r="P312">
        <v>1.953397573513397E-2</v>
      </c>
      <c r="Q312">
        <v>1.2395607618988726E-3</v>
      </c>
      <c r="R312">
        <v>3.7330629169597864E-3</v>
      </c>
      <c r="S312">
        <v>0.44240312476117288</v>
      </c>
      <c r="T312">
        <v>3.9275792693020448</v>
      </c>
      <c r="U312">
        <v>0</v>
      </c>
      <c r="V312">
        <v>1.1304767209823815E-2</v>
      </c>
      <c r="W312">
        <v>0.18195382441022481</v>
      </c>
      <c r="X312">
        <v>2.2931409363981265E-2</v>
      </c>
      <c r="Y312">
        <v>1.0549920809199529E-2</v>
      </c>
    </row>
    <row r="313" spans="1:25" x14ac:dyDescent="0.25">
      <c r="A313" s="1093"/>
      <c r="B313" s="1452">
        <v>63</v>
      </c>
      <c r="C313" s="1097">
        <v>1.0034933900303524</v>
      </c>
      <c r="D313" s="1097">
        <v>1.0341541826545519</v>
      </c>
      <c r="E313" s="1097">
        <v>1.0116240934434291</v>
      </c>
      <c r="F313" s="1097">
        <v>0.98530324539328584</v>
      </c>
      <c r="G313" s="1097">
        <v>1.0148748740659519</v>
      </c>
      <c r="H313" s="1097">
        <v>1.0112635876834581</v>
      </c>
      <c r="I313" s="1097">
        <v>1.0095506380561119</v>
      </c>
      <c r="K313">
        <v>5.099079997340735</v>
      </c>
      <c r="L313">
        <v>0</v>
      </c>
      <c r="M313">
        <v>3.4570722575078374E-3</v>
      </c>
      <c r="N313">
        <v>0.31041754911335989</v>
      </c>
      <c r="O313">
        <v>0.14344346505042815</v>
      </c>
      <c r="P313">
        <v>2.0207320676949005E-2</v>
      </c>
      <c r="Q313">
        <v>1.2944985232750707E-3</v>
      </c>
      <c r="R313">
        <v>3.4513152087149467E-3</v>
      </c>
      <c r="S313">
        <v>0.45854529767941604</v>
      </c>
      <c r="T313">
        <v>3.9351783553203861</v>
      </c>
      <c r="U313">
        <v>0</v>
      </c>
      <c r="V313">
        <v>1.1304767209823803E-2</v>
      </c>
      <c r="W313">
        <v>0.18346141940911201</v>
      </c>
      <c r="X313">
        <v>2.5479401131498325E-2</v>
      </c>
      <c r="Y313">
        <v>9.7536802752796591E-3</v>
      </c>
    </row>
    <row r="314" spans="1:25" x14ac:dyDescent="0.25">
      <c r="A314" s="1093"/>
      <c r="B314" s="1452">
        <v>64</v>
      </c>
      <c r="C314" s="1097">
        <v>1.0227501884459937</v>
      </c>
      <c r="D314" s="1097">
        <v>1.0044467733282385</v>
      </c>
      <c r="E314" s="1097">
        <v>1.0157354192619445</v>
      </c>
      <c r="F314" s="1097">
        <v>0.97968479494156713</v>
      </c>
      <c r="G314" s="1097">
        <v>0.97873795358622262</v>
      </c>
      <c r="H314" s="1097">
        <v>0.99589167989337124</v>
      </c>
      <c r="I314" s="1097">
        <v>1.0046309198547025</v>
      </c>
      <c r="K314">
        <v>5.0479239553955129</v>
      </c>
      <c r="L314">
        <v>0</v>
      </c>
      <c r="M314">
        <v>3.3313253441876914E-3</v>
      </c>
      <c r="N314">
        <v>0.30277816744673947</v>
      </c>
      <c r="O314">
        <v>0.1414717290236564</v>
      </c>
      <c r="P314">
        <v>2.0102408286547423E-2</v>
      </c>
      <c r="Q314">
        <v>1.2895163726519181E-3</v>
      </c>
      <c r="R314">
        <v>3.3256598197232727E-3</v>
      </c>
      <c r="S314">
        <v>0.44537047219146164</v>
      </c>
      <c r="T314">
        <v>3.9122365229278917</v>
      </c>
      <c r="U314">
        <v>0</v>
      </c>
      <c r="V314">
        <v>1.1304767209823806E-2</v>
      </c>
      <c r="W314">
        <v>0.17845444856675399</v>
      </c>
      <c r="X314">
        <v>2.5523020341800699E-2</v>
      </c>
      <c r="Y314">
        <v>9.3985685526540644E-3</v>
      </c>
    </row>
    <row r="315" spans="1:25" x14ac:dyDescent="0.25">
      <c r="A315" s="1093"/>
      <c r="B315" s="1452">
        <v>65</v>
      </c>
      <c r="C315" s="1097">
        <v>0.98736287941026157</v>
      </c>
      <c r="D315" s="1097">
        <v>1.0158239425884221</v>
      </c>
      <c r="E315" s="1097">
        <v>0.99047889443724635</v>
      </c>
      <c r="F315" s="1097">
        <v>0.99331380249293322</v>
      </c>
      <c r="G315" s="1097">
        <v>1.0307754096049837</v>
      </c>
      <c r="H315" s="1097">
        <v>0.98478806339267133</v>
      </c>
      <c r="I315" s="1097">
        <v>0.98887544452701881</v>
      </c>
      <c r="K315">
        <v>5.1326796261982022</v>
      </c>
      <c r="L315">
        <v>0</v>
      </c>
      <c r="M315">
        <v>3.6323219767120688E-3</v>
      </c>
      <c r="N315">
        <v>0.30633820545830759</v>
      </c>
      <c r="O315">
        <v>0.14861570755115497</v>
      </c>
      <c r="P315">
        <v>2.0037785817488264E-2</v>
      </c>
      <c r="Q315">
        <v>1.3013103382131497E-3</v>
      </c>
      <c r="R315">
        <v>3.626160472822282E-3</v>
      </c>
      <c r="S315">
        <v>0.4563073636301721</v>
      </c>
      <c r="T315">
        <v>3.9698073024106209</v>
      </c>
      <c r="U315">
        <v>0</v>
      </c>
      <c r="V315">
        <v>1.130476720982381E-2</v>
      </c>
      <c r="W315">
        <v>0.18365468506825716</v>
      </c>
      <c r="X315">
        <v>2.5070853877598602E-2</v>
      </c>
      <c r="Y315">
        <v>1.0247806340451426E-2</v>
      </c>
    </row>
    <row r="316" spans="1:25" x14ac:dyDescent="0.25">
      <c r="A316" s="1093"/>
      <c r="B316" s="1452">
        <v>66</v>
      </c>
      <c r="C316" s="1097">
        <v>0.97312525790215798</v>
      </c>
      <c r="D316" s="1097">
        <v>1.0208274950638829</v>
      </c>
      <c r="E316" s="1097">
        <v>0.99247313037696094</v>
      </c>
      <c r="F316" s="1097">
        <v>1.0107288516471526</v>
      </c>
      <c r="G316" s="1097">
        <v>0.99001419211612507</v>
      </c>
      <c r="H316" s="1097">
        <v>0.99592662586784197</v>
      </c>
      <c r="I316" s="1097">
        <v>1.0120154421400627</v>
      </c>
      <c r="K316">
        <v>5.2554920873744546</v>
      </c>
      <c r="L316">
        <v>0</v>
      </c>
      <c r="M316">
        <v>3.7690993466819372E-3</v>
      </c>
      <c r="N316">
        <v>0.31977390195907884</v>
      </c>
      <c r="O316">
        <v>0.15307533628416711</v>
      </c>
      <c r="P316">
        <v>2.0499903097689405E-2</v>
      </c>
      <c r="Q316">
        <v>1.3200235151077783E-3</v>
      </c>
      <c r="R316">
        <v>3.7628860840171058E-3</v>
      </c>
      <c r="S316">
        <v>0.482496429377477</v>
      </c>
      <c r="T316">
        <v>4.0391529674278006</v>
      </c>
      <c r="U316">
        <v>0</v>
      </c>
      <c r="V316">
        <v>1.1304767209823824E-2</v>
      </c>
      <c r="W316">
        <v>0.1914498807227614</v>
      </c>
      <c r="X316">
        <v>2.5790887687015408E-2</v>
      </c>
      <c r="Y316">
        <v>1.0634203356194607E-2</v>
      </c>
    </row>
    <row r="317" spans="1:25" x14ac:dyDescent="0.25">
      <c r="A317" s="1093"/>
      <c r="B317" s="1452">
        <v>67</v>
      </c>
      <c r="C317" s="1097">
        <v>1.0036041665449187</v>
      </c>
      <c r="D317" s="1097">
        <v>0.961971305945032</v>
      </c>
      <c r="E317" s="1097">
        <v>1.0056789284176906</v>
      </c>
      <c r="F317" s="1097">
        <v>0.99706834052461957</v>
      </c>
      <c r="G317" s="1097">
        <v>1.0345359587474154</v>
      </c>
      <c r="H317" s="1097">
        <v>1.0185240676860399</v>
      </c>
      <c r="I317" s="1097">
        <v>1.0134225946571898</v>
      </c>
      <c r="K317">
        <v>5.1910002173053282</v>
      </c>
      <c r="L317">
        <v>0</v>
      </c>
      <c r="M317">
        <v>3.672212031229014E-3</v>
      </c>
      <c r="N317">
        <v>0.32399168529307459</v>
      </c>
      <c r="O317">
        <v>0.14956923896023033</v>
      </c>
      <c r="P317">
        <v>2.0402500653469123E-2</v>
      </c>
      <c r="Q317">
        <v>1.3256296604593947E-3</v>
      </c>
      <c r="R317">
        <v>3.6662118289243744E-3</v>
      </c>
      <c r="S317">
        <v>0.47296631925309757</v>
      </c>
      <c r="T317">
        <v>3.982907890742013</v>
      </c>
      <c r="U317">
        <v>0</v>
      </c>
      <c r="V317">
        <v>1.130476720982381E-2</v>
      </c>
      <c r="W317">
        <v>0.19225038679559536</v>
      </c>
      <c r="X317">
        <v>2.5926804409297208E-2</v>
      </c>
      <c r="Y317">
        <v>1.0360994530572322E-2</v>
      </c>
    </row>
    <row r="318" spans="1:25" x14ac:dyDescent="0.25">
      <c r="A318" s="1093"/>
      <c r="B318" s="1452">
        <v>68</v>
      </c>
      <c r="C318" s="1097">
        <v>1.0123422970325893</v>
      </c>
      <c r="D318" s="1097">
        <v>0.9772413773283396</v>
      </c>
      <c r="E318" s="1097">
        <v>0.98951233252425841</v>
      </c>
      <c r="F318" s="1097">
        <v>0.98556558418499618</v>
      </c>
      <c r="G318" s="1097">
        <v>1.0278102389558443</v>
      </c>
      <c r="H318" s="1097">
        <v>1.0171209277427005</v>
      </c>
      <c r="I318" s="1097">
        <v>1.0109882074239465</v>
      </c>
      <c r="K318">
        <v>5.1110099271015805</v>
      </c>
      <c r="L318">
        <v>0</v>
      </c>
      <c r="M318">
        <v>3.6946865738155467E-3</v>
      </c>
      <c r="N318">
        <v>0.31071883896934932</v>
      </c>
      <c r="O318">
        <v>0.14608929722744421</v>
      </c>
      <c r="P318">
        <v>1.9907509812045292E-2</v>
      </c>
      <c r="Q318">
        <v>1.287937753959377E-3</v>
      </c>
      <c r="R318">
        <v>3.6885708845112546E-3</v>
      </c>
      <c r="S318">
        <v>0.46150749206068814</v>
      </c>
      <c r="T318">
        <v>3.9389614891498961</v>
      </c>
      <c r="U318">
        <v>0</v>
      </c>
      <c r="V318">
        <v>1.1304767209823811E-2</v>
      </c>
      <c r="W318">
        <v>0.18640350815034454</v>
      </c>
      <c r="X318">
        <v>2.4411019528641595E-2</v>
      </c>
      <c r="Y318">
        <v>1.0424182928693987E-2</v>
      </c>
    </row>
    <row r="319" spans="1:25" x14ac:dyDescent="0.25">
      <c r="A319" s="1093"/>
      <c r="B319" s="1452">
        <v>69</v>
      </c>
      <c r="C319" s="1097">
        <v>1.0355644235636103</v>
      </c>
      <c r="D319" s="1097">
        <v>0.982845295351221</v>
      </c>
      <c r="E319" s="1097">
        <v>1.0218769684902882</v>
      </c>
      <c r="F319" s="1097">
        <v>1.00747929177295</v>
      </c>
      <c r="G319" s="1097">
        <v>0.97472850757911356</v>
      </c>
      <c r="H319" s="1097">
        <v>0.98203901621442902</v>
      </c>
      <c r="I319" s="1097">
        <v>0.99467074188368887</v>
      </c>
      <c r="K319">
        <v>5.1696391486388587</v>
      </c>
      <c r="L319">
        <v>0</v>
      </c>
      <c r="M319">
        <v>3.3219962193524952E-3</v>
      </c>
      <c r="N319">
        <v>0.30747429330129411</v>
      </c>
      <c r="O319">
        <v>0.14477259652016325</v>
      </c>
      <c r="P319">
        <v>2.0701761883137777E-2</v>
      </c>
      <c r="Q319">
        <v>1.2913821595053083E-3</v>
      </c>
      <c r="R319">
        <v>3.3164246685028101E-3</v>
      </c>
      <c r="S319">
        <v>0.44519584874233087</v>
      </c>
      <c r="T319">
        <v>4.0224600598357432</v>
      </c>
      <c r="U319">
        <v>0</v>
      </c>
      <c r="V319">
        <v>1.1304767209823817E-2</v>
      </c>
      <c r="W319">
        <v>0.1804810949031897</v>
      </c>
      <c r="X319">
        <v>2.6590446324281061E-2</v>
      </c>
      <c r="Y319">
        <v>9.3724693102345946E-3</v>
      </c>
    </row>
    <row r="320" spans="1:25" x14ac:dyDescent="0.25">
      <c r="A320" s="1093"/>
      <c r="B320" s="1452">
        <v>70</v>
      </c>
      <c r="C320" s="1097">
        <v>0.98802482569199512</v>
      </c>
      <c r="D320" s="1097">
        <v>1.0173733851020241</v>
      </c>
      <c r="E320" s="1097">
        <v>0.9720284087578196</v>
      </c>
      <c r="F320" s="1097">
        <v>0.96619804535622278</v>
      </c>
      <c r="G320" s="1097">
        <v>0.99256630215491914</v>
      </c>
      <c r="H320" s="1097">
        <v>1.0122164830303073</v>
      </c>
      <c r="I320" s="1097">
        <v>1.0067394777018857</v>
      </c>
      <c r="K320">
        <v>5.0165482550527196</v>
      </c>
      <c r="L320">
        <v>0</v>
      </c>
      <c r="M320">
        <v>3.7703728025847896E-3</v>
      </c>
      <c r="N320">
        <v>0.30104119336029983</v>
      </c>
      <c r="O320">
        <v>0.14487239262266297</v>
      </c>
      <c r="P320">
        <v>1.9296733270951744E-2</v>
      </c>
      <c r="Q320">
        <v>1.2790133789189011E-3</v>
      </c>
      <c r="R320">
        <v>3.763976102201153E-3</v>
      </c>
      <c r="S320">
        <v>0.45851644674655473</v>
      </c>
      <c r="T320">
        <v>3.8636962765512481</v>
      </c>
      <c r="U320">
        <v>0</v>
      </c>
      <c r="V320">
        <v>1.1304767209823829E-2</v>
      </c>
      <c r="W320">
        <v>0.18277300680638381</v>
      </c>
      <c r="X320">
        <v>2.3137537975450758E-2</v>
      </c>
      <c r="Y320">
        <v>1.063728383080167E-2</v>
      </c>
    </row>
    <row r="321" spans="1:25" x14ac:dyDescent="0.25">
      <c r="A321" s="1093"/>
      <c r="B321" s="1452">
        <v>71</v>
      </c>
      <c r="C321" s="1097">
        <v>0.9930660687107058</v>
      </c>
      <c r="D321" s="1097">
        <v>0.96203508128651438</v>
      </c>
      <c r="E321" s="1097">
        <v>1.0046595747252598</v>
      </c>
      <c r="F321" s="1097">
        <v>1.0215975240880648</v>
      </c>
      <c r="G321" s="1097">
        <v>1.0110714175197384</v>
      </c>
      <c r="H321" s="1097">
        <v>1.0327176881986255</v>
      </c>
      <c r="I321" s="1097">
        <v>0.98616459574109971</v>
      </c>
      <c r="K321">
        <v>5.3259780776276324</v>
      </c>
      <c r="L321">
        <v>0</v>
      </c>
      <c r="M321">
        <v>3.8635047860766077E-3</v>
      </c>
      <c r="N321">
        <v>0.33986226072725767</v>
      </c>
      <c r="O321">
        <v>0.15490060496979957</v>
      </c>
      <c r="P321">
        <v>2.0855158793470004E-2</v>
      </c>
      <c r="Q321">
        <v>1.3384952881367279E-3</v>
      </c>
      <c r="R321">
        <v>3.8574280310607928E-3</v>
      </c>
      <c r="S321">
        <v>0.47741970139306722</v>
      </c>
      <c r="T321">
        <v>4.0810230562304515</v>
      </c>
      <c r="U321">
        <v>0</v>
      </c>
      <c r="V321">
        <v>1.1304767209823815E-2</v>
      </c>
      <c r="W321">
        <v>0.20180617999227565</v>
      </c>
      <c r="X321">
        <v>2.6572543661890709E-2</v>
      </c>
      <c r="Y321">
        <v>1.0901386116476269E-2</v>
      </c>
    </row>
    <row r="322" spans="1:25" x14ac:dyDescent="0.25">
      <c r="A322" s="1093"/>
      <c r="B322" s="1452">
        <v>72</v>
      </c>
      <c r="C322" s="1097">
        <v>0.99891850362251322</v>
      </c>
      <c r="D322" s="1097">
        <v>1.0118536259898234</v>
      </c>
      <c r="E322" s="1097">
        <v>0.99015202394786339</v>
      </c>
      <c r="F322" s="1097">
        <v>1.0138286726150729</v>
      </c>
      <c r="G322" s="1097">
        <v>1.011139431319469</v>
      </c>
      <c r="H322" s="1097">
        <v>1.0128223231355045</v>
      </c>
      <c r="I322" s="1097">
        <v>0.99666495716314352</v>
      </c>
      <c r="K322">
        <v>5.2480609183450264</v>
      </c>
      <c r="L322">
        <v>0</v>
      </c>
      <c r="M322">
        <v>3.7771461373233219E-3</v>
      </c>
      <c r="N322">
        <v>0.31826920171593465</v>
      </c>
      <c r="O322">
        <v>0.15017457988417435</v>
      </c>
      <c r="P322">
        <v>2.0456335752905022E-2</v>
      </c>
      <c r="Q322">
        <v>1.2879099647630126E-3</v>
      </c>
      <c r="R322">
        <v>3.7710421690337671E-3</v>
      </c>
      <c r="S322">
        <v>0.46807945290611519</v>
      </c>
      <c r="T322">
        <v>4.0518373697432963</v>
      </c>
      <c r="U322">
        <v>0</v>
      </c>
      <c r="V322">
        <v>1.130476720982383E-2</v>
      </c>
      <c r="W322">
        <v>0.19084994616973619</v>
      </c>
      <c r="X322">
        <v>2.5150205891420838E-2</v>
      </c>
      <c r="Y322">
        <v>1.0657253075139324E-2</v>
      </c>
    </row>
    <row r="323" spans="1:25" x14ac:dyDescent="0.25">
      <c r="A323" s="1093"/>
      <c r="B323" s="1452">
        <v>73</v>
      </c>
      <c r="C323" s="1097">
        <v>1.0233198558678602</v>
      </c>
      <c r="D323" s="1097">
        <v>0.98911752050791746</v>
      </c>
      <c r="E323" s="1097">
        <v>1.0329187366734385</v>
      </c>
      <c r="F323" s="1097">
        <v>1.0089967203283312</v>
      </c>
      <c r="G323" s="1097">
        <v>1.0088940708947496</v>
      </c>
      <c r="H323" s="1097">
        <v>0.9762558314222225</v>
      </c>
      <c r="I323" s="1097">
        <v>1.0061998373905352</v>
      </c>
      <c r="K323">
        <v>5.1917347764836244</v>
      </c>
      <c r="L323">
        <v>0</v>
      </c>
      <c r="M323">
        <v>3.2614177087122004E-3</v>
      </c>
      <c r="N323">
        <v>0.31188367050223686</v>
      </c>
      <c r="O323">
        <v>0.1460481995191803</v>
      </c>
      <c r="P323">
        <v>2.0934715108735392E-2</v>
      </c>
      <c r="Q323">
        <v>1.3156924364352274E-3</v>
      </c>
      <c r="R323">
        <v>3.2559236165476384E-3</v>
      </c>
      <c r="S323">
        <v>0.45467024497583164</v>
      </c>
      <c r="T323">
        <v>4.0271378465404464</v>
      </c>
      <c r="U323">
        <v>0</v>
      </c>
      <c r="V323">
        <v>1.1304767209823829E-2</v>
      </c>
      <c r="W323">
        <v>0.18173306430532041</v>
      </c>
      <c r="X323">
        <v>2.7510581259401916E-2</v>
      </c>
      <c r="Y323">
        <v>9.2014887183724716E-3</v>
      </c>
    </row>
    <row r="324" spans="1:25" x14ac:dyDescent="0.25">
      <c r="A324" s="1093"/>
      <c r="B324" s="1452">
        <v>74</v>
      </c>
      <c r="C324" s="1097">
        <v>1.012367801343919</v>
      </c>
      <c r="D324" s="1097">
        <v>1.0124050519271042</v>
      </c>
      <c r="E324" s="1097">
        <v>0.985290873706274</v>
      </c>
      <c r="F324" s="1097">
        <v>1.0159531787541185</v>
      </c>
      <c r="G324" s="1097">
        <v>0.96190160988883644</v>
      </c>
      <c r="H324" s="1097">
        <v>0.98284540400675813</v>
      </c>
      <c r="I324" s="1097">
        <v>1.0269487067046534</v>
      </c>
      <c r="K324">
        <v>5.2356546183216413</v>
      </c>
      <c r="L324">
        <v>0</v>
      </c>
      <c r="M324">
        <v>3.6606476368853101E-3</v>
      </c>
      <c r="N324">
        <v>0.30402395887129219</v>
      </c>
      <c r="O324">
        <v>0.14859275204971603</v>
      </c>
      <c r="P324">
        <v>2.0435299395112964E-2</v>
      </c>
      <c r="Q324">
        <v>1.2651995926349342E-3</v>
      </c>
      <c r="R324">
        <v>3.6545642305735892E-3</v>
      </c>
      <c r="S324">
        <v>0.47092382929659438</v>
      </c>
      <c r="T324">
        <v>4.0609517502939037</v>
      </c>
      <c r="U324">
        <v>0</v>
      </c>
      <c r="V324">
        <v>1.1304767209823824E-2</v>
      </c>
      <c r="W324">
        <v>0.18291279222987161</v>
      </c>
      <c r="X324">
        <v>2.492227526061961E-2</v>
      </c>
      <c r="Y324">
        <v>1.0328077528380939E-2</v>
      </c>
    </row>
    <row r="325" spans="1:25" x14ac:dyDescent="0.25">
      <c r="A325" s="1093"/>
      <c r="B325" s="1452">
        <v>75</v>
      </c>
      <c r="C325" s="1097">
        <v>0.99736177327551601</v>
      </c>
      <c r="D325" s="1097">
        <v>1.0087845084940006</v>
      </c>
      <c r="E325" s="1097">
        <v>0.9967015389667877</v>
      </c>
      <c r="F325" s="1097">
        <v>0.98442928217580961</v>
      </c>
      <c r="G325" s="1097">
        <v>0.99942455741292258</v>
      </c>
      <c r="H325" s="1097">
        <v>0.99263803041068688</v>
      </c>
      <c r="I325" s="1097">
        <v>0.99611692385515815</v>
      </c>
      <c r="K325">
        <v>5.0886279132899146</v>
      </c>
      <c r="L325">
        <v>0</v>
      </c>
      <c r="M325">
        <v>3.555360472052055E-3</v>
      </c>
      <c r="N325">
        <v>0.30542937123477354</v>
      </c>
      <c r="O325">
        <v>0.14604564662366765</v>
      </c>
      <c r="P325">
        <v>1.9955030762166207E-2</v>
      </c>
      <c r="Q325">
        <v>1.2987888143611757E-3</v>
      </c>
      <c r="R325">
        <v>3.5493233036073303E-3</v>
      </c>
      <c r="S325">
        <v>0.45368635570274418</v>
      </c>
      <c r="T325">
        <v>3.9335286371920004</v>
      </c>
      <c r="U325">
        <v>0</v>
      </c>
      <c r="V325">
        <v>1.1304767209823827E-2</v>
      </c>
      <c r="W325">
        <v>0.18233798591160294</v>
      </c>
      <c r="X325">
        <v>2.5016708373204636E-2</v>
      </c>
      <c r="Y325">
        <v>1.003065863400961E-2</v>
      </c>
    </row>
    <row r="326" spans="1:25" x14ac:dyDescent="0.25">
      <c r="A326" s="1093"/>
      <c r="B326" s="1452">
        <v>76</v>
      </c>
      <c r="C326" s="1097">
        <v>1.0164714226876677</v>
      </c>
      <c r="D326" s="1097">
        <v>0.98887629498461127</v>
      </c>
      <c r="E326" s="1097">
        <v>0.96879702786470212</v>
      </c>
      <c r="F326" s="1097">
        <v>0.99371683060873328</v>
      </c>
      <c r="G326" s="1097">
        <v>0.96870577484443998</v>
      </c>
      <c r="H326" s="1097">
        <v>1.0007602046341999</v>
      </c>
      <c r="I326" s="1097">
        <v>1.0247455754577828</v>
      </c>
      <c r="K326">
        <v>5.134752900537257</v>
      </c>
      <c r="L326">
        <v>0</v>
      </c>
      <c r="M326">
        <v>3.7946035529734775E-3</v>
      </c>
      <c r="N326">
        <v>0.30009099396994943</v>
      </c>
      <c r="O326">
        <v>0.14657224384719</v>
      </c>
      <c r="P326">
        <v>1.9768031585765188E-2</v>
      </c>
      <c r="Q326">
        <v>1.2538843278029389E-3</v>
      </c>
      <c r="R326">
        <v>3.7882720667650701E-3</v>
      </c>
      <c r="S326">
        <v>0.46490674211765881</v>
      </c>
      <c r="T326">
        <v>3.9741489473989113</v>
      </c>
      <c r="U326">
        <v>0</v>
      </c>
      <c r="V326">
        <v>1.1304767209823824E-2</v>
      </c>
      <c r="W326">
        <v>0.18260257590338444</v>
      </c>
      <c r="X326">
        <v>2.3405099581403809E-2</v>
      </c>
      <c r="Y326">
        <v>1.0705946081568447E-2</v>
      </c>
    </row>
    <row r="327" spans="1:25" x14ac:dyDescent="0.25">
      <c r="A327" s="1093"/>
      <c r="B327" s="1452">
        <v>77</v>
      </c>
      <c r="C327" s="1097">
        <v>1.0104354931173132</v>
      </c>
      <c r="D327" s="1097">
        <v>0.98757456994594728</v>
      </c>
      <c r="E327" s="1097">
        <v>1.0397846533007062</v>
      </c>
      <c r="F327" s="1097">
        <v>1.0411259537446389</v>
      </c>
      <c r="G327" s="1097">
        <v>1.0469476517694165</v>
      </c>
      <c r="H327" s="1097">
        <v>0.96742366677949299</v>
      </c>
      <c r="I327" s="1097">
        <v>1.0175307007336423</v>
      </c>
      <c r="K327">
        <v>5.3699473394369672</v>
      </c>
      <c r="L327">
        <v>0</v>
      </c>
      <c r="M327">
        <v>3.3305116244588132E-3</v>
      </c>
      <c r="N327">
        <v>0.32503085102085366</v>
      </c>
      <c r="O327">
        <v>0.15251775681173621</v>
      </c>
      <c r="P327">
        <v>2.1737096794071736E-2</v>
      </c>
      <c r="Q327">
        <v>1.3409904605834418E-3</v>
      </c>
      <c r="R327">
        <v>3.3250243595627249E-3</v>
      </c>
      <c r="S327">
        <v>0.47645758570210983</v>
      </c>
      <c r="T327">
        <v>4.154490944072541</v>
      </c>
      <c r="U327">
        <v>0</v>
      </c>
      <c r="V327">
        <v>1.1304767209823808E-2</v>
      </c>
      <c r="W327">
        <v>0.18853823288890872</v>
      </c>
      <c r="X327">
        <v>2.9137829047510336E-2</v>
      </c>
      <c r="Y327">
        <v>9.3967726937252694E-3</v>
      </c>
    </row>
    <row r="328" spans="1:25" x14ac:dyDescent="0.25">
      <c r="A328" s="1093"/>
      <c r="B328" s="1452">
        <v>78</v>
      </c>
      <c r="C328" s="1097">
        <v>1.0197560535736452</v>
      </c>
      <c r="D328" s="1097">
        <v>0.97515984837465497</v>
      </c>
      <c r="E328" s="1097">
        <v>0.99243693283676826</v>
      </c>
      <c r="F328" s="1097">
        <v>0.98885207674352527</v>
      </c>
      <c r="G328" s="1097">
        <v>1.0080031861278744</v>
      </c>
      <c r="H328" s="1097">
        <v>0.98836012724792865</v>
      </c>
      <c r="I328" s="1097">
        <v>0.98072400435310503</v>
      </c>
      <c r="K328">
        <v>5.0876419284825189</v>
      </c>
      <c r="L328">
        <v>0</v>
      </c>
      <c r="M328">
        <v>3.5570833211713694E-3</v>
      </c>
      <c r="N328">
        <v>0.30173897790200638</v>
      </c>
      <c r="O328">
        <v>0.14555526031828458</v>
      </c>
      <c r="P328">
        <v>1.9914900410974583E-2</v>
      </c>
      <c r="Q328">
        <v>1.2828952646817234E-3</v>
      </c>
      <c r="R328">
        <v>3.5510441706673142E-3</v>
      </c>
      <c r="S328">
        <v>0.44069035792643801</v>
      </c>
      <c r="T328">
        <v>3.9517318141061866</v>
      </c>
      <c r="U328">
        <v>0</v>
      </c>
      <c r="V328">
        <v>1.130476720982381E-2</v>
      </c>
      <c r="W328">
        <v>0.18065674385409902</v>
      </c>
      <c r="X328">
        <v>2.4736728704827616E-2</v>
      </c>
      <c r="Y328">
        <v>1.0035521935703113E-2</v>
      </c>
    </row>
    <row r="329" spans="1:25" x14ac:dyDescent="0.25">
      <c r="A329" s="1093"/>
      <c r="B329" s="1452">
        <v>79</v>
      </c>
      <c r="C329" s="1097">
        <v>1.0232475726260779</v>
      </c>
      <c r="D329" s="1097">
        <v>1.0055265815236485</v>
      </c>
      <c r="E329" s="1097">
        <v>1.031356434875272</v>
      </c>
      <c r="F329" s="1097">
        <v>0.97853367879258546</v>
      </c>
      <c r="G329" s="1097">
        <v>0.96977897410717417</v>
      </c>
      <c r="H329" s="1097">
        <v>0.99221867474029035</v>
      </c>
      <c r="I329" s="1097">
        <v>1.0036914318427073</v>
      </c>
      <c r="K329">
        <v>5.0413264187625382</v>
      </c>
      <c r="L329">
        <v>0</v>
      </c>
      <c r="M329">
        <v>3.2045472707583496E-3</v>
      </c>
      <c r="N329">
        <v>0.30502587501580802</v>
      </c>
      <c r="O329">
        <v>0.14076112341541508</v>
      </c>
      <c r="P329">
        <v>2.0294289562268374E-2</v>
      </c>
      <c r="Q329">
        <v>1.3054403410093915E-3</v>
      </c>
      <c r="R329">
        <v>3.1990707569777583E-3</v>
      </c>
      <c r="S329">
        <v>0.44354791153966483</v>
      </c>
      <c r="T329">
        <v>3.9057418706456812</v>
      </c>
      <c r="U329">
        <v>0</v>
      </c>
      <c r="V329">
        <v>1.1304767209823829E-2</v>
      </c>
      <c r="W329">
        <v>0.1779207999657334</v>
      </c>
      <c r="X329">
        <v>2.6388999384192972E-2</v>
      </c>
      <c r="Y329">
        <v>9.040818196717499E-3</v>
      </c>
    </row>
    <row r="330" spans="1:25" x14ac:dyDescent="0.25">
      <c r="A330" s="1093"/>
      <c r="B330" s="1452">
        <v>80</v>
      </c>
      <c r="C330" s="1097">
        <v>1.0043811480631115</v>
      </c>
      <c r="D330" s="1097">
        <v>0.98300655001287318</v>
      </c>
      <c r="E330" s="1097">
        <v>1.0423369737265744</v>
      </c>
      <c r="F330" s="1097">
        <v>1.0184002773494936</v>
      </c>
      <c r="G330" s="1097">
        <v>1.006882186267638</v>
      </c>
      <c r="H330" s="1097">
        <v>1.0183155405106781</v>
      </c>
      <c r="I330" s="1097">
        <v>1.0099374447689815</v>
      </c>
      <c r="K330">
        <v>5.2971424699133376</v>
      </c>
      <c r="L330">
        <v>0</v>
      </c>
      <c r="M330">
        <v>3.4377473719110208E-3</v>
      </c>
      <c r="N330">
        <v>0.3380512932228173</v>
      </c>
      <c r="O330">
        <v>0.15029394704572249</v>
      </c>
      <c r="P330">
        <v>2.135399356753313E-2</v>
      </c>
      <c r="Q330">
        <v>1.3544616393472739E-3</v>
      </c>
      <c r="R330">
        <v>3.4322466133365169E-3</v>
      </c>
      <c r="S330">
        <v>0.47728026232507031</v>
      </c>
      <c r="T330">
        <v>4.063486792766847</v>
      </c>
      <c r="U330">
        <v>0</v>
      </c>
      <c r="V330">
        <v>1.1304767209823803E-2</v>
      </c>
      <c r="W330">
        <v>0.19576216052038481</v>
      </c>
      <c r="X330">
        <v>2.856050140544877E-2</v>
      </c>
      <c r="Y330">
        <v>9.6997909689218315E-3</v>
      </c>
    </row>
    <row r="331" spans="1:25" x14ac:dyDescent="0.25">
      <c r="A331" s="1093"/>
      <c r="B331" s="1452">
        <v>81</v>
      </c>
      <c r="C331" s="1097">
        <v>1.0119974004074364</v>
      </c>
      <c r="D331" s="1097">
        <v>1.0130464579360239</v>
      </c>
      <c r="E331" s="1097">
        <v>0.97977805766632853</v>
      </c>
      <c r="F331" s="1097">
        <v>0.97825735583372275</v>
      </c>
      <c r="G331" s="1097">
        <v>0.97159584149851907</v>
      </c>
      <c r="H331" s="1097">
        <v>0.99551233289235375</v>
      </c>
      <c r="I331" s="1097">
        <v>0.99698974348893155</v>
      </c>
      <c r="K331">
        <v>5.0388112794530659</v>
      </c>
      <c r="L331">
        <v>0</v>
      </c>
      <c r="M331">
        <v>3.6124615521916374E-3</v>
      </c>
      <c r="N331">
        <v>0.29514252321360002</v>
      </c>
      <c r="O331">
        <v>0.14324299562097675</v>
      </c>
      <c r="P331">
        <v>1.9563579906980072E-2</v>
      </c>
      <c r="Q331">
        <v>1.259311246936796E-3</v>
      </c>
      <c r="R331">
        <v>3.6063066106058711E-3</v>
      </c>
      <c r="S331">
        <v>0.44531906137160648</v>
      </c>
      <c r="T331">
        <v>3.9109572594968074</v>
      </c>
      <c r="U331">
        <v>0</v>
      </c>
      <c r="V331">
        <v>1.130476720982382E-2</v>
      </c>
      <c r="W331">
        <v>0.17824015773233842</v>
      </c>
      <c r="X331">
        <v>2.3596080785523974E-2</v>
      </c>
      <c r="Y331">
        <v>1.0191697810057172E-2</v>
      </c>
    </row>
    <row r="332" spans="1:25" x14ac:dyDescent="0.25">
      <c r="A332" s="1093"/>
      <c r="B332" s="1452">
        <v>82</v>
      </c>
      <c r="C332" s="1097">
        <v>0.99208456987350424</v>
      </c>
      <c r="D332" s="1097">
        <v>0.99649280936400142</v>
      </c>
      <c r="E332" s="1097">
        <v>0.95775205504638461</v>
      </c>
      <c r="F332" s="1097">
        <v>1.0033443201641581</v>
      </c>
      <c r="G332" s="1097">
        <v>0.96886898758811379</v>
      </c>
      <c r="H332" s="1097">
        <v>0.95396941932088608</v>
      </c>
      <c r="I332" s="1097">
        <v>1.0341535611528452</v>
      </c>
      <c r="K332">
        <v>5.1784885424131826</v>
      </c>
      <c r="L332">
        <v>0</v>
      </c>
      <c r="M332">
        <v>3.8177518429697321E-3</v>
      </c>
      <c r="N332">
        <v>0.29215580193119861</v>
      </c>
      <c r="O332">
        <v>0.15147650549826835</v>
      </c>
      <c r="P332">
        <v>1.9819318704942371E-2</v>
      </c>
      <c r="Q332">
        <v>1.2684183548421898E-3</v>
      </c>
      <c r="R332">
        <v>3.811133303952496E-3</v>
      </c>
      <c r="S332">
        <v>0.47468709509863749</v>
      </c>
      <c r="T332">
        <v>4.0140671933218952</v>
      </c>
      <c r="U332">
        <v>0</v>
      </c>
      <c r="V332">
        <v>1.1304767209823811E-2</v>
      </c>
      <c r="W332">
        <v>0.17914003608402571</v>
      </c>
      <c r="X332">
        <v>2.3805471065331506E-2</v>
      </c>
      <c r="Y332">
        <v>1.0770553683233007E-2</v>
      </c>
    </row>
    <row r="333" spans="1:25" x14ac:dyDescent="0.25">
      <c r="A333" s="1093"/>
      <c r="B333" s="1452">
        <v>83</v>
      </c>
      <c r="C333" s="1097">
        <v>1.0431322519790145</v>
      </c>
      <c r="D333" s="1097">
        <v>1.0421206892534445</v>
      </c>
      <c r="E333" s="1097">
        <v>0.99514218170766111</v>
      </c>
      <c r="F333" s="1097">
        <v>0.98612074975902952</v>
      </c>
      <c r="G333" s="1097">
        <v>0.96203068739766928</v>
      </c>
      <c r="H333" s="1097">
        <v>0.99426008631040963</v>
      </c>
      <c r="I333" s="1097">
        <v>1.0015021856006434</v>
      </c>
      <c r="K333">
        <v>5.0401710645467581</v>
      </c>
      <c r="L333">
        <v>0</v>
      </c>
      <c r="M333">
        <v>3.3777525484447045E-3</v>
      </c>
      <c r="N333">
        <v>0.2888353016422136</v>
      </c>
      <c r="O333">
        <v>0.1381104732458229</v>
      </c>
      <c r="P333">
        <v>1.9875348238926189E-2</v>
      </c>
      <c r="Q333">
        <v>1.2241147526486232E-3</v>
      </c>
      <c r="R333">
        <v>3.3720361292275485E-3</v>
      </c>
      <c r="S333">
        <v>0.43429167269590341</v>
      </c>
      <c r="T333">
        <v>3.9404807455772421</v>
      </c>
      <c r="U333">
        <v>0</v>
      </c>
      <c r="V333">
        <v>1.1304767209823824E-2</v>
      </c>
      <c r="W333">
        <v>0.17261383910242978</v>
      </c>
      <c r="X333">
        <v>2.3910886956983173E-2</v>
      </c>
      <c r="Y333">
        <v>9.5296315439768863E-3</v>
      </c>
    </row>
    <row r="334" spans="1:25" x14ac:dyDescent="0.25">
      <c r="A334" s="1093"/>
      <c r="B334" s="1452">
        <v>84</v>
      </c>
      <c r="C334" s="1097">
        <v>1.0141812243641029</v>
      </c>
      <c r="D334" s="1097">
        <v>1.0306570214105912</v>
      </c>
      <c r="E334" s="1097">
        <v>1.0098442818414028</v>
      </c>
      <c r="F334" s="1097">
        <v>0.95722964711018388</v>
      </c>
      <c r="G334" s="1097">
        <v>1.0316455425430935</v>
      </c>
      <c r="H334" s="1097">
        <v>1.0009398028767365</v>
      </c>
      <c r="I334" s="1097">
        <v>1.0058599562048893</v>
      </c>
      <c r="K334">
        <v>4.9371902204677065</v>
      </c>
      <c r="L334">
        <v>0</v>
      </c>
      <c r="M334">
        <v>3.3062646607906281E-3</v>
      </c>
      <c r="N334">
        <v>0.29529635316308278</v>
      </c>
      <c r="O334">
        <v>0.13812099669048855</v>
      </c>
      <c r="P334">
        <v>1.9581836788844436E-2</v>
      </c>
      <c r="Q334">
        <v>1.2806516451977351E-3</v>
      </c>
      <c r="R334">
        <v>3.3005391030083791E-3</v>
      </c>
      <c r="S334">
        <v>0.43972034471617694</v>
      </c>
      <c r="T334">
        <v>3.823268724106609</v>
      </c>
      <c r="U334">
        <v>0</v>
      </c>
      <c r="V334">
        <v>1.1304767209823804E-2</v>
      </c>
      <c r="W334">
        <v>0.17473310985698759</v>
      </c>
      <c r="X334">
        <v>2.4561586358937737E-2</v>
      </c>
      <c r="Y334">
        <v>9.32757548934178E-3</v>
      </c>
    </row>
    <row r="335" spans="1:25" x14ac:dyDescent="0.25">
      <c r="A335" s="1093"/>
      <c r="B335" s="1452">
        <v>85</v>
      </c>
      <c r="C335" s="1097">
        <v>1.0154961313216124</v>
      </c>
      <c r="D335" s="1097">
        <v>1.0004466565744463</v>
      </c>
      <c r="E335" s="1097">
        <v>0.95911888083474883</v>
      </c>
      <c r="F335" s="1097">
        <v>1.0002708529067927</v>
      </c>
      <c r="G335" s="1097">
        <v>0.99763466316923299</v>
      </c>
      <c r="H335" s="1097">
        <v>0.98501337427527014</v>
      </c>
      <c r="I335" s="1097">
        <v>0.99005411723151793</v>
      </c>
      <c r="K335">
        <v>5.1367090264887469</v>
      </c>
      <c r="L335">
        <v>0</v>
      </c>
      <c r="M335">
        <v>3.8223097386109119E-3</v>
      </c>
      <c r="N335">
        <v>0.293709833309792</v>
      </c>
      <c r="O335">
        <v>0.14726009402803392</v>
      </c>
      <c r="P335">
        <v>1.9668358754973345E-2</v>
      </c>
      <c r="Q335">
        <v>1.2387037775892977E-3</v>
      </c>
      <c r="R335">
        <v>3.8158724524385442E-3</v>
      </c>
      <c r="S335">
        <v>0.44816580263666994</v>
      </c>
      <c r="T335">
        <v>4.0015962239458682</v>
      </c>
      <c r="U335">
        <v>0</v>
      </c>
      <c r="V335">
        <v>1.1304767209823808E-2</v>
      </c>
      <c r="W335">
        <v>0.17992184282708493</v>
      </c>
      <c r="X335">
        <v>2.3065890406413075E-2</v>
      </c>
      <c r="Y335">
        <v>1.0783946878671449E-2</v>
      </c>
    </row>
    <row r="336" spans="1:25" x14ac:dyDescent="0.25">
      <c r="A336" s="1093"/>
      <c r="B336" s="1452">
        <v>86</v>
      </c>
      <c r="C336" s="1097">
        <v>0.97928737790183173</v>
      </c>
      <c r="D336" s="1097">
        <v>1.0143347325482148</v>
      </c>
      <c r="E336" s="1097">
        <v>0.96890168970783164</v>
      </c>
      <c r="F336" s="1097">
        <v>1.006178038899125</v>
      </c>
      <c r="G336" s="1097">
        <v>0.972671786207991</v>
      </c>
      <c r="H336" s="1097">
        <v>1.0078300450317836</v>
      </c>
      <c r="I336" s="1097">
        <v>0.9612738710797416</v>
      </c>
      <c r="K336">
        <v>5.2064869497675614</v>
      </c>
      <c r="L336">
        <v>0</v>
      </c>
      <c r="M336">
        <v>3.9746685830162895E-3</v>
      </c>
      <c r="N336">
        <v>0.31443904491332952</v>
      </c>
      <c r="O336">
        <v>0.15248416300330536</v>
      </c>
      <c r="P336">
        <v>1.9953338594458924E-2</v>
      </c>
      <c r="Q336">
        <v>1.2884468149780279E-3</v>
      </c>
      <c r="R336">
        <v>3.9681645955285689E-3</v>
      </c>
      <c r="S336">
        <v>0.45644629986949464</v>
      </c>
      <c r="T336">
        <v>4.0239713576496108</v>
      </c>
      <c r="U336">
        <v>0</v>
      </c>
      <c r="V336">
        <v>1.130476720982381E-2</v>
      </c>
      <c r="W336">
        <v>0.19131940699445124</v>
      </c>
      <c r="X336">
        <v>2.4072292603597542E-2</v>
      </c>
      <c r="Y336">
        <v>1.1214336101998958E-2</v>
      </c>
    </row>
    <row r="337" spans="1:25" x14ac:dyDescent="0.25">
      <c r="A337" s="1093"/>
      <c r="B337" s="1452">
        <v>87</v>
      </c>
      <c r="C337" s="1097">
        <v>1.012139760496199</v>
      </c>
      <c r="D337" s="1097">
        <v>1.0019716648542214</v>
      </c>
      <c r="E337" s="1097">
        <v>1.0254398593874359</v>
      </c>
      <c r="F337" s="1097">
        <v>1.0320202002586489</v>
      </c>
      <c r="G337" s="1097">
        <v>1.0066592770244609</v>
      </c>
      <c r="H337" s="1097">
        <v>1.0169098427057095</v>
      </c>
      <c r="I337" s="1097">
        <v>1.01014290694044</v>
      </c>
      <c r="K337">
        <v>5.3456187795637158</v>
      </c>
      <c r="L337">
        <v>0</v>
      </c>
      <c r="M337">
        <v>3.5506354139221382E-3</v>
      </c>
      <c r="N337">
        <v>0.33214996070268415</v>
      </c>
      <c r="O337">
        <v>0.15046494726864393</v>
      </c>
      <c r="P337">
        <v>2.1354914443435315E-2</v>
      </c>
      <c r="Q337">
        <v>1.3150723982198508E-3</v>
      </c>
      <c r="R337">
        <v>3.5450211312277541E-3</v>
      </c>
      <c r="S337">
        <v>0.47697595011446864</v>
      </c>
      <c r="T337">
        <v>4.1199855492949826</v>
      </c>
      <c r="U337">
        <v>0</v>
      </c>
      <c r="V337">
        <v>1.1304767209823813E-2</v>
      </c>
      <c r="W337">
        <v>0.19450371697444041</v>
      </c>
      <c r="X337">
        <v>2.7551015073303851E-2</v>
      </c>
      <c r="Y337">
        <v>1.0018500366409604E-2</v>
      </c>
    </row>
    <row r="338" spans="1:25" x14ac:dyDescent="0.25">
      <c r="A338" s="1093"/>
      <c r="B338" s="1452">
        <v>88</v>
      </c>
      <c r="C338" s="1097">
        <v>0.99007762843429459</v>
      </c>
      <c r="D338" s="1097">
        <v>1.0197274827550853</v>
      </c>
      <c r="E338" s="1097">
        <v>1.0325466972507393</v>
      </c>
      <c r="F338" s="1097">
        <v>1.0179350283041309</v>
      </c>
      <c r="G338" s="1097">
        <v>1.0147403443079701</v>
      </c>
      <c r="H338" s="1097">
        <v>1.0333665517922526</v>
      </c>
      <c r="I338" s="1097">
        <v>0.98783821010971928</v>
      </c>
      <c r="K338">
        <v>5.2959990686294285</v>
      </c>
      <c r="L338">
        <v>0</v>
      </c>
      <c r="M338">
        <v>3.5588594038257894E-3</v>
      </c>
      <c r="N338">
        <v>0.33998991055715561</v>
      </c>
      <c r="O338">
        <v>0.15045432536635653</v>
      </c>
      <c r="P338">
        <v>2.1180148431043343E-2</v>
      </c>
      <c r="Q338">
        <v>1.3429703062401344E-3</v>
      </c>
      <c r="R338">
        <v>3.5532452338851847E-3</v>
      </c>
      <c r="S338">
        <v>0.47284578938370064</v>
      </c>
      <c r="T338">
        <v>4.0628595010032846</v>
      </c>
      <c r="U338">
        <v>0</v>
      </c>
      <c r="V338">
        <v>1.130476720982382E-2</v>
      </c>
      <c r="W338">
        <v>0.19815916215886023</v>
      </c>
      <c r="X338">
        <v>2.7826366074499388E-2</v>
      </c>
      <c r="Y338">
        <v>1.0041742308400037E-2</v>
      </c>
    </row>
    <row r="339" spans="1:25" x14ac:dyDescent="0.25">
      <c r="A339" s="1093"/>
      <c r="B339" s="1452">
        <v>89</v>
      </c>
      <c r="C339" s="1097">
        <v>1.0269421013747992</v>
      </c>
      <c r="D339" s="1097">
        <v>0.99180704168146117</v>
      </c>
      <c r="E339" s="1097">
        <v>1.0044817288306791</v>
      </c>
      <c r="F339" s="1097">
        <v>0.98645646171370138</v>
      </c>
      <c r="G339" s="1097">
        <v>0.97502271099955284</v>
      </c>
      <c r="H339" s="1097">
        <v>0.99900502200804708</v>
      </c>
      <c r="I339" s="1097">
        <v>1.0140453684466659</v>
      </c>
      <c r="K339">
        <v>5.0862724166753033</v>
      </c>
      <c r="L339">
        <v>0</v>
      </c>
      <c r="M339">
        <v>3.448983958668282E-3</v>
      </c>
      <c r="N339">
        <v>0.30320450142487515</v>
      </c>
      <c r="O339">
        <v>0.14289050749534704</v>
      </c>
      <c r="P339">
        <v>2.0095891540638743E-2</v>
      </c>
      <c r="Q339">
        <v>1.2784640396453321E-3</v>
      </c>
      <c r="R339">
        <v>3.443176686605653E-3</v>
      </c>
      <c r="S339">
        <v>0.45199206313437934</v>
      </c>
      <c r="T339">
        <v>3.9406654022492367</v>
      </c>
      <c r="U339">
        <v>0</v>
      </c>
      <c r="V339">
        <v>1.1304767209823808E-2</v>
      </c>
      <c r="W339">
        <v>0.18006081254192491</v>
      </c>
      <c r="X339">
        <v>2.5055134121041642E-2</v>
      </c>
      <c r="Y339">
        <v>9.7306801904520276E-3</v>
      </c>
    </row>
    <row r="340" spans="1:25" x14ac:dyDescent="0.25">
      <c r="A340" s="1093"/>
      <c r="B340" s="1452">
        <v>90</v>
      </c>
      <c r="C340" s="1097">
        <v>1.0057510055157508</v>
      </c>
      <c r="D340" s="1097">
        <v>1.0168650307471654</v>
      </c>
      <c r="E340" s="1097">
        <v>0.9868013130578035</v>
      </c>
      <c r="F340" s="1097">
        <v>0.99500658461105229</v>
      </c>
      <c r="G340" s="1097">
        <v>0.99867996871438836</v>
      </c>
      <c r="H340" s="1097">
        <v>1.0267484555471116</v>
      </c>
      <c r="I340" s="1097">
        <v>0.98129734429201254</v>
      </c>
      <c r="K340">
        <v>5.1443495280474272</v>
      </c>
      <c r="L340">
        <v>0</v>
      </c>
      <c r="M340">
        <v>3.7515417446100804E-3</v>
      </c>
      <c r="N340">
        <v>0.31298366814803447</v>
      </c>
      <c r="O340">
        <v>0.14618790671924842</v>
      </c>
      <c r="P340">
        <v>1.9998466343921658E-2</v>
      </c>
      <c r="Q340">
        <v>1.2729475243991185E-3</v>
      </c>
      <c r="R340">
        <v>3.7454484435095578E-3</v>
      </c>
      <c r="S340">
        <v>0.4526593859262395</v>
      </c>
      <c r="T340">
        <v>3.9770344312208237</v>
      </c>
      <c r="U340">
        <v>0</v>
      </c>
      <c r="V340">
        <v>1.1304767209823832E-2</v>
      </c>
      <c r="W340">
        <v>0.1881093417539034</v>
      </c>
      <c r="X340">
        <v>2.4219783249305432E-2</v>
      </c>
      <c r="Y340">
        <v>1.05849232528194E-2</v>
      </c>
    </row>
    <row r="341" spans="1:25" x14ac:dyDescent="0.25">
      <c r="A341" s="1093"/>
      <c r="B341" s="1452">
        <v>91</v>
      </c>
      <c r="C341" s="1097">
        <v>1.016014225428497</v>
      </c>
      <c r="D341" s="1097">
        <v>0.99944822045123405</v>
      </c>
      <c r="E341" s="1097">
        <v>0.96344383985931259</v>
      </c>
      <c r="F341" s="1097">
        <v>1.0032763948979151</v>
      </c>
      <c r="G341" s="1097">
        <v>0.98084941867724318</v>
      </c>
      <c r="H341" s="1097">
        <v>1.0073921109054076</v>
      </c>
      <c r="I341" s="1097">
        <v>1.0007051950558878</v>
      </c>
      <c r="K341">
        <v>5.1723803459900948</v>
      </c>
      <c r="L341">
        <v>0</v>
      </c>
      <c r="M341">
        <v>3.8851140760563781E-3</v>
      </c>
      <c r="N341">
        <v>0.30241000880525304</v>
      </c>
      <c r="O341">
        <v>0.1475674708089722</v>
      </c>
      <c r="P341">
        <v>1.9828980025112658E-2</v>
      </c>
      <c r="Q341">
        <v>1.2432815199973487E-3</v>
      </c>
      <c r="R341">
        <v>3.8787355038762054E-3</v>
      </c>
      <c r="S341">
        <v>0.45812733845561321</v>
      </c>
      <c r="T341">
        <v>4.0130652875073327</v>
      </c>
      <c r="U341">
        <v>0</v>
      </c>
      <c r="V341">
        <v>1.1304767209823808E-2</v>
      </c>
      <c r="W341">
        <v>0.18469626275211382</v>
      </c>
      <c r="X341">
        <v>2.3181724816657645E-2</v>
      </c>
      <c r="Y341">
        <v>1.0961602661401219E-2</v>
      </c>
    </row>
    <row r="342" spans="1:25" x14ac:dyDescent="0.25">
      <c r="A342" s="1093"/>
      <c r="B342" s="1452">
        <v>92</v>
      </c>
      <c r="C342" s="1097">
        <v>1.0074893762419077</v>
      </c>
      <c r="D342" s="1097">
        <v>1.0336712528548844</v>
      </c>
      <c r="E342" s="1097">
        <v>0.9979148070649897</v>
      </c>
      <c r="F342" s="1097">
        <v>0.97096023067969228</v>
      </c>
      <c r="G342" s="1097">
        <v>0.98289973071439285</v>
      </c>
      <c r="H342" s="1097">
        <v>0.99894822609786293</v>
      </c>
      <c r="I342" s="1097">
        <v>0.98458519566866831</v>
      </c>
      <c r="K342">
        <v>4.9999039996476498</v>
      </c>
      <c r="L342">
        <v>0</v>
      </c>
      <c r="M342">
        <v>3.4508988278907468E-3</v>
      </c>
      <c r="N342">
        <v>0.2975194958604877</v>
      </c>
      <c r="O342">
        <v>0.14118396737909697</v>
      </c>
      <c r="P342">
        <v>1.9656231672690573E-2</v>
      </c>
      <c r="Q342">
        <v>1.2745871239002891E-3</v>
      </c>
      <c r="R342">
        <v>3.4449954207308774E-3</v>
      </c>
      <c r="S342">
        <v>0.43786741372176985</v>
      </c>
      <c r="T342">
        <v>3.8795616454830353</v>
      </c>
      <c r="U342">
        <v>0</v>
      </c>
      <c r="V342">
        <v>1.1304767209823818E-2</v>
      </c>
      <c r="W342">
        <v>0.17747002261966754</v>
      </c>
      <c r="X342">
        <v>2.4335951912391421E-2</v>
      </c>
      <c r="Y342">
        <v>9.7358200719436933E-3</v>
      </c>
    </row>
    <row r="343" spans="1:25" x14ac:dyDescent="0.25">
      <c r="A343" s="1093"/>
      <c r="B343" s="1452">
        <v>93</v>
      </c>
      <c r="C343" s="1097">
        <v>0.95674048532460421</v>
      </c>
      <c r="D343" s="1097">
        <v>0.99952362800692696</v>
      </c>
      <c r="E343" s="1097">
        <v>1.0302522023051166</v>
      </c>
      <c r="F343" s="1097">
        <v>1.0357992353396577</v>
      </c>
      <c r="G343" s="1097">
        <v>0.98923429211744729</v>
      </c>
      <c r="H343" s="1097">
        <v>0.98780928669671231</v>
      </c>
      <c r="I343" s="1097">
        <v>1.0187600404473305</v>
      </c>
      <c r="K343">
        <v>5.4181410704454951</v>
      </c>
      <c r="L343">
        <v>0</v>
      </c>
      <c r="M343">
        <v>3.6285481738600055E-3</v>
      </c>
      <c r="N343">
        <v>0.34428896535714848</v>
      </c>
      <c r="O343">
        <v>0.15977168101189138</v>
      </c>
      <c r="P343">
        <v>2.1626037776624678E-2</v>
      </c>
      <c r="Q343">
        <v>1.398236870733276E-3</v>
      </c>
      <c r="R343">
        <v>3.6226631856714356E-3</v>
      </c>
      <c r="S343">
        <v>0.50469972266383489</v>
      </c>
      <c r="T343">
        <v>4.1344544448182541</v>
      </c>
      <c r="U343">
        <v>0</v>
      </c>
      <c r="V343">
        <v>1.1304767209823825E-2</v>
      </c>
      <c r="W343">
        <v>0.20096970249492246</v>
      </c>
      <c r="X343">
        <v>2.9395474490487981E-2</v>
      </c>
      <c r="Y343">
        <v>1.023792273995789E-2</v>
      </c>
    </row>
    <row r="344" spans="1:25" x14ac:dyDescent="0.25">
      <c r="A344" s="1093"/>
      <c r="B344" s="1452">
        <v>94</v>
      </c>
      <c r="C344" s="1097">
        <v>1.0377983969120319</v>
      </c>
      <c r="D344" s="1097">
        <v>1.0005115243948</v>
      </c>
      <c r="E344" s="1097">
        <v>1.0011014063426147</v>
      </c>
      <c r="F344" s="1097">
        <v>0.9855860032788426</v>
      </c>
      <c r="G344" s="1097">
        <v>0.97598471139087051</v>
      </c>
      <c r="H344" s="1097">
        <v>1.0414720097526633</v>
      </c>
      <c r="I344" s="1097">
        <v>0.99507704177690293</v>
      </c>
      <c r="K344">
        <v>5.0860895595647726</v>
      </c>
      <c r="L344">
        <v>0</v>
      </c>
      <c r="M344">
        <v>3.5677655995004277E-3</v>
      </c>
      <c r="N344">
        <v>0.3105425654669044</v>
      </c>
      <c r="O344">
        <v>0.14086740591426086</v>
      </c>
      <c r="P344">
        <v>2.000118836786537E-2</v>
      </c>
      <c r="Q344">
        <v>1.2570356076056115E-3</v>
      </c>
      <c r="R344">
        <v>3.5619981987406479E-3</v>
      </c>
      <c r="S344">
        <v>0.44533281320170431</v>
      </c>
      <c r="T344">
        <v>3.9376058647771033</v>
      </c>
      <c r="U344">
        <v>0</v>
      </c>
      <c r="V344">
        <v>1.1304767209823825E-2</v>
      </c>
      <c r="W344">
        <v>0.18483960920296133</v>
      </c>
      <c r="X344">
        <v>2.4277598361962475E-2</v>
      </c>
      <c r="Y344">
        <v>1.0066478855338831E-2</v>
      </c>
    </row>
    <row r="345" spans="1:25" x14ac:dyDescent="0.25">
      <c r="A345" s="1093"/>
      <c r="B345" s="1452">
        <v>95</v>
      </c>
      <c r="C345" s="1097">
        <v>1.0428952754760077</v>
      </c>
      <c r="D345" s="1097">
        <v>1.0302895377292896</v>
      </c>
      <c r="E345" s="1097">
        <v>1.0142284083064728</v>
      </c>
      <c r="F345" s="1097">
        <v>1.004663478789529</v>
      </c>
      <c r="G345" s="1097">
        <v>1.0172871931299761</v>
      </c>
      <c r="H345" s="1097">
        <v>1.006004317213836</v>
      </c>
      <c r="I345" s="1097">
        <v>0.96523841120626319</v>
      </c>
      <c r="K345">
        <v>5.1326819759459292</v>
      </c>
      <c r="L345">
        <v>0</v>
      </c>
      <c r="M345">
        <v>3.3606101915420361E-3</v>
      </c>
      <c r="N345">
        <v>0.30409844120471191</v>
      </c>
      <c r="O345">
        <v>0.14087793335622578</v>
      </c>
      <c r="P345">
        <v>2.0460587462021746E-2</v>
      </c>
      <c r="Q345">
        <v>1.2502221322215287E-3</v>
      </c>
      <c r="R345">
        <v>3.3550927529142922E-3</v>
      </c>
      <c r="S345">
        <v>0.42821800553750322</v>
      </c>
      <c r="T345">
        <v>4.0121742116275767</v>
      </c>
      <c r="U345">
        <v>0</v>
      </c>
      <c r="V345">
        <v>1.130476720982381E-2</v>
      </c>
      <c r="W345">
        <v>0.17941341037587394</v>
      </c>
      <c r="X345">
        <v>2.5408166209650147E-2</v>
      </c>
      <c r="Y345">
        <v>9.481748268950034E-3</v>
      </c>
    </row>
    <row r="346" spans="1:25" x14ac:dyDescent="0.25">
      <c r="A346" s="1093"/>
      <c r="B346" s="1452">
        <v>96</v>
      </c>
      <c r="C346" s="1097">
        <v>1.009876060304314</v>
      </c>
      <c r="D346" s="1097">
        <v>1.0344804518748341</v>
      </c>
      <c r="E346" s="1097">
        <v>1.0119650962457387</v>
      </c>
      <c r="F346" s="1097">
        <v>1.0459858987528241</v>
      </c>
      <c r="G346" s="1097">
        <v>1.0160473169573541</v>
      </c>
      <c r="H346" s="1097">
        <v>0.95965014275033522</v>
      </c>
      <c r="I346" s="1097">
        <v>1.0041251241172229</v>
      </c>
      <c r="K346">
        <v>5.3608078209536183</v>
      </c>
      <c r="L346">
        <v>0</v>
      </c>
      <c r="M346">
        <v>3.4574005730858407E-3</v>
      </c>
      <c r="N346">
        <v>0.31076434322336527</v>
      </c>
      <c r="O346">
        <v>0.15128660558262974</v>
      </c>
      <c r="P346">
        <v>2.1361574326754583E-2</v>
      </c>
      <c r="Q346">
        <v>1.2865277990417999E-3</v>
      </c>
      <c r="R346">
        <v>3.4516847456742684E-3</v>
      </c>
      <c r="S346">
        <v>0.46668329439101902</v>
      </c>
      <c r="T346">
        <v>4.1774927756044384</v>
      </c>
      <c r="U346">
        <v>0</v>
      </c>
      <c r="V346">
        <v>1.1304767209823806E-2</v>
      </c>
      <c r="W346">
        <v>0.18362439112768042</v>
      </c>
      <c r="X346">
        <v>2.725453290134049E-2</v>
      </c>
      <c r="Y346">
        <v>9.754724614939517E-3</v>
      </c>
    </row>
    <row r="347" spans="1:25" x14ac:dyDescent="0.25">
      <c r="A347" s="1093"/>
      <c r="B347" s="1452">
        <v>97</v>
      </c>
      <c r="C347" s="1097">
        <v>0.98405127734449349</v>
      </c>
      <c r="D347" s="1097">
        <v>1.0215998004852604</v>
      </c>
      <c r="E347" s="1097">
        <v>0.98302022596996075</v>
      </c>
      <c r="F347" s="1097">
        <v>1.0126573354501096</v>
      </c>
      <c r="G347" s="1097">
        <v>1.0185380540549631</v>
      </c>
      <c r="H347" s="1097">
        <v>0.96795173689978464</v>
      </c>
      <c r="I347" s="1097">
        <v>0.97693642258141711</v>
      </c>
      <c r="K347">
        <v>5.2138684511341475</v>
      </c>
      <c r="L347">
        <v>0</v>
      </c>
      <c r="M347">
        <v>3.7011707487074443E-3</v>
      </c>
      <c r="N347">
        <v>0.30531644419330739</v>
      </c>
      <c r="O347">
        <v>0.1518870681899743</v>
      </c>
      <c r="P347">
        <v>2.0275570083491259E-2</v>
      </c>
      <c r="Q347">
        <v>1.2943606987290007E-3</v>
      </c>
      <c r="R347">
        <v>3.6949050660114256E-3</v>
      </c>
      <c r="S347">
        <v>0.45604793220239115</v>
      </c>
      <c r="T347">
        <v>4.0480684994058587</v>
      </c>
      <c r="U347">
        <v>0</v>
      </c>
      <c r="V347">
        <v>1.1304767209823827E-2</v>
      </c>
      <c r="W347">
        <v>0.18397558117782137</v>
      </c>
      <c r="X347">
        <v>2.5262409846235789E-2</v>
      </c>
      <c r="Y347">
        <v>1.0442083809205353E-2</v>
      </c>
    </row>
    <row r="348" spans="1:25" x14ac:dyDescent="0.25">
      <c r="A348" s="1093"/>
      <c r="B348" s="1452">
        <v>98</v>
      </c>
      <c r="C348" s="1097">
        <v>0.98286485488561781</v>
      </c>
      <c r="D348" s="1097">
        <v>1.0185781473638205</v>
      </c>
      <c r="E348" s="1097">
        <v>0.99136368463989544</v>
      </c>
      <c r="F348" s="1097">
        <v>0.963897950810916</v>
      </c>
      <c r="G348" s="1097">
        <v>1.005376235164898</v>
      </c>
      <c r="H348" s="1097">
        <v>0.96140564334442902</v>
      </c>
      <c r="I348" s="1097">
        <v>1.0061211573005997</v>
      </c>
      <c r="K348">
        <v>4.9796344620162172</v>
      </c>
      <c r="L348">
        <v>0</v>
      </c>
      <c r="M348">
        <v>3.4468271159845071E-3</v>
      </c>
      <c r="N348">
        <v>0.29143027185226661</v>
      </c>
      <c r="O348">
        <v>0.14469382063864394</v>
      </c>
      <c r="P348">
        <v>1.9492240254334343E-2</v>
      </c>
      <c r="Q348">
        <v>1.3068469779305607E-3</v>
      </c>
      <c r="R348">
        <v>3.4406556083298396E-3</v>
      </c>
      <c r="S348">
        <v>0.45029134711803009</v>
      </c>
      <c r="T348">
        <v>3.8521384673469896</v>
      </c>
      <c r="U348">
        <v>0</v>
      </c>
      <c r="V348">
        <v>1.1304767209823822E-2</v>
      </c>
      <c r="W348">
        <v>0.17461204213299922</v>
      </c>
      <c r="X348">
        <v>2.4647274562083876E-2</v>
      </c>
      <c r="Y348">
        <v>9.7235554307693595E-3</v>
      </c>
    </row>
    <row r="349" spans="1:25" x14ac:dyDescent="0.25">
      <c r="A349" s="1093"/>
      <c r="B349" s="1452">
        <v>99</v>
      </c>
      <c r="C349" s="1097">
        <v>0.99825756753473094</v>
      </c>
      <c r="D349" s="1097">
        <v>0.98342391779147953</v>
      </c>
      <c r="E349" s="1097">
        <v>1.0120409077225918</v>
      </c>
      <c r="F349" s="1097">
        <v>0.98039036486107423</v>
      </c>
      <c r="G349" s="1097">
        <v>1.0041327503865014</v>
      </c>
      <c r="H349" s="1097">
        <v>0.97820719777163445</v>
      </c>
      <c r="I349" s="1097">
        <v>1.0108030180280232</v>
      </c>
      <c r="K349">
        <v>5.0759928223080282</v>
      </c>
      <c r="L349">
        <v>0</v>
      </c>
      <c r="M349">
        <v>3.4098520359528376E-3</v>
      </c>
      <c r="N349">
        <v>0.3065356575089444</v>
      </c>
      <c r="O349">
        <v>0.14638128900674799</v>
      </c>
      <c r="P349">
        <v>2.0120769180979676E-2</v>
      </c>
      <c r="Q349">
        <v>1.3282054330575265E-3</v>
      </c>
      <c r="R349">
        <v>3.403952365991933E-3</v>
      </c>
      <c r="S349">
        <v>0.45800117244183181</v>
      </c>
      <c r="T349">
        <v>3.9155059028475119</v>
      </c>
      <c r="U349">
        <v>0</v>
      </c>
      <c r="V349">
        <v>1.130476720982381E-2</v>
      </c>
      <c r="W349">
        <v>0.18111654060389865</v>
      </c>
      <c r="X349">
        <v>2.6084588479430602E-2</v>
      </c>
      <c r="Y349">
        <v>9.6198292657624397E-3</v>
      </c>
    </row>
    <row r="350" spans="1:25" x14ac:dyDescent="0.25">
      <c r="A350" s="1093"/>
      <c r="B350" s="1452">
        <v>100</v>
      </c>
      <c r="C350" s="1097">
        <v>1.0074347512924409</v>
      </c>
      <c r="D350" s="1097">
        <v>1.0094350433863672</v>
      </c>
      <c r="E350" s="1097">
        <v>1.0306293116888003</v>
      </c>
      <c r="F350" s="1097">
        <v>0.97570381695378261</v>
      </c>
      <c r="G350" s="1097">
        <v>1.0021729131041943</v>
      </c>
      <c r="H350" s="1097">
        <v>1.0146811220855676</v>
      </c>
      <c r="I350" s="1097">
        <v>1.0005647127365331</v>
      </c>
      <c r="K350">
        <v>5.0565225679228538</v>
      </c>
      <c r="L350">
        <v>0</v>
      </c>
      <c r="M350">
        <v>3.3188776563956254E-3</v>
      </c>
      <c r="N350">
        <v>0.31524055115860988</v>
      </c>
      <c r="O350">
        <v>0.14235555386130255</v>
      </c>
      <c r="P350">
        <v>2.0269588792468693E-2</v>
      </c>
      <c r="Q350">
        <v>1.3230660526569874E-3</v>
      </c>
      <c r="R350">
        <v>3.3133152566070766E-3</v>
      </c>
      <c r="S350">
        <v>0.45174293143411576</v>
      </c>
      <c r="T350">
        <v>3.8945344646579394</v>
      </c>
      <c r="U350">
        <v>0</v>
      </c>
      <c r="V350">
        <v>1.130476720982381E-2</v>
      </c>
      <c r="W350">
        <v>0.18396750826954289</v>
      </c>
      <c r="X350">
        <v>2.6426017011358108E-2</v>
      </c>
      <c r="Y350">
        <v>9.3636818748248848E-3</v>
      </c>
    </row>
    <row r="351" spans="1:25" x14ac:dyDescent="0.25">
      <c r="A351" s="1093"/>
      <c r="B351" s="1452">
        <v>101</v>
      </c>
      <c r="C351" s="1097">
        <v>0.9737522392684298</v>
      </c>
      <c r="D351" s="1097">
        <v>0.98003145451984974</v>
      </c>
      <c r="E351" s="1097">
        <v>0.98733774462777568</v>
      </c>
      <c r="F351" s="1097">
        <v>0.99864948979626456</v>
      </c>
      <c r="G351" s="1097">
        <v>0.99225439875601207</v>
      </c>
      <c r="H351" s="1097">
        <v>0.98674939468352374</v>
      </c>
      <c r="I351" s="1097">
        <v>1.0085163937908648</v>
      </c>
      <c r="K351">
        <v>5.1988593303890136</v>
      </c>
      <c r="L351">
        <v>0</v>
      </c>
      <c r="M351">
        <v>3.7887746868854886E-3</v>
      </c>
      <c r="N351">
        <v>0.31657429575998275</v>
      </c>
      <c r="O351">
        <v>0.15378228909302341</v>
      </c>
      <c r="P351">
        <v>2.0184775310757155E-2</v>
      </c>
      <c r="Q351">
        <v>1.3349442824002902E-3</v>
      </c>
      <c r="R351">
        <v>3.7823947800477791E-3</v>
      </c>
      <c r="S351">
        <v>0.47771893523769809</v>
      </c>
      <c r="T351">
        <v>3.9915274301597439</v>
      </c>
      <c r="U351">
        <v>0</v>
      </c>
      <c r="V351">
        <v>1.1304767209823808E-2</v>
      </c>
      <c r="W351">
        <v>0.19019780003556844</v>
      </c>
      <c r="X351">
        <v>2.5551136786260122E-2</v>
      </c>
      <c r="Y351">
        <v>1.0689336420595771E-2</v>
      </c>
    </row>
    <row r="352" spans="1:25" x14ac:dyDescent="0.25">
      <c r="A352" s="1093"/>
      <c r="B352" s="1452">
        <v>102</v>
      </c>
      <c r="C352" s="1097">
        <v>1.0098650386106895</v>
      </c>
      <c r="D352" s="1097">
        <v>1.0357004237541176</v>
      </c>
      <c r="E352" s="1097">
        <v>1.0107726443095275</v>
      </c>
      <c r="F352" s="1097">
        <v>0.97654024972140863</v>
      </c>
      <c r="G352" s="1097">
        <v>1.0221450500199003</v>
      </c>
      <c r="H352" s="1097">
        <v>0.96650605768699882</v>
      </c>
      <c r="I352" s="1097">
        <v>0.99258462420849802</v>
      </c>
      <c r="K352">
        <v>5.0094599829948478</v>
      </c>
      <c r="L352">
        <v>0</v>
      </c>
      <c r="M352">
        <v>3.2579706686032875E-3</v>
      </c>
      <c r="N352">
        <v>0.29177622675772591</v>
      </c>
      <c r="O352">
        <v>0.14120892847687938</v>
      </c>
      <c r="P352">
        <v>1.9933942993764529E-2</v>
      </c>
      <c r="Q352">
        <v>1.2846313871800567E-3</v>
      </c>
      <c r="R352">
        <v>3.2522430826527238E-3</v>
      </c>
      <c r="S352">
        <v>0.43658287860961459</v>
      </c>
      <c r="T352">
        <v>3.9002838860188116</v>
      </c>
      <c r="U352">
        <v>0</v>
      </c>
      <c r="V352">
        <v>1.1304767209823829E-2</v>
      </c>
      <c r="W352">
        <v>0.17254263363879324</v>
      </c>
      <c r="X352">
        <v>2.5356728239605664E-2</v>
      </c>
      <c r="Y352">
        <v>9.1910872485899738E-3</v>
      </c>
    </row>
    <row r="353" spans="1:25" x14ac:dyDescent="0.25">
      <c r="A353" s="1093"/>
      <c r="B353" s="1452">
        <v>103</v>
      </c>
      <c r="C353" s="1097">
        <v>0.98629112814867914</v>
      </c>
      <c r="D353" s="1097">
        <v>0.9831842331219709</v>
      </c>
      <c r="E353" s="1097">
        <v>1.0228842603786927</v>
      </c>
      <c r="F353" s="1097">
        <v>0.97363971712694952</v>
      </c>
      <c r="G353" s="1097">
        <v>0.97470599437083971</v>
      </c>
      <c r="H353" s="1097">
        <v>1.0392293732523461</v>
      </c>
      <c r="I353" s="1097">
        <v>0.97597482476861608</v>
      </c>
      <c r="K353">
        <v>5.083684389742074</v>
      </c>
      <c r="L353">
        <v>0</v>
      </c>
      <c r="M353">
        <v>3.5592337315801716E-3</v>
      </c>
      <c r="N353">
        <v>0.33042770393635246</v>
      </c>
      <c r="O353">
        <v>0.14685143314265298</v>
      </c>
      <c r="P353">
        <v>2.0142141633261026E-2</v>
      </c>
      <c r="Q353">
        <v>1.3568645911485305E-3</v>
      </c>
      <c r="R353">
        <v>3.5533970797276358E-3</v>
      </c>
      <c r="S353">
        <v>0.45613332917651506</v>
      </c>
      <c r="T353">
        <v>3.8872303992757336</v>
      </c>
      <c r="U353">
        <v>0</v>
      </c>
      <c r="V353">
        <v>1.1304767209823803E-2</v>
      </c>
      <c r="W353">
        <v>0.1938242590013656</v>
      </c>
      <c r="X353">
        <v>2.6377156990730469E-2</v>
      </c>
      <c r="Y353">
        <v>1.0042171436343691E-2</v>
      </c>
    </row>
    <row r="354" spans="1:25" x14ac:dyDescent="0.25">
      <c r="A354" s="1093"/>
      <c r="B354" s="1452">
        <v>104</v>
      </c>
      <c r="C354" s="1097">
        <v>0.99294943328421092</v>
      </c>
      <c r="D354" s="1097">
        <v>0.95096692200938115</v>
      </c>
      <c r="E354" s="1097">
        <v>1.0388557639325793</v>
      </c>
      <c r="F354" s="1097">
        <v>0.99087147569105283</v>
      </c>
      <c r="G354" s="1097">
        <v>1.0278230884244917</v>
      </c>
      <c r="H354" s="1097">
        <v>1.0109284434137342</v>
      </c>
      <c r="I354" s="1097">
        <v>1.0106413108037584</v>
      </c>
      <c r="K354">
        <v>5.1766677909872918</v>
      </c>
      <c r="L354">
        <v>0</v>
      </c>
      <c r="M354">
        <v>3.4289541092861653E-3</v>
      </c>
      <c r="N354">
        <v>0.33371797371147749</v>
      </c>
      <c r="O354">
        <v>0.14998712216315638</v>
      </c>
      <c r="P354">
        <v>2.0772829851672357E-2</v>
      </c>
      <c r="Q354">
        <v>1.3843047753755273E-3</v>
      </c>
      <c r="R354">
        <v>3.4232740381222567E-3</v>
      </c>
      <c r="S354">
        <v>0.47390899312401047</v>
      </c>
      <c r="T354">
        <v>3.9540697570900489</v>
      </c>
      <c r="U354">
        <v>0</v>
      </c>
      <c r="V354">
        <v>1.1304767209823824E-2</v>
      </c>
      <c r="W354">
        <v>0.19369569024204844</v>
      </c>
      <c r="X354">
        <v>2.8157599104494762E-2</v>
      </c>
      <c r="Y354">
        <v>9.6744337863426191E-3</v>
      </c>
    </row>
    <row r="355" spans="1:25" x14ac:dyDescent="0.25">
      <c r="A355" s="1093"/>
      <c r="B355" s="1452">
        <v>105</v>
      </c>
      <c r="C355" s="1097">
        <v>1.0088866969980956</v>
      </c>
      <c r="D355" s="1097">
        <v>0.99162427818342436</v>
      </c>
      <c r="E355" s="1097">
        <v>0.98970648122732718</v>
      </c>
      <c r="F355" s="1097">
        <v>0.9795218794369478</v>
      </c>
      <c r="G355" s="1097">
        <v>0.96543148897002162</v>
      </c>
      <c r="H355" s="1097">
        <v>1.027018850853898</v>
      </c>
      <c r="I355" s="1097">
        <v>1.0449142595475303</v>
      </c>
      <c r="K355">
        <v>5.1010916256438597</v>
      </c>
      <c r="L355">
        <v>0</v>
      </c>
      <c r="M355">
        <v>3.6973123027457056E-3</v>
      </c>
      <c r="N355">
        <v>0.31112054342070566</v>
      </c>
      <c r="O355">
        <v>0.14483652462297461</v>
      </c>
      <c r="P355">
        <v>1.9869723371505613E-2</v>
      </c>
      <c r="Q355">
        <v>1.2850335968769369E-3</v>
      </c>
      <c r="R355">
        <v>3.691213915487174E-3</v>
      </c>
      <c r="S355">
        <v>0.47666325615045935</v>
      </c>
      <c r="T355">
        <v>3.9147829183964071</v>
      </c>
      <c r="U355">
        <v>0</v>
      </c>
      <c r="V355">
        <v>1.1304767209823808E-2</v>
      </c>
      <c r="W355">
        <v>0.18661983149912315</v>
      </c>
      <c r="X355">
        <v>2.4183473427225318E-2</v>
      </c>
      <c r="Y355">
        <v>1.0431652336017805E-2</v>
      </c>
    </row>
    <row r="356" spans="1:25" x14ac:dyDescent="0.25">
      <c r="A356" s="1093"/>
      <c r="B356" s="1452">
        <v>106</v>
      </c>
      <c r="C356" s="1097">
        <v>0.96576949362621434</v>
      </c>
      <c r="D356" s="1097">
        <v>1.0046288442809621</v>
      </c>
      <c r="E356" s="1097">
        <v>0.97271751148372199</v>
      </c>
      <c r="F356" s="1097">
        <v>0.96907166264513545</v>
      </c>
      <c r="G356" s="1097">
        <v>0.97864251535809577</v>
      </c>
      <c r="H356" s="1097">
        <v>1.0054804323129749</v>
      </c>
      <c r="I356" s="1097">
        <v>0.98309873143676962</v>
      </c>
      <c r="K356">
        <v>5.0460541882136027</v>
      </c>
      <c r="L356">
        <v>0</v>
      </c>
      <c r="M356">
        <v>3.8568149270216557E-3</v>
      </c>
      <c r="N356">
        <v>0.30857180568129694</v>
      </c>
      <c r="O356">
        <v>0.14938391379283877</v>
      </c>
      <c r="P356">
        <v>1.9360386365858153E-2</v>
      </c>
      <c r="Q356">
        <v>1.3158924685337497E-3</v>
      </c>
      <c r="R356">
        <v>3.8502472351645734E-3</v>
      </c>
      <c r="S356">
        <v>0.45911528678628655</v>
      </c>
      <c r="T356">
        <v>3.8751025588599961</v>
      </c>
      <c r="U356">
        <v>0</v>
      </c>
      <c r="V356">
        <v>1.1304767209823825E-2</v>
      </c>
      <c r="W356">
        <v>0.18725622308312953</v>
      </c>
      <c r="X356">
        <v>2.3768829018645431E-2</v>
      </c>
      <c r="Y356">
        <v>1.0881092639045719E-2</v>
      </c>
    </row>
    <row r="357" spans="1:25" x14ac:dyDescent="0.25">
      <c r="A357" s="1093"/>
      <c r="B357" s="1452">
        <v>107</v>
      </c>
      <c r="C357" s="1097">
        <v>0.99944351486452354</v>
      </c>
      <c r="D357" s="1097">
        <v>0.9886694541597244</v>
      </c>
      <c r="E357" s="1097">
        <v>1.0014979108009829</v>
      </c>
      <c r="F357" s="1097">
        <v>0.99880699832164155</v>
      </c>
      <c r="G357" s="1097">
        <v>1.0128244414396794</v>
      </c>
      <c r="H357" s="1097">
        <v>0.99597087854692834</v>
      </c>
      <c r="I357" s="1097">
        <v>1.0163393887666594</v>
      </c>
      <c r="K357">
        <v>5.1792479973601067</v>
      </c>
      <c r="L357">
        <v>0</v>
      </c>
      <c r="M357">
        <v>3.6044013314908054E-3</v>
      </c>
      <c r="N357">
        <v>0.31408393810689633</v>
      </c>
      <c r="O357">
        <v>0.14893212623386759</v>
      </c>
      <c r="P357">
        <v>2.035997545503937E-2</v>
      </c>
      <c r="Q357">
        <v>1.3119526807148446E-3</v>
      </c>
      <c r="R357">
        <v>3.5983890327833082E-3</v>
      </c>
      <c r="S357">
        <v>0.47006112740561096</v>
      </c>
      <c r="T357">
        <v>3.990376593240077</v>
      </c>
      <c r="U357">
        <v>0</v>
      </c>
      <c r="V357">
        <v>1.1304767209823832E-2</v>
      </c>
      <c r="W357">
        <v>0.18689743883213794</v>
      </c>
      <c r="X357">
        <v>2.5756768363990133E-2</v>
      </c>
      <c r="Y357">
        <v>1.0169322130652138E-2</v>
      </c>
    </row>
    <row r="358" spans="1:25" x14ac:dyDescent="0.25">
      <c r="A358" s="1093"/>
      <c r="B358" s="1452">
        <v>108</v>
      </c>
      <c r="C358" s="1097">
        <v>1.0297892475741168</v>
      </c>
      <c r="D358" s="1097">
        <v>0.99952099259268523</v>
      </c>
      <c r="E358" s="1097">
        <v>1.0153896723173701</v>
      </c>
      <c r="F358" s="1097">
        <v>0.99954872172073161</v>
      </c>
      <c r="G358" s="1097">
        <v>0.98245857958451666</v>
      </c>
      <c r="H358" s="1097">
        <v>1.0016321432189514</v>
      </c>
      <c r="I358" s="1097">
        <v>0.99628361319520808</v>
      </c>
      <c r="K358">
        <v>5.1426389337555323</v>
      </c>
      <c r="L358">
        <v>0</v>
      </c>
      <c r="M358">
        <v>3.4041475095035658E-3</v>
      </c>
      <c r="N358">
        <v>0.30909381721785806</v>
      </c>
      <c r="O358">
        <v>0.14364507319887176</v>
      </c>
      <c r="P358">
        <v>2.0472405502036776E-2</v>
      </c>
      <c r="Q358">
        <v>1.2828463916138482E-3</v>
      </c>
      <c r="R358">
        <v>3.398505519531908E-3</v>
      </c>
      <c r="S358">
        <v>0.44754940269330123</v>
      </c>
      <c r="T358">
        <v>3.9916034548105759</v>
      </c>
      <c r="U358">
        <v>0</v>
      </c>
      <c r="V358">
        <v>1.1304767209823818E-2</v>
      </c>
      <c r="W358">
        <v>0.18221895981336578</v>
      </c>
      <c r="X358">
        <v>2.5869412846235153E-2</v>
      </c>
      <c r="Y358">
        <v>9.6044360618193544E-3</v>
      </c>
    </row>
    <row r="359" spans="1:25" x14ac:dyDescent="0.25">
      <c r="A359" s="1093"/>
      <c r="B359" s="1452">
        <v>109</v>
      </c>
      <c r="C359" s="1097">
        <v>0.97191033357452483</v>
      </c>
      <c r="D359" s="1097">
        <v>0.98683196251150096</v>
      </c>
      <c r="E359" s="1097">
        <v>1.0121472159191605</v>
      </c>
      <c r="F359" s="1097">
        <v>1.0201910576793387</v>
      </c>
      <c r="G359" s="1097">
        <v>1.0381070895396858</v>
      </c>
      <c r="H359" s="1097">
        <v>0.99519066112320698</v>
      </c>
      <c r="I359" s="1097">
        <v>0.99867567355344222</v>
      </c>
      <c r="K359">
        <v>5.3153581104346825</v>
      </c>
      <c r="L359">
        <v>0</v>
      </c>
      <c r="M359">
        <v>3.7015429997254725E-3</v>
      </c>
      <c r="N359">
        <v>0.33289448564545826</v>
      </c>
      <c r="O359">
        <v>0.15623372903295255</v>
      </c>
      <c r="P359">
        <v>2.0968800286957291E-2</v>
      </c>
      <c r="Q359">
        <v>1.3624480538195311E-3</v>
      </c>
      <c r="R359">
        <v>3.6954931339027611E-3</v>
      </c>
      <c r="S359">
        <v>0.48350450100603926</v>
      </c>
      <c r="T359">
        <v>4.0744492988217296</v>
      </c>
      <c r="U359">
        <v>0</v>
      </c>
      <c r="V359">
        <v>1.1304767209823801E-2</v>
      </c>
      <c r="W359">
        <v>0.19667663309027103</v>
      </c>
      <c r="X359">
        <v>2.7525751419491928E-2</v>
      </c>
      <c r="Y359">
        <v>1.0443745733963127E-2</v>
      </c>
    </row>
    <row r="360" spans="1:25" x14ac:dyDescent="0.25">
      <c r="A360" s="1093"/>
      <c r="B360" s="1452">
        <v>110</v>
      </c>
      <c r="C360" s="1097">
        <v>0.99952899897165248</v>
      </c>
      <c r="D360" s="1097">
        <v>0.98856892135239149</v>
      </c>
      <c r="E360" s="1097">
        <v>1.0197269332180494</v>
      </c>
      <c r="F360" s="1097">
        <v>1.0297561937793986</v>
      </c>
      <c r="G360" s="1097">
        <v>0.99123609400871704</v>
      </c>
      <c r="H360" s="1097">
        <v>1.0403262335186991</v>
      </c>
      <c r="I360" s="1097">
        <v>1.0025787405540503</v>
      </c>
      <c r="K360">
        <v>5.3662511074864749</v>
      </c>
      <c r="L360">
        <v>0</v>
      </c>
      <c r="M360">
        <v>3.734809147201563E-3</v>
      </c>
      <c r="N360">
        <v>0.34353535300028887</v>
      </c>
      <c r="O360">
        <v>0.15301483494008072</v>
      </c>
      <c r="P360">
        <v>2.1261452148486817E-2</v>
      </c>
      <c r="Q360">
        <v>1.3324104774809946E-3</v>
      </c>
      <c r="R360">
        <v>3.7290239021319257E-3</v>
      </c>
      <c r="S360">
        <v>0.48430653550242475</v>
      </c>
      <c r="T360">
        <v>4.1116780269094306</v>
      </c>
      <c r="U360">
        <v>0</v>
      </c>
      <c r="V360">
        <v>1.1304767209823811E-2</v>
      </c>
      <c r="W360">
        <v>0.20193733296324953</v>
      </c>
      <c r="X360">
        <v>2.7347673335347062E-2</v>
      </c>
      <c r="Y360">
        <v>1.0538506244931797E-2</v>
      </c>
    </row>
    <row r="361" spans="1:25" x14ac:dyDescent="0.25">
      <c r="A361" s="1093"/>
      <c r="B361" s="1452">
        <v>111</v>
      </c>
      <c r="C361" s="1097">
        <v>1.0098361633414124</v>
      </c>
      <c r="D361" s="1097">
        <v>0.99925722293936603</v>
      </c>
      <c r="E361" s="1097">
        <v>1.0159576328458058</v>
      </c>
      <c r="F361" s="1097">
        <v>1.023911627954301</v>
      </c>
      <c r="G361" s="1097">
        <v>0.96579069709038923</v>
      </c>
      <c r="H361" s="1097">
        <v>0.96177550084032015</v>
      </c>
      <c r="I361" s="1097">
        <v>1.0108462890411067</v>
      </c>
      <c r="K361">
        <v>5.2671927401992251</v>
      </c>
      <c r="L361">
        <v>0</v>
      </c>
      <c r="M361">
        <v>3.410654773835235E-3</v>
      </c>
      <c r="N361">
        <v>0.31019705582012053</v>
      </c>
      <c r="O361">
        <v>0.15005349316159602</v>
      </c>
      <c r="P361">
        <v>2.100815931161917E-2</v>
      </c>
      <c r="Q361">
        <v>1.3089626140440952E-3</v>
      </c>
      <c r="R361">
        <v>3.404907592603988E-3</v>
      </c>
      <c r="S361">
        <v>0.46488896101701865</v>
      </c>
      <c r="T361">
        <v>4.0888219461833684</v>
      </c>
      <c r="U361">
        <v>0</v>
      </c>
      <c r="V361">
        <v>1.1304767209823818E-2</v>
      </c>
      <c r="W361">
        <v>0.18279990436807761</v>
      </c>
      <c r="X361">
        <v>2.7192708885690742E-2</v>
      </c>
      <c r="Y361">
        <v>9.6225288090962136E-3</v>
      </c>
    </row>
    <row r="362" spans="1:25" x14ac:dyDescent="0.25">
      <c r="A362" s="1093"/>
      <c r="B362" s="1452">
        <v>112</v>
      </c>
      <c r="C362" s="1097">
        <v>1.0090447127022673</v>
      </c>
      <c r="D362" s="1097">
        <v>1.0260764079382747</v>
      </c>
      <c r="E362" s="1097">
        <v>0.97694314928105519</v>
      </c>
      <c r="F362" s="1097">
        <v>1.0191755309053954</v>
      </c>
      <c r="G362" s="1097">
        <v>0.97874891748195714</v>
      </c>
      <c r="H362" s="1097">
        <v>1.0026396341261432</v>
      </c>
      <c r="I362" s="1097">
        <v>0.98919426654920517</v>
      </c>
      <c r="K362">
        <v>5.2453850645594997</v>
      </c>
      <c r="L362">
        <v>0</v>
      </c>
      <c r="M362">
        <v>3.8045262435116366E-3</v>
      </c>
      <c r="N362">
        <v>0.30825497213855158</v>
      </c>
      <c r="O362">
        <v>0.14898686801420261</v>
      </c>
      <c r="P362">
        <v>2.0314592997187037E-2</v>
      </c>
      <c r="Q362">
        <v>1.2534646950761179E-3</v>
      </c>
      <c r="R362">
        <v>3.7983481173562866E-3</v>
      </c>
      <c r="S362">
        <v>0.45881842007822832</v>
      </c>
      <c r="T362">
        <v>4.074909721554687</v>
      </c>
      <c r="U362">
        <v>0</v>
      </c>
      <c r="V362">
        <v>1.1304767209823808E-2</v>
      </c>
      <c r="W362">
        <v>0.18652125563955116</v>
      </c>
      <c r="X362">
        <v>2.4292758588539777E-2</v>
      </c>
      <c r="Y362">
        <v>1.0734421769809295E-2</v>
      </c>
    </row>
    <row r="363" spans="1:25" x14ac:dyDescent="0.25">
      <c r="A363" s="1093"/>
      <c r="B363" s="1452">
        <v>113</v>
      </c>
      <c r="C363" s="1097">
        <v>1.0412385138883715</v>
      </c>
      <c r="D363" s="1097">
        <v>0.98385479176541502</v>
      </c>
      <c r="E363" s="1097">
        <v>0.98946549113157778</v>
      </c>
      <c r="F363" s="1097">
        <v>0.97903894789460366</v>
      </c>
      <c r="G363" s="1097">
        <v>0.99040904416395681</v>
      </c>
      <c r="H363" s="1097">
        <v>0.99414577594916032</v>
      </c>
      <c r="I363" s="1097">
        <v>0.99173075692278934</v>
      </c>
      <c r="K363">
        <v>5.0205450512791838</v>
      </c>
      <c r="L363">
        <v>0</v>
      </c>
      <c r="M363">
        <v>3.4787455525464362E-3</v>
      </c>
      <c r="N363">
        <v>0.29250330690891518</v>
      </c>
      <c r="O363">
        <v>0.14071556626730705</v>
      </c>
      <c r="P363">
        <v>1.9660837365800817E-2</v>
      </c>
      <c r="Q363">
        <v>1.2487710389876888E-3</v>
      </c>
      <c r="R363">
        <v>3.4728150201818026E-3</v>
      </c>
      <c r="S363">
        <v>0.43308171649263016</v>
      </c>
      <c r="T363">
        <v>3.9128825891651879</v>
      </c>
      <c r="U363">
        <v>0</v>
      </c>
      <c r="V363">
        <v>1.130476720982382E-2</v>
      </c>
      <c r="W363">
        <v>0.17548141365116235</v>
      </c>
      <c r="X363">
        <v>2.385757332781125E-2</v>
      </c>
      <c r="Y363">
        <v>9.8144403839179502E-3</v>
      </c>
    </row>
    <row r="364" spans="1:25" x14ac:dyDescent="0.25">
      <c r="A364" s="1093"/>
      <c r="B364" s="1452">
        <v>114</v>
      </c>
      <c r="C364" s="1097">
        <v>1.0175757609658791</v>
      </c>
      <c r="D364" s="1097">
        <v>1.019850728759389</v>
      </c>
      <c r="E364" s="1097">
        <v>0.97171559276445041</v>
      </c>
      <c r="F364" s="1097">
        <v>1.0189976549061985</v>
      </c>
      <c r="G364" s="1097">
        <v>1.0095276559552842</v>
      </c>
      <c r="H364" s="1097">
        <v>0.9891196506285227</v>
      </c>
      <c r="I364" s="1097">
        <v>1.024508399799684</v>
      </c>
      <c r="K364">
        <v>5.24323681238966</v>
      </c>
      <c r="L364">
        <v>0</v>
      </c>
      <c r="M364">
        <v>3.7713040073828808E-3</v>
      </c>
      <c r="N364">
        <v>0.3008511258928489</v>
      </c>
      <c r="O364">
        <v>0.14821651599266675</v>
      </c>
      <c r="P364">
        <v>2.0279424822633906E-2</v>
      </c>
      <c r="Q364">
        <v>1.2403240240267462E-3</v>
      </c>
      <c r="R364">
        <v>3.7650950389893031E-3</v>
      </c>
      <c r="S364">
        <v>0.46911737900575318</v>
      </c>
      <c r="T364">
        <v>4.0748753751751119</v>
      </c>
      <c r="U364">
        <v>0</v>
      </c>
      <c r="V364">
        <v>1.1304767209823811E-2</v>
      </c>
      <c r="W364">
        <v>0.18269697921096106</v>
      </c>
      <c r="X364">
        <v>2.4020683992637421E-2</v>
      </c>
      <c r="Y364">
        <v>1.0640446031591769E-2</v>
      </c>
    </row>
    <row r="365" spans="1:25" x14ac:dyDescent="0.25">
      <c r="A365" s="1093"/>
      <c r="B365" s="1452">
        <v>115</v>
      </c>
      <c r="C365" s="1097">
        <v>1.0259497354161669</v>
      </c>
      <c r="D365" s="1097">
        <v>1.0096367900358325</v>
      </c>
      <c r="E365" s="1097">
        <v>0.98427478245508881</v>
      </c>
      <c r="F365" s="1097">
        <v>1.0050227891249062</v>
      </c>
      <c r="G365" s="1097">
        <v>1.0059618828518258</v>
      </c>
      <c r="H365" s="1097">
        <v>1.0295105080844076</v>
      </c>
      <c r="I365" s="1097">
        <v>1.0258595359697553</v>
      </c>
      <c r="K365">
        <v>5.1971579017316829</v>
      </c>
      <c r="L365">
        <v>0</v>
      </c>
      <c r="M365">
        <v>3.7551598286614521E-3</v>
      </c>
      <c r="N365">
        <v>0.31095289414888955</v>
      </c>
      <c r="O365">
        <v>0.1452346512039929</v>
      </c>
      <c r="P365">
        <v>2.0215165767155749E-2</v>
      </c>
      <c r="Q365">
        <v>1.2487199761343569E-3</v>
      </c>
      <c r="R365">
        <v>3.7491375365095443E-3</v>
      </c>
      <c r="S365">
        <v>0.46899745780833441</v>
      </c>
      <c r="T365">
        <v>4.0173901017266243</v>
      </c>
      <c r="U365">
        <v>0</v>
      </c>
      <c r="V365">
        <v>1.1304767209823822E-2</v>
      </c>
      <c r="W365">
        <v>0.18721137193195703</v>
      </c>
      <c r="X365">
        <v>2.4013445339634131E-2</v>
      </c>
      <c r="Y365">
        <v>1.0595348911286287E-2</v>
      </c>
    </row>
    <row r="366" spans="1:25" x14ac:dyDescent="0.25">
      <c r="A366" s="1093"/>
      <c r="B366" s="1452">
        <v>116</v>
      </c>
      <c r="C366" s="1097">
        <v>0.97701784954574389</v>
      </c>
      <c r="D366" s="1097">
        <v>0.97310349428341614</v>
      </c>
      <c r="E366" s="1097">
        <v>0.98639718268019494</v>
      </c>
      <c r="F366" s="1097">
        <v>0.99244147337568867</v>
      </c>
      <c r="G366" s="1097">
        <v>1.0085585031862605</v>
      </c>
      <c r="H366" s="1097">
        <v>1.0413896483488747</v>
      </c>
      <c r="I366" s="1097">
        <v>1.0115570027529066</v>
      </c>
      <c r="K366">
        <v>5.2058201151509556</v>
      </c>
      <c r="L366">
        <v>0</v>
      </c>
      <c r="M366">
        <v>3.9795900401662747E-3</v>
      </c>
      <c r="N366">
        <v>0.33161778398493924</v>
      </c>
      <c r="O366">
        <v>0.1527752194649532</v>
      </c>
      <c r="P366">
        <v>2.0098316386107765E-2</v>
      </c>
      <c r="Q366">
        <v>1.3331790535049948E-3</v>
      </c>
      <c r="R366">
        <v>3.9732007711953815E-3</v>
      </c>
      <c r="S366">
        <v>0.48638553997937961</v>
      </c>
      <c r="T366">
        <v>3.9668323723617087</v>
      </c>
      <c r="U366">
        <v>0</v>
      </c>
      <c r="V366">
        <v>1.1304767209823818E-2</v>
      </c>
      <c r="W366">
        <v>0.19936375708982923</v>
      </c>
      <c r="X366">
        <v>2.4887000170751371E-2</v>
      </c>
      <c r="Y366">
        <v>1.1228568718927195E-2</v>
      </c>
    </row>
    <row r="367" spans="1:25" x14ac:dyDescent="0.25">
      <c r="A367" s="1093"/>
      <c r="B367" s="1452">
        <v>117</v>
      </c>
      <c r="C367" s="1097">
        <v>1.006724447820079</v>
      </c>
      <c r="D367" s="1097">
        <v>0.98725233331246098</v>
      </c>
      <c r="E367" s="1097">
        <v>0.99196582548954571</v>
      </c>
      <c r="F367" s="1097">
        <v>1.0031731772581804</v>
      </c>
      <c r="G367" s="1097">
        <v>1.0394496712760319</v>
      </c>
      <c r="H367" s="1097">
        <v>1.0137094368501773</v>
      </c>
      <c r="I367" s="1097">
        <v>0.9940337548761109</v>
      </c>
      <c r="K367">
        <v>5.1936230067122695</v>
      </c>
      <c r="L367">
        <v>0</v>
      </c>
      <c r="M367">
        <v>3.7342343727410974E-3</v>
      </c>
      <c r="N367">
        <v>0.31634509876972361</v>
      </c>
      <c r="O367">
        <v>0.14885229546435202</v>
      </c>
      <c r="P367">
        <v>2.0261066990642302E-2</v>
      </c>
      <c r="Q367">
        <v>1.2925867946738359E-3</v>
      </c>
      <c r="R367">
        <v>3.7281410955352719E-3</v>
      </c>
      <c r="S367">
        <v>0.46152723268226892</v>
      </c>
      <c r="T367">
        <v>4.0090225252025586</v>
      </c>
      <c r="U367">
        <v>0</v>
      </c>
      <c r="V367">
        <v>1.1304767209823825E-2</v>
      </c>
      <c r="W367">
        <v>0.18946233760246883</v>
      </c>
      <c r="X367">
        <v>2.502517790686663E-2</v>
      </c>
      <c r="Y367">
        <v>1.0536011366090559E-2</v>
      </c>
    </row>
    <row r="368" spans="1:25" x14ac:dyDescent="0.25">
      <c r="A368" s="1093"/>
      <c r="B368" s="1452">
        <v>118</v>
      </c>
      <c r="C368" s="1097">
        <v>0.9897673227137741</v>
      </c>
      <c r="D368" s="1097">
        <v>0.9684322638584939</v>
      </c>
      <c r="E368" s="1097">
        <v>1.0269453178491377</v>
      </c>
      <c r="F368" s="1097">
        <v>1.0228326086141268</v>
      </c>
      <c r="G368" s="1097">
        <v>1.0087503443113375</v>
      </c>
      <c r="H368" s="1097">
        <v>0.95638729008295009</v>
      </c>
      <c r="I368" s="1097">
        <v>0.96567909563308307</v>
      </c>
      <c r="K368">
        <v>5.2733240498842386</v>
      </c>
      <c r="L368">
        <v>0</v>
      </c>
      <c r="M368">
        <v>3.4199483379459524E-3</v>
      </c>
      <c r="N368">
        <v>0.32131503988890781</v>
      </c>
      <c r="O368">
        <v>0.15454333275761284</v>
      </c>
      <c r="P368">
        <v>2.1102794145255226E-2</v>
      </c>
      <c r="Q368">
        <v>1.3649684504637158E-3</v>
      </c>
      <c r="R368">
        <v>3.4141469253013471E-3</v>
      </c>
      <c r="S368">
        <v>0.45445314372016493</v>
      </c>
      <c r="T368">
        <v>4.083116311958392</v>
      </c>
      <c r="U368">
        <v>0</v>
      </c>
      <c r="V368">
        <v>1.1304767209823808E-2</v>
      </c>
      <c r="W368">
        <v>0.18797089862698937</v>
      </c>
      <c r="X368">
        <v>2.850995467058718E-2</v>
      </c>
      <c r="Y368">
        <v>9.6486398686886302E-3</v>
      </c>
    </row>
    <row r="369" spans="1:25" x14ac:dyDescent="0.25">
      <c r="A369" s="1093"/>
      <c r="B369" s="1452">
        <v>119</v>
      </c>
      <c r="C369" s="1097">
        <v>1.0188246392482665</v>
      </c>
      <c r="D369" s="1097">
        <v>0.9780503744791218</v>
      </c>
      <c r="E369" s="1097">
        <v>1.0203982763595325</v>
      </c>
      <c r="F369" s="1097">
        <v>0.98508764291502005</v>
      </c>
      <c r="G369" s="1097">
        <v>0.96812843509097346</v>
      </c>
      <c r="H369" s="1097">
        <v>1.0096615948259964</v>
      </c>
      <c r="I369" s="1097">
        <v>0.99205217953353375</v>
      </c>
      <c r="K369">
        <v>5.093598804342145</v>
      </c>
      <c r="L369">
        <v>0</v>
      </c>
      <c r="M369">
        <v>3.4118132813486667E-3</v>
      </c>
      <c r="N369">
        <v>0.31441190843854577</v>
      </c>
      <c r="O369">
        <v>0.14420268158169131</v>
      </c>
      <c r="P369">
        <v>2.0282129774507478E-2</v>
      </c>
      <c r="Q369">
        <v>1.3135269969977196E-3</v>
      </c>
      <c r="R369">
        <v>3.4061213438359972E-3</v>
      </c>
      <c r="S369">
        <v>0.44837196185407113</v>
      </c>
      <c r="T369">
        <v>3.933240263026121</v>
      </c>
      <c r="U369">
        <v>0</v>
      </c>
      <c r="V369">
        <v>1.1304767209823817E-2</v>
      </c>
      <c r="W369">
        <v>0.18473524697962324</v>
      </c>
      <c r="X369">
        <v>2.6116051455531891E-2</v>
      </c>
      <c r="Y369">
        <v>9.6259589627433872E-3</v>
      </c>
    </row>
    <row r="370" spans="1:25" x14ac:dyDescent="0.25">
      <c r="A370" s="1093"/>
      <c r="B370" s="1452">
        <v>120</v>
      </c>
      <c r="C370" s="1097">
        <v>0.96002217924043753</v>
      </c>
      <c r="D370" s="1097">
        <v>0.9746326535555434</v>
      </c>
      <c r="E370" s="1097">
        <v>1.0109782702064656</v>
      </c>
      <c r="F370" s="1097">
        <v>0.96850887648700601</v>
      </c>
      <c r="G370" s="1097">
        <v>1.0189708029079281</v>
      </c>
      <c r="H370" s="1097">
        <v>1.0281277989527249</v>
      </c>
      <c r="I370" s="1097">
        <v>0.98905953372613409</v>
      </c>
      <c r="K370">
        <v>5.0880570881417366</v>
      </c>
      <c r="L370">
        <v>0</v>
      </c>
      <c r="M370">
        <v>3.7030556497587796E-3</v>
      </c>
      <c r="N370">
        <v>0.3318694274709012</v>
      </c>
      <c r="O370">
        <v>0.150937855648974</v>
      </c>
      <c r="P370">
        <v>1.9950198376749252E-2</v>
      </c>
      <c r="Q370">
        <v>1.3848217805457882E-3</v>
      </c>
      <c r="R370">
        <v>3.696885118088274E-3</v>
      </c>
      <c r="S370">
        <v>0.47155868135742657</v>
      </c>
      <c r="T370">
        <v>3.8681818524929645</v>
      </c>
      <c r="U370">
        <v>0</v>
      </c>
      <c r="V370">
        <v>1.1304767209823815E-2</v>
      </c>
      <c r="W370">
        <v>0.19622478015749539</v>
      </c>
      <c r="X370">
        <v>2.6203194590980985E-2</v>
      </c>
      <c r="Y370">
        <v>1.0447679587544353E-2</v>
      </c>
    </row>
    <row r="371" spans="1:25" x14ac:dyDescent="0.25">
      <c r="A371" s="1093"/>
      <c r="B371" s="1452">
        <v>121</v>
      </c>
      <c r="C371" s="1097">
        <v>1.0208641407841788</v>
      </c>
      <c r="D371" s="1097">
        <v>0.96185620293085683</v>
      </c>
      <c r="E371" s="1097">
        <v>1.0083770701822585</v>
      </c>
      <c r="F371" s="1097">
        <v>1.0002612979675554</v>
      </c>
      <c r="G371" s="1097">
        <v>1.0058887186782293</v>
      </c>
      <c r="H371" s="1097">
        <v>1.0140369077929661</v>
      </c>
      <c r="I371" s="1097">
        <v>1.0067317233981248</v>
      </c>
      <c r="K371">
        <v>5.1818508952497746</v>
      </c>
      <c r="L371">
        <v>0</v>
      </c>
      <c r="M371">
        <v>3.585430958179937E-3</v>
      </c>
      <c r="N371">
        <v>0.31887228059977207</v>
      </c>
      <c r="O371">
        <v>0.14744362473848499</v>
      </c>
      <c r="P371">
        <v>2.0451342247297579E-2</v>
      </c>
      <c r="Q371">
        <v>1.3062830377949183E-3</v>
      </c>
      <c r="R371">
        <v>3.5795653802374629E-3</v>
      </c>
      <c r="S371">
        <v>0.46230431696353813</v>
      </c>
      <c r="T371">
        <v>3.9953248116050544</v>
      </c>
      <c r="U371">
        <v>0</v>
      </c>
      <c r="V371">
        <v>1.1304767209823822E-2</v>
      </c>
      <c r="W371">
        <v>0.18886953370044213</v>
      </c>
      <c r="X371">
        <v>2.5863675674068547E-2</v>
      </c>
      <c r="Y371">
        <v>1.0116125051439689E-2</v>
      </c>
    </row>
    <row r="372" spans="1:25" x14ac:dyDescent="0.25">
      <c r="A372" s="1093"/>
      <c r="B372" s="1452">
        <v>122</v>
      </c>
      <c r="C372" s="1097">
        <v>1.0393590811211153</v>
      </c>
      <c r="D372" s="1097">
        <v>1.003826510163156</v>
      </c>
      <c r="E372" s="1097">
        <v>0.9775559443985683</v>
      </c>
      <c r="F372" s="1097">
        <v>1.0213738089517765</v>
      </c>
      <c r="G372" s="1097">
        <v>1.0378250576037571</v>
      </c>
      <c r="H372" s="1097">
        <v>0.96382657585060494</v>
      </c>
      <c r="I372" s="1097">
        <v>0.99574260179118246</v>
      </c>
      <c r="K372">
        <v>5.2080628399051054</v>
      </c>
      <c r="L372">
        <v>0</v>
      </c>
      <c r="M372">
        <v>3.5849539057886829E-3</v>
      </c>
      <c r="N372">
        <v>0.29097527621952463</v>
      </c>
      <c r="O372">
        <v>0.14621342595924983</v>
      </c>
      <c r="P372">
        <v>2.0296725839973152E-2</v>
      </c>
      <c r="Q372">
        <v>1.2282781810018916E-3</v>
      </c>
      <c r="R372">
        <v>3.5789109206214725E-3</v>
      </c>
      <c r="S372">
        <v>0.44399863916748289</v>
      </c>
      <c r="T372">
        <v>4.083619547214453</v>
      </c>
      <c r="U372">
        <v>0</v>
      </c>
      <c r="V372">
        <v>1.130476720982383E-2</v>
      </c>
      <c r="W372">
        <v>0.17599148267465553</v>
      </c>
      <c r="X372">
        <v>2.4326464925501043E-2</v>
      </c>
      <c r="Y372">
        <v>1.0114275498599277E-2</v>
      </c>
    </row>
    <row r="373" spans="1:25" x14ac:dyDescent="0.25">
      <c r="A373" s="1093"/>
      <c r="B373" s="1452">
        <v>123</v>
      </c>
      <c r="C373" s="1097">
        <v>0.95549118880222306</v>
      </c>
      <c r="D373" s="1097">
        <v>0.99282699375281935</v>
      </c>
      <c r="E373" s="1097">
        <v>0.97321344825098599</v>
      </c>
      <c r="F373" s="1097">
        <v>1.0003040634104465</v>
      </c>
      <c r="G373" s="1097">
        <v>1.0209246759595794</v>
      </c>
      <c r="H373" s="1097">
        <v>1.0179358272821151</v>
      </c>
      <c r="I373" s="1097">
        <v>0.9879631059898617</v>
      </c>
      <c r="K373">
        <v>5.2342333243220622</v>
      </c>
      <c r="L373">
        <v>0</v>
      </c>
      <c r="M373">
        <v>4.0886173756756747E-3</v>
      </c>
      <c r="N373">
        <v>0.32762364403442223</v>
      </c>
      <c r="O373">
        <v>0.15658113200126159</v>
      </c>
      <c r="P373">
        <v>2.0027989846647064E-2</v>
      </c>
      <c r="Q373">
        <v>1.3369274044048021E-3</v>
      </c>
      <c r="R373">
        <v>4.0819545148549578E-3</v>
      </c>
      <c r="S373">
        <v>0.48242776493054185</v>
      </c>
      <c r="T373">
        <v>3.9999309259028828</v>
      </c>
      <c r="U373">
        <v>0</v>
      </c>
      <c r="V373">
        <v>1.1304767209823806E-2</v>
      </c>
      <c r="W373">
        <v>0.19874992731342997</v>
      </c>
      <c r="X373">
        <v>2.472099343800872E-2</v>
      </c>
      <c r="Y373">
        <v>1.1535915101464704E-2</v>
      </c>
    </row>
    <row r="374" spans="1:25" x14ac:dyDescent="0.25">
      <c r="A374" s="1093"/>
      <c r="B374" s="1452">
        <v>124</v>
      </c>
      <c r="C374" s="1097">
        <v>1.0119194804323859</v>
      </c>
      <c r="D374" s="1097">
        <v>0.98592224935720729</v>
      </c>
      <c r="E374" s="1097">
        <v>0.9645736372240401</v>
      </c>
      <c r="F374" s="1097">
        <v>1.0173320033079982</v>
      </c>
      <c r="G374" s="1097">
        <v>0.97468558043885156</v>
      </c>
      <c r="H374" s="1097">
        <v>1.0016139917944185</v>
      </c>
      <c r="I374" s="1097">
        <v>1.0161699125229684</v>
      </c>
      <c r="K374">
        <v>5.2566563417979548</v>
      </c>
      <c r="L374">
        <v>0</v>
      </c>
      <c r="M374">
        <v>3.9448570439797404E-3</v>
      </c>
      <c r="N374">
        <v>0.30809677408895064</v>
      </c>
      <c r="O374">
        <v>0.15102968323489971</v>
      </c>
      <c r="P374">
        <v>2.01591979828161E-2</v>
      </c>
      <c r="Q374">
        <v>1.2563789605672445E-3</v>
      </c>
      <c r="R374">
        <v>3.9384328751884568E-3</v>
      </c>
      <c r="S374">
        <v>0.4727333127126882</v>
      </c>
      <c r="T374">
        <v>4.0691404209195881</v>
      </c>
      <c r="U374">
        <v>0</v>
      </c>
      <c r="V374">
        <v>1.1304767209823813E-2</v>
      </c>
      <c r="W374">
        <v>0.18802224547632462</v>
      </c>
      <c r="X374">
        <v>2.378967339067635E-2</v>
      </c>
      <c r="Y374">
        <v>1.1130311990408334E-2</v>
      </c>
    </row>
    <row r="375" spans="1:25" x14ac:dyDescent="0.25">
      <c r="A375" s="1093"/>
      <c r="B375" s="1452">
        <v>125</v>
      </c>
      <c r="C375" s="1097">
        <v>1.0022321814844395</v>
      </c>
      <c r="D375" s="1097">
        <v>1.0069032842759904</v>
      </c>
      <c r="E375" s="1097">
        <v>1.0317742869139195</v>
      </c>
      <c r="F375" s="1097">
        <v>0.96220983055751863</v>
      </c>
      <c r="G375" s="1097">
        <v>1.0147176176466228</v>
      </c>
      <c r="H375" s="1097">
        <v>0.99822636456313285</v>
      </c>
      <c r="I375" s="1097">
        <v>0.98515145502688872</v>
      </c>
      <c r="K375">
        <v>4.9767084134175565</v>
      </c>
      <c r="L375">
        <v>0</v>
      </c>
      <c r="M375">
        <v>3.232105526258848E-3</v>
      </c>
      <c r="N375">
        <v>0.30802355377409679</v>
      </c>
      <c r="O375">
        <v>0.14122682069550754</v>
      </c>
      <c r="P375">
        <v>1.9976809507066717E-2</v>
      </c>
      <c r="Q375">
        <v>1.3325520177786031E-3</v>
      </c>
      <c r="R375">
        <v>3.2265221757870133E-3</v>
      </c>
      <c r="S375">
        <v>0.43923562637525332</v>
      </c>
      <c r="T375">
        <v>3.8405367597998454</v>
      </c>
      <c r="U375">
        <v>0</v>
      </c>
      <c r="V375">
        <v>1.1304767209823824E-2</v>
      </c>
      <c r="W375">
        <v>0.17961967464588133</v>
      </c>
      <c r="X375">
        <v>2.6339034740682287E-2</v>
      </c>
      <c r="Y375">
        <v>9.1183980020891325E-3</v>
      </c>
    </row>
    <row r="376" spans="1:25" x14ac:dyDescent="0.25">
      <c r="A376" s="1093"/>
      <c r="B376" s="1452">
        <v>126</v>
      </c>
      <c r="C376" s="1097">
        <v>1.0182580605373459</v>
      </c>
      <c r="D376" s="1097">
        <v>0.97781357632771493</v>
      </c>
      <c r="E376" s="1097">
        <v>1.027355793945502</v>
      </c>
      <c r="F376" s="1097">
        <v>0.97714960285705454</v>
      </c>
      <c r="G376" s="1097">
        <v>0.98592187230543527</v>
      </c>
      <c r="H376" s="1097">
        <v>1.0165675778982293</v>
      </c>
      <c r="I376" s="1097">
        <v>1.0094141878794269</v>
      </c>
      <c r="K376">
        <v>5.0679300562866922</v>
      </c>
      <c r="L376">
        <v>0</v>
      </c>
      <c r="M376">
        <v>3.3599668949854831E-3</v>
      </c>
      <c r="N376">
        <v>0.31607120383828374</v>
      </c>
      <c r="O376">
        <v>0.14294654994685335</v>
      </c>
      <c r="P376">
        <v>2.0263729791041386E-2</v>
      </c>
      <c r="Q376">
        <v>1.3221274250904535E-3</v>
      </c>
      <c r="R376">
        <v>3.3543543825278383E-3</v>
      </c>
      <c r="S376">
        <v>0.4546902950382638</v>
      </c>
      <c r="T376">
        <v>3.9007014450993513</v>
      </c>
      <c r="U376">
        <v>0</v>
      </c>
      <c r="V376">
        <v>1.1304767209823806E-2</v>
      </c>
      <c r="W376">
        <v>0.18485287073288814</v>
      </c>
      <c r="X376">
        <v>2.6303018139687551E-2</v>
      </c>
      <c r="Y376">
        <v>9.4796615778660036E-3</v>
      </c>
    </row>
    <row r="377" spans="1:25" x14ac:dyDescent="0.25">
      <c r="A377" s="1093"/>
      <c r="B377" s="1452">
        <v>127</v>
      </c>
      <c r="C377" s="1097">
        <v>1.0089170716575071</v>
      </c>
      <c r="D377" s="1097">
        <v>0.98908831301120304</v>
      </c>
      <c r="E377" s="1097">
        <v>1.0036980164139622</v>
      </c>
      <c r="F377" s="1097">
        <v>0.97374577175174881</v>
      </c>
      <c r="G377" s="1097">
        <v>1.0089585871089433</v>
      </c>
      <c r="H377" s="1097">
        <v>0.97062665567436146</v>
      </c>
      <c r="I377" s="1097">
        <v>1.0078816066801015</v>
      </c>
      <c r="K377">
        <v>5.0203719046539179</v>
      </c>
      <c r="L377">
        <v>0</v>
      </c>
      <c r="M377">
        <v>3.3762724277759991E-3</v>
      </c>
      <c r="N377">
        <v>0.29610281541842948</v>
      </c>
      <c r="O377">
        <v>0.14374815349137746</v>
      </c>
      <c r="P377">
        <v>1.9832141339817526E-2</v>
      </c>
      <c r="Q377">
        <v>1.3018618751324414E-3</v>
      </c>
      <c r="R377">
        <v>3.3703451300909661E-3</v>
      </c>
      <c r="S377">
        <v>0.44740313077513594</v>
      </c>
      <c r="T377">
        <v>3.8899847654099937</v>
      </c>
      <c r="U377">
        <v>0</v>
      </c>
      <c r="V377">
        <v>1.1304767209823818E-2</v>
      </c>
      <c r="W377">
        <v>0.17593631949973482</v>
      </c>
      <c r="X377">
        <v>2.5239024280843389E-2</v>
      </c>
      <c r="Y377">
        <v>9.5248526513152278E-3</v>
      </c>
    </row>
    <row r="378" spans="1:25" x14ac:dyDescent="0.25">
      <c r="A378" s="1093"/>
      <c r="B378" s="1452">
        <v>128</v>
      </c>
      <c r="C378" s="1097">
        <v>0.9848846348925665</v>
      </c>
      <c r="D378" s="1097">
        <v>1.0151948525952894</v>
      </c>
      <c r="E378" s="1097">
        <v>0.98920439362086499</v>
      </c>
      <c r="F378" s="1097">
        <v>1.005549779225873</v>
      </c>
      <c r="G378" s="1097">
        <v>1.0160276673175255</v>
      </c>
      <c r="H378" s="1097">
        <v>0.97951384160828336</v>
      </c>
      <c r="I378" s="1097">
        <v>1.000587337672497</v>
      </c>
      <c r="K378">
        <v>5.1994828244109499</v>
      </c>
      <c r="L378">
        <v>0</v>
      </c>
      <c r="M378">
        <v>3.6772509783306409E-3</v>
      </c>
      <c r="N378">
        <v>0.30896115262778945</v>
      </c>
      <c r="O378">
        <v>0.15089834333806423</v>
      </c>
      <c r="P378">
        <v>2.0286811408097103E-2</v>
      </c>
      <c r="Q378">
        <v>1.3034743065297254E-3</v>
      </c>
      <c r="R378">
        <v>3.6710558603346298E-3</v>
      </c>
      <c r="S378">
        <v>0.46670054815365208</v>
      </c>
      <c r="T378">
        <v>4.0188704099199679</v>
      </c>
      <c r="U378">
        <v>0</v>
      </c>
      <c r="V378">
        <v>1.1304767209823824E-2</v>
      </c>
      <c r="W378">
        <v>0.18538791389866785</v>
      </c>
      <c r="X378">
        <v>2.540091453318475E-2</v>
      </c>
      <c r="Y378">
        <v>1.0374684133162008E-2</v>
      </c>
    </row>
    <row r="379" spans="1:25" x14ac:dyDescent="0.25">
      <c r="A379" s="1093"/>
      <c r="B379" s="1452">
        <v>129</v>
      </c>
      <c r="C379" s="1097">
        <v>0.99726784769277188</v>
      </c>
      <c r="D379" s="1097">
        <v>0.96855092644938157</v>
      </c>
      <c r="E379" s="1097">
        <v>1.0050080307871334</v>
      </c>
      <c r="F379" s="1097">
        <v>1.0089377489692974</v>
      </c>
      <c r="G379" s="1097">
        <v>1.0122232266733704</v>
      </c>
      <c r="H379" s="1097">
        <v>0.97615419932516534</v>
      </c>
      <c r="I379" s="1097">
        <v>0.95347673260215471</v>
      </c>
      <c r="K379">
        <v>5.1981660511347565</v>
      </c>
      <c r="L379">
        <v>0</v>
      </c>
      <c r="M379">
        <v>3.5792038028137877E-3</v>
      </c>
      <c r="N379">
        <v>0.31514283248180575</v>
      </c>
      <c r="O379">
        <v>0.15191579951966599</v>
      </c>
      <c r="P379">
        <v>2.0476400891970545E-2</v>
      </c>
      <c r="Q379">
        <v>1.3296576917892948E-3</v>
      </c>
      <c r="R379">
        <v>3.5731733975467805E-3</v>
      </c>
      <c r="S379">
        <v>0.44389115410696134</v>
      </c>
      <c r="T379">
        <v>4.0304064245624085</v>
      </c>
      <c r="U379">
        <v>0</v>
      </c>
      <c r="V379">
        <v>1.1304767209823824E-2</v>
      </c>
      <c r="W379">
        <v>0.18708415502843864</v>
      </c>
      <c r="X379">
        <v>2.6522829226805881E-2</v>
      </c>
      <c r="Y379">
        <v>1.0098060820351027E-2</v>
      </c>
    </row>
    <row r="380" spans="1:25" x14ac:dyDescent="0.25">
      <c r="A380" s="1093"/>
      <c r="B380" s="1452">
        <v>130</v>
      </c>
      <c r="C380" s="1097">
        <v>0.95633373559816359</v>
      </c>
      <c r="D380" s="1097">
        <v>0.9670765283017182</v>
      </c>
      <c r="E380" s="1097">
        <v>0.98318766601354113</v>
      </c>
      <c r="F380" s="1097">
        <v>1.0339277068998973</v>
      </c>
      <c r="G380" s="1097">
        <v>1.011185556664477</v>
      </c>
      <c r="H380" s="1097">
        <v>0.97501453500774793</v>
      </c>
      <c r="I380" s="1097">
        <v>1.0470491386695258</v>
      </c>
      <c r="K380">
        <v>5.4159316545021792</v>
      </c>
      <c r="L380">
        <v>0</v>
      </c>
      <c r="M380">
        <v>4.0021469285653208E-3</v>
      </c>
      <c r="N380">
        <v>0.3303240434168328</v>
      </c>
      <c r="O380">
        <v>0.16310643821426479</v>
      </c>
      <c r="P380">
        <v>2.0941489045178299E-2</v>
      </c>
      <c r="Q380">
        <v>1.3616156998319555E-3</v>
      </c>
      <c r="R380">
        <v>3.99555895422908E-3</v>
      </c>
      <c r="S380">
        <v>0.51873661065456245</v>
      </c>
      <c r="T380">
        <v>4.1330742878487587</v>
      </c>
      <c r="U380">
        <v>0</v>
      </c>
      <c r="V380">
        <v>1.1304767209823813E-2</v>
      </c>
      <c r="W380">
        <v>0.1990217118372527</v>
      </c>
      <c r="X380">
        <v>2.6775523898864468E-2</v>
      </c>
      <c r="Y380">
        <v>1.1291754651146955E-2</v>
      </c>
    </row>
    <row r="381" spans="1:25" x14ac:dyDescent="0.25">
      <c r="A381" s="1093"/>
      <c r="B381" s="1452">
        <v>131</v>
      </c>
      <c r="C381" s="1097">
        <v>0.99420150699176246</v>
      </c>
      <c r="D381" s="1097">
        <v>1.0209994829273217</v>
      </c>
      <c r="E381" s="1097">
        <v>1.0253459413883323</v>
      </c>
      <c r="F381" s="1097">
        <v>1.0259259115108736</v>
      </c>
      <c r="G381" s="1097">
        <v>1.0311015581976664</v>
      </c>
      <c r="H381" s="1097">
        <v>0.98511626943632447</v>
      </c>
      <c r="I381" s="1097">
        <v>1.0029567487536499</v>
      </c>
      <c r="K381">
        <v>5.3024626959560122</v>
      </c>
      <c r="L381">
        <v>0</v>
      </c>
      <c r="M381">
        <v>3.4556307892703274E-3</v>
      </c>
      <c r="N381">
        <v>0.32315317242257779</v>
      </c>
      <c r="O381">
        <v>0.15113632705182473</v>
      </c>
      <c r="P381">
        <v>2.1217082749380951E-2</v>
      </c>
      <c r="Q381">
        <v>1.3286582872580508E-3</v>
      </c>
      <c r="R381">
        <v>3.4499569302372502E-3</v>
      </c>
      <c r="S381">
        <v>0.47186416660671432</v>
      </c>
      <c r="T381">
        <v>4.0956681507432808</v>
      </c>
      <c r="U381">
        <v>0</v>
      </c>
      <c r="V381">
        <v>1.1304767209823813E-2</v>
      </c>
      <c r="W381">
        <v>0.18924709501371001</v>
      </c>
      <c r="X381">
        <v>2.7799108053873367E-2</v>
      </c>
      <c r="Y381">
        <v>9.7498416766020352E-3</v>
      </c>
    </row>
    <row r="382" spans="1:25" x14ac:dyDescent="0.25">
      <c r="A382" s="1093"/>
      <c r="B382" s="1452">
        <v>132</v>
      </c>
      <c r="C382" s="1097">
        <v>0.95062273448349233</v>
      </c>
      <c r="D382" s="1097">
        <v>1.0052619467336716</v>
      </c>
      <c r="E382" s="1097">
        <v>0.99186072780850709</v>
      </c>
      <c r="F382" s="1097">
        <v>0.98363762818411948</v>
      </c>
      <c r="G382" s="1097">
        <v>1.0008185031431109</v>
      </c>
      <c r="H382" s="1097">
        <v>0.99523114218723485</v>
      </c>
      <c r="I382" s="1097">
        <v>1.0136487701065677</v>
      </c>
      <c r="K382">
        <v>5.1501824199104815</v>
      </c>
      <c r="L382">
        <v>0</v>
      </c>
      <c r="M382">
        <v>3.7804501828640016E-3</v>
      </c>
      <c r="N382">
        <v>0.32014020766832824</v>
      </c>
      <c r="O382">
        <v>0.15345650231966665</v>
      </c>
      <c r="P382">
        <v>2.0012253876418432E-2</v>
      </c>
      <c r="Q382">
        <v>1.3588839974946715E-3</v>
      </c>
      <c r="R382">
        <v>3.7740423831843207E-3</v>
      </c>
      <c r="S382">
        <v>0.48488574580675392</v>
      </c>
      <c r="T382">
        <v>3.9309648299001272</v>
      </c>
      <c r="U382">
        <v>0</v>
      </c>
      <c r="V382">
        <v>1.1304767209823813E-2</v>
      </c>
      <c r="W382">
        <v>0.19174896240321476</v>
      </c>
      <c r="X382">
        <v>2.5650942618949579E-2</v>
      </c>
      <c r="Y382">
        <v>1.0665731909384303E-2</v>
      </c>
    </row>
    <row r="383" spans="1:25" x14ac:dyDescent="0.25">
      <c r="A383" s="1093"/>
      <c r="B383" s="1452">
        <v>133</v>
      </c>
      <c r="C383" s="1097">
        <v>0.99401457881924571</v>
      </c>
      <c r="D383" s="1097">
        <v>0.99967161480570721</v>
      </c>
      <c r="E383" s="1097">
        <v>0.99709836718551981</v>
      </c>
      <c r="F383" s="1097">
        <v>1.0038524719527946</v>
      </c>
      <c r="G383" s="1097">
        <v>0.97496846743124821</v>
      </c>
      <c r="H383" s="1097">
        <v>1.0152332933415389</v>
      </c>
      <c r="I383" s="1097">
        <v>0.97415514584139007</v>
      </c>
      <c r="K383">
        <v>5.1998948741235234</v>
      </c>
      <c r="L383">
        <v>0</v>
      </c>
      <c r="M383">
        <v>3.7308123526408167E-3</v>
      </c>
      <c r="N383">
        <v>0.32090147346052444</v>
      </c>
      <c r="O383">
        <v>0.14996090780253554</v>
      </c>
      <c r="P383">
        <v>2.0330172395608009E-2</v>
      </c>
      <c r="Q383">
        <v>1.3083469141463354E-3</v>
      </c>
      <c r="R383">
        <v>3.724737903322446E-3</v>
      </c>
      <c r="S383">
        <v>0.45748790594439032</v>
      </c>
      <c r="T383">
        <v>4.0110886678435635</v>
      </c>
      <c r="U383">
        <v>0</v>
      </c>
      <c r="V383">
        <v>1.1304767209823824E-2</v>
      </c>
      <c r="W383">
        <v>0.19152317852147838</v>
      </c>
      <c r="X383">
        <v>2.5469134795691455E-2</v>
      </c>
      <c r="Y383">
        <v>1.052639368507568E-2</v>
      </c>
    </row>
    <row r="384" spans="1:25" x14ac:dyDescent="0.25">
      <c r="A384" s="1093"/>
      <c r="B384" s="1452">
        <v>134</v>
      </c>
      <c r="C384" s="1097">
        <v>1.002241702393168</v>
      </c>
      <c r="D384" s="1097">
        <v>0.97838393349771302</v>
      </c>
      <c r="E384" s="1097">
        <v>1.0050814863662085</v>
      </c>
      <c r="F384" s="1097">
        <v>1.0150579135610922</v>
      </c>
      <c r="G384" s="1097">
        <v>0.96387889789820846</v>
      </c>
      <c r="H384" s="1097">
        <v>0.965560537355308</v>
      </c>
      <c r="I384" s="1097">
        <v>0.98722364026623222</v>
      </c>
      <c r="K384">
        <v>5.2281751799515197</v>
      </c>
      <c r="L384">
        <v>0</v>
      </c>
      <c r="M384">
        <v>3.5292873997429114E-3</v>
      </c>
      <c r="N384">
        <v>0.31081282991564041</v>
      </c>
      <c r="O384">
        <v>0.15146350794769589</v>
      </c>
      <c r="P384">
        <v>2.0647673260348751E-2</v>
      </c>
      <c r="Q384">
        <v>1.3178066978444712E-3</v>
      </c>
      <c r="R384">
        <v>3.5233120425357976E-3</v>
      </c>
      <c r="S384">
        <v>0.4567219467945845</v>
      </c>
      <c r="T384">
        <v>4.0548453238264912</v>
      </c>
      <c r="U384">
        <v>0</v>
      </c>
      <c r="V384">
        <v>1.1304767209823824E-2</v>
      </c>
      <c r="W384">
        <v>0.18450452533732711</v>
      </c>
      <c r="X384">
        <v>2.6605625494612015E-2</v>
      </c>
      <c r="Y384">
        <v>9.9571488243556192E-3</v>
      </c>
    </row>
    <row r="385" spans="1:25" x14ac:dyDescent="0.25">
      <c r="A385" s="1093"/>
      <c r="B385" s="1452">
        <v>135</v>
      </c>
      <c r="C385" s="1097">
        <v>1.0192177911446962</v>
      </c>
      <c r="D385" s="1097">
        <v>1.0028740806606133</v>
      </c>
      <c r="E385" s="1097">
        <v>1.042532210709902</v>
      </c>
      <c r="F385" s="1097">
        <v>0.98712336868294814</v>
      </c>
      <c r="G385" s="1097">
        <v>1.0028328145070371</v>
      </c>
      <c r="H385" s="1097">
        <v>1.034733023738782</v>
      </c>
      <c r="I385" s="1097">
        <v>0.98760045166846167</v>
      </c>
      <c r="K385">
        <v>5.1140765637803378</v>
      </c>
      <c r="L385">
        <v>0</v>
      </c>
      <c r="M385">
        <v>3.3088044247975477E-3</v>
      </c>
      <c r="N385">
        <v>0.32555139475233108</v>
      </c>
      <c r="O385">
        <v>0.1424078522198656</v>
      </c>
      <c r="P385">
        <v>2.0639666973415731E-2</v>
      </c>
      <c r="Q385">
        <v>1.3243202149345904E-3</v>
      </c>
      <c r="R385">
        <v>3.3034291776211614E-3</v>
      </c>
      <c r="S385">
        <v>0.44921336651053467</v>
      </c>
      <c r="T385">
        <v>3.9386660760496435</v>
      </c>
      <c r="U385">
        <v>0</v>
      </c>
      <c r="V385">
        <v>1.1304767209823811E-2</v>
      </c>
      <c r="W385">
        <v>0.18849942006579004</v>
      </c>
      <c r="X385">
        <v>2.7139331970331606E-2</v>
      </c>
      <c r="Y385">
        <v>9.3357430608442607E-3</v>
      </c>
    </row>
    <row r="386" spans="1:25" x14ac:dyDescent="0.25">
      <c r="A386" s="1093"/>
      <c r="B386" s="1452">
        <v>136</v>
      </c>
      <c r="C386" s="1097">
        <v>1.0160401085522288</v>
      </c>
      <c r="D386" s="1097">
        <v>1.0092667527159511</v>
      </c>
      <c r="E386" s="1097">
        <v>1.0046477279189641</v>
      </c>
      <c r="F386" s="1097">
        <v>1.0232199946890563</v>
      </c>
      <c r="G386" s="1097">
        <v>0.98695270565137783</v>
      </c>
      <c r="H386" s="1097">
        <v>0.97134803995313301</v>
      </c>
      <c r="I386" s="1097">
        <v>1.017567628873338</v>
      </c>
      <c r="K386">
        <v>5.2608123023400051</v>
      </c>
      <c r="L386">
        <v>0</v>
      </c>
      <c r="M386">
        <v>3.4899152895921512E-3</v>
      </c>
      <c r="N386">
        <v>0.30695807168575745</v>
      </c>
      <c r="O386">
        <v>0.14875943974000255</v>
      </c>
      <c r="P386">
        <v>2.0831551832316456E-2</v>
      </c>
      <c r="Q386">
        <v>1.2833754226340677E-3</v>
      </c>
      <c r="R386">
        <v>3.4840885737527157E-3</v>
      </c>
      <c r="S386">
        <v>0.46580791287529266</v>
      </c>
      <c r="T386">
        <v>4.0875059334674084</v>
      </c>
      <c r="U386">
        <v>0</v>
      </c>
      <c r="V386">
        <v>1.1304767209823808E-2</v>
      </c>
      <c r="W386">
        <v>0.18226951756929516</v>
      </c>
      <c r="X386">
        <v>2.6251258946311411E-2</v>
      </c>
      <c r="Y386">
        <v>9.8463003070044519E-3</v>
      </c>
    </row>
    <row r="387" spans="1:25" x14ac:dyDescent="0.25">
      <c r="A387" s="1093"/>
      <c r="B387" s="1452">
        <v>137</v>
      </c>
      <c r="C387" s="1097">
        <v>1.0391891029204894</v>
      </c>
      <c r="D387" s="1097">
        <v>1.0155854291041093</v>
      </c>
      <c r="E387" s="1097">
        <v>0.9741513165090413</v>
      </c>
      <c r="F387" s="1097">
        <v>1.0120810257807376</v>
      </c>
      <c r="G387" s="1097">
        <v>1.0061224610076718</v>
      </c>
      <c r="H387" s="1097">
        <v>0.96339104252576457</v>
      </c>
      <c r="I387" s="1097">
        <v>1.0296838230562244</v>
      </c>
      <c r="K387">
        <v>5.1718779333433043</v>
      </c>
      <c r="L387">
        <v>0</v>
      </c>
      <c r="M387">
        <v>3.5601989957253222E-3</v>
      </c>
      <c r="N387">
        <v>0.28605583416058888</v>
      </c>
      <c r="O387">
        <v>0.14432502948821899</v>
      </c>
      <c r="P387">
        <v>2.0127720511966429E-2</v>
      </c>
      <c r="Q387">
        <v>1.2191517406925664E-3</v>
      </c>
      <c r="R387">
        <v>3.5541399884461392E-3</v>
      </c>
      <c r="S387">
        <v>0.45460969629867498</v>
      </c>
      <c r="T387">
        <v>4.0469029992753711</v>
      </c>
      <c r="U387">
        <v>0</v>
      </c>
      <c r="V387">
        <v>1.1304767209823808E-2</v>
      </c>
      <c r="W387">
        <v>0.1734212388261743</v>
      </c>
      <c r="X387">
        <v>2.3873283885968748E-2</v>
      </c>
      <c r="Y387">
        <v>1.0044270953100575E-2</v>
      </c>
    </row>
    <row r="388" spans="1:25" x14ac:dyDescent="0.25">
      <c r="A388" s="1093"/>
      <c r="B388" s="1452">
        <v>138</v>
      </c>
      <c r="C388" s="1097">
        <v>1.0045000270735225</v>
      </c>
      <c r="D388" s="1097">
        <v>0.99914432446408341</v>
      </c>
      <c r="E388" s="1097">
        <v>0.97238997842428065</v>
      </c>
      <c r="F388" s="1097">
        <v>1.020060343864972</v>
      </c>
      <c r="G388" s="1097">
        <v>1.0059709636287286</v>
      </c>
      <c r="H388" s="1097">
        <v>1.0083770943689101</v>
      </c>
      <c r="I388" s="1097">
        <v>0.96946700184430046</v>
      </c>
      <c r="K388">
        <v>5.2583651024017195</v>
      </c>
      <c r="L388">
        <v>0</v>
      </c>
      <c r="M388">
        <v>3.9253981064090396E-3</v>
      </c>
      <c r="N388">
        <v>0.31378184598721498</v>
      </c>
      <c r="O388">
        <v>0.15152169704296012</v>
      </c>
      <c r="P388">
        <v>2.0247401665534476E-2</v>
      </c>
      <c r="Q388">
        <v>1.2675667413694918E-3</v>
      </c>
      <c r="R388">
        <v>3.9190654557570079E-3</v>
      </c>
      <c r="S388">
        <v>0.45542156579246995</v>
      </c>
      <c r="T388">
        <v>4.0790374682794051</v>
      </c>
      <c r="U388">
        <v>0</v>
      </c>
      <c r="V388">
        <v>1.1304767209823834E-2</v>
      </c>
      <c r="W388">
        <v>0.19046087927134817</v>
      </c>
      <c r="X388">
        <v>2.4252664877775696E-2</v>
      </c>
      <c r="Y388">
        <v>1.1075578184462533E-2</v>
      </c>
    </row>
    <row r="389" spans="1:25" x14ac:dyDescent="0.25">
      <c r="A389" s="1093"/>
      <c r="B389" s="1452">
        <v>139</v>
      </c>
      <c r="C389" s="1097">
        <v>1.0171403665316539</v>
      </c>
      <c r="D389" s="1097">
        <v>0.96940229020111746</v>
      </c>
      <c r="E389" s="1097">
        <v>1.0053252317984511</v>
      </c>
      <c r="F389" s="1097">
        <v>1.0354764507949523</v>
      </c>
      <c r="G389" s="1097">
        <v>0.95734803666492296</v>
      </c>
      <c r="H389" s="1097">
        <v>0.96529939407126186</v>
      </c>
      <c r="I389" s="1097">
        <v>0.99989101374746447</v>
      </c>
      <c r="K389">
        <v>5.3237142624632359</v>
      </c>
      <c r="L389">
        <v>0</v>
      </c>
      <c r="M389">
        <v>3.557750896809432E-3</v>
      </c>
      <c r="N389">
        <v>0.31355612171447966</v>
      </c>
      <c r="O389">
        <v>0.1528027695729576</v>
      </c>
      <c r="P389">
        <v>2.1058056077852921E-2</v>
      </c>
      <c r="Q389">
        <v>1.3035743949232266E-3</v>
      </c>
      <c r="R389">
        <v>3.5518443390808035E-3</v>
      </c>
      <c r="S389">
        <v>0.46424834006161153</v>
      </c>
      <c r="T389">
        <v>4.1363795122631819</v>
      </c>
      <c r="U389">
        <v>0</v>
      </c>
      <c r="V389">
        <v>1.130476720982381E-2</v>
      </c>
      <c r="W389">
        <v>0.18610244329055772</v>
      </c>
      <c r="X389">
        <v>2.6926801162844634E-2</v>
      </c>
      <c r="Y389">
        <v>1.0037783272729599E-2</v>
      </c>
    </row>
    <row r="390" spans="1:25" x14ac:dyDescent="0.25">
      <c r="A390" s="1093"/>
      <c r="B390" s="1452">
        <v>140</v>
      </c>
      <c r="C390" s="1097">
        <v>0.99047757519234136</v>
      </c>
      <c r="D390" s="1097">
        <v>0.97644128207757719</v>
      </c>
      <c r="E390" s="1097">
        <v>0.97992257234060776</v>
      </c>
      <c r="F390" s="1097">
        <v>0.98508408730439367</v>
      </c>
      <c r="G390" s="1097">
        <v>1.0039563239469753</v>
      </c>
      <c r="H390" s="1097">
        <v>0.98166296906825512</v>
      </c>
      <c r="I390" s="1097">
        <v>1.0369732322598668</v>
      </c>
      <c r="K390">
        <v>5.1194710724623214</v>
      </c>
      <c r="L390">
        <v>0</v>
      </c>
      <c r="M390">
        <v>3.7181795743268771E-3</v>
      </c>
      <c r="N390">
        <v>0.30390643460206929</v>
      </c>
      <c r="O390">
        <v>0.14955808493860792</v>
      </c>
      <c r="P390">
        <v>1.9828906395424058E-2</v>
      </c>
      <c r="Q390">
        <v>1.3059170982098337E-3</v>
      </c>
      <c r="R390">
        <v>3.7117995810314482E-3</v>
      </c>
      <c r="S390">
        <v>0.47678448814034036</v>
      </c>
      <c r="T390">
        <v>3.9382316824122148</v>
      </c>
      <c r="U390">
        <v>0</v>
      </c>
      <c r="V390">
        <v>1.1304767209823804E-2</v>
      </c>
      <c r="W390">
        <v>0.18351461752970866</v>
      </c>
      <c r="X390">
        <v>2.4552725130734459E-2</v>
      </c>
      <c r="Y390">
        <v>1.0489828998487138E-2</v>
      </c>
    </row>
    <row r="391" spans="1:25" x14ac:dyDescent="0.25">
      <c r="A391" s="1093"/>
      <c r="B391" s="1452">
        <v>141</v>
      </c>
      <c r="C391" s="1097">
        <v>0.9824598017640469</v>
      </c>
      <c r="D391" s="1097">
        <v>0.97469350999214788</v>
      </c>
      <c r="E391" s="1097">
        <v>0.99268483042501088</v>
      </c>
      <c r="F391" s="1097">
        <v>1.0234308016113256</v>
      </c>
      <c r="G391" s="1097">
        <v>0.99900033688162848</v>
      </c>
      <c r="H391" s="1097">
        <v>0.99886285960495258</v>
      </c>
      <c r="I391" s="1097">
        <v>1.0350797280887125</v>
      </c>
      <c r="K391">
        <v>5.3398293156367309</v>
      </c>
      <c r="L391">
        <v>0</v>
      </c>
      <c r="M391">
        <v>3.8603381665498525E-3</v>
      </c>
      <c r="N391">
        <v>0.3277285788043981</v>
      </c>
      <c r="O391">
        <v>0.15638658370337158</v>
      </c>
      <c r="P391">
        <v>2.0807430980647596E-2</v>
      </c>
      <c r="Q391">
        <v>1.3321358181414905E-3</v>
      </c>
      <c r="R391">
        <v>3.854071826099511E-3</v>
      </c>
      <c r="S391">
        <v>0.49902988637889528</v>
      </c>
      <c r="T391">
        <v>4.0898861870597516</v>
      </c>
      <c r="U391">
        <v>0</v>
      </c>
      <c r="V391">
        <v>1.1304767209823811E-2</v>
      </c>
      <c r="W391">
        <v>0.19618416233314795</v>
      </c>
      <c r="X391">
        <v>2.6283948463983596E-2</v>
      </c>
      <c r="Y391">
        <v>1.0891901225021558E-2</v>
      </c>
    </row>
    <row r="392" spans="1:25" x14ac:dyDescent="0.25">
      <c r="A392" s="1093"/>
      <c r="B392" s="1452">
        <v>142</v>
      </c>
      <c r="C392" s="1097">
        <v>1.0054128936402085</v>
      </c>
      <c r="D392" s="1097">
        <v>1.0037040277847842</v>
      </c>
      <c r="E392" s="1097">
        <v>0.97957617978519951</v>
      </c>
      <c r="F392" s="1097">
        <v>1.0067248753650122</v>
      </c>
      <c r="G392" s="1097">
        <v>1.0194118916953132</v>
      </c>
      <c r="H392" s="1097">
        <v>1.0424304916911311</v>
      </c>
      <c r="I392" s="1097">
        <v>1.0034211748260395</v>
      </c>
      <c r="K392">
        <v>5.2287338900219433</v>
      </c>
      <c r="L392">
        <v>0</v>
      </c>
      <c r="M392">
        <v>3.9343139698169074E-3</v>
      </c>
      <c r="N392">
        <v>0.32128521495947948</v>
      </c>
      <c r="O392">
        <v>0.14893332035313192</v>
      </c>
      <c r="P392">
        <v>2.0188797497670899E-2</v>
      </c>
      <c r="Q392">
        <v>1.2720418125455992E-3</v>
      </c>
      <c r="R392">
        <v>3.9280930814466772E-3</v>
      </c>
      <c r="S392">
        <v>0.47175070351500781</v>
      </c>
      <c r="T392">
        <v>4.0247927970933377</v>
      </c>
      <c r="U392">
        <v>0</v>
      </c>
      <c r="V392">
        <v>1.1304767209823808E-2</v>
      </c>
      <c r="W392">
        <v>0.19405489144651775</v>
      </c>
      <c r="X392">
        <v>2.4056486078909624E-2</v>
      </c>
      <c r="Y392">
        <v>1.1101090943888156E-2</v>
      </c>
    </row>
    <row r="393" spans="1:25" x14ac:dyDescent="0.25">
      <c r="A393" s="1093"/>
      <c r="B393" s="1452">
        <v>143</v>
      </c>
      <c r="C393" s="1097">
        <v>0.99063369801486323</v>
      </c>
      <c r="D393" s="1097">
        <v>0.99466858688586735</v>
      </c>
      <c r="E393" s="1097">
        <v>1.009305013635138</v>
      </c>
      <c r="F393" s="1097">
        <v>1.0042907017483029</v>
      </c>
      <c r="G393" s="1097">
        <v>0.99581516330058906</v>
      </c>
      <c r="H393" s="1097">
        <v>1.0022756534012967</v>
      </c>
      <c r="I393" s="1097">
        <v>1.0380112500970866</v>
      </c>
      <c r="K393">
        <v>5.2315792229884126</v>
      </c>
      <c r="L393">
        <v>0</v>
      </c>
      <c r="M393">
        <v>3.6107346425120691E-3</v>
      </c>
      <c r="N393">
        <v>0.32200217442191931</v>
      </c>
      <c r="O393">
        <v>0.15049559753434319</v>
      </c>
      <c r="P393">
        <v>2.0652801032552542E-2</v>
      </c>
      <c r="Q393">
        <v>1.3292549510143374E-3</v>
      </c>
      <c r="R393">
        <v>3.6047822917650465E-3</v>
      </c>
      <c r="S393">
        <v>0.48724469293969452</v>
      </c>
      <c r="T393">
        <v>4.0113028643436586</v>
      </c>
      <c r="U393">
        <v>0</v>
      </c>
      <c r="V393">
        <v>1.1304767209823806E-2</v>
      </c>
      <c r="W393">
        <v>0.19060451946101981</v>
      </c>
      <c r="X393">
        <v>2.6461113476495879E-2</v>
      </c>
      <c r="Y393">
        <v>1.0187389968636766E-2</v>
      </c>
    </row>
    <row r="394" spans="1:25" x14ac:dyDescent="0.25">
      <c r="A394" s="1093"/>
      <c r="B394" s="1452">
        <v>144</v>
      </c>
      <c r="C394" s="1097">
        <v>0.98852138423539493</v>
      </c>
      <c r="D394" s="1097">
        <v>1.0237030494407511</v>
      </c>
      <c r="E394" s="1097">
        <v>0.97960975328113309</v>
      </c>
      <c r="F394" s="1097">
        <v>1.023282314412798</v>
      </c>
      <c r="G394" s="1097">
        <v>1.0265089041031596</v>
      </c>
      <c r="H394" s="1097">
        <v>1.0210806274068314</v>
      </c>
      <c r="I394" s="1097">
        <v>1.0134855648759342</v>
      </c>
      <c r="K394">
        <v>5.3158476208442798</v>
      </c>
      <c r="L394">
        <v>0</v>
      </c>
      <c r="M394">
        <v>3.9523506921315217E-3</v>
      </c>
      <c r="N394">
        <v>0.32278803492813807</v>
      </c>
      <c r="O394">
        <v>0.15275831766991552</v>
      </c>
      <c r="P394">
        <v>2.0546359061402213E-2</v>
      </c>
      <c r="Q394">
        <v>1.283645482051428E-3</v>
      </c>
      <c r="R394">
        <v>3.9460736817033149E-3</v>
      </c>
      <c r="S394">
        <v>0.48527925926878784</v>
      </c>
      <c r="T394">
        <v>4.0909835500051521</v>
      </c>
      <c r="U394">
        <v>0</v>
      </c>
      <c r="V394">
        <v>1.1304767209823818E-2</v>
      </c>
      <c r="W394">
        <v>0.19495810248468476</v>
      </c>
      <c r="X394">
        <v>2.479995625178336E-2</v>
      </c>
      <c r="Y394">
        <v>1.1151905492967304E-2</v>
      </c>
    </row>
    <row r="395" spans="1:25" x14ac:dyDescent="0.25">
      <c r="A395" s="1093"/>
      <c r="B395" s="1452">
        <v>145</v>
      </c>
      <c r="C395" s="1097">
        <v>0.98524095279914481</v>
      </c>
      <c r="D395" s="1097">
        <v>1.0077969886134157</v>
      </c>
      <c r="E395" s="1097">
        <v>0.96657963089025367</v>
      </c>
      <c r="F395" s="1097">
        <v>0.99643047134195606</v>
      </c>
      <c r="G395" s="1097">
        <v>0.9939788707461078</v>
      </c>
      <c r="H395" s="1097">
        <v>1.0242249320786294</v>
      </c>
      <c r="I395" s="1097">
        <v>0.98490939494607044</v>
      </c>
      <c r="K395">
        <v>5.1742408827137334</v>
      </c>
      <c r="L395">
        <v>0</v>
      </c>
      <c r="M395">
        <v>4.0058257206746946E-3</v>
      </c>
      <c r="N395">
        <v>0.31472915225115938</v>
      </c>
      <c r="O395">
        <v>0.15054826374306593</v>
      </c>
      <c r="P395">
        <v>1.9782829439885616E-2</v>
      </c>
      <c r="Q395">
        <v>1.2813720052547376E-3</v>
      </c>
      <c r="R395">
        <v>3.9993126826860636E-3</v>
      </c>
      <c r="S395">
        <v>0.464693198466267</v>
      </c>
      <c r="T395">
        <v>3.9852831484225297</v>
      </c>
      <c r="U395">
        <v>0</v>
      </c>
      <c r="V395">
        <v>1.1304767209823811E-2</v>
      </c>
      <c r="W395">
        <v>0.19180338374460076</v>
      </c>
      <c r="X395">
        <v>2.3518917494781404E-2</v>
      </c>
      <c r="Y395">
        <v>1.1302362974349996E-2</v>
      </c>
    </row>
    <row r="396" spans="1:25" x14ac:dyDescent="0.25">
      <c r="A396" s="1093"/>
      <c r="B396" s="1452">
        <v>146</v>
      </c>
      <c r="C396" s="1097">
        <v>1.047362398083485</v>
      </c>
      <c r="D396" s="1097">
        <v>1.0072505692751237</v>
      </c>
      <c r="E396" s="1097">
        <v>1.0179404110920043</v>
      </c>
      <c r="F396" s="1097">
        <v>0.98002577719553896</v>
      </c>
      <c r="G396" s="1097">
        <v>0.99138467840806344</v>
      </c>
      <c r="H396" s="1097">
        <v>1.0433071030626728</v>
      </c>
      <c r="I396" s="1097">
        <v>1.0066775045057257</v>
      </c>
      <c r="K396">
        <v>5.0550976667384324</v>
      </c>
      <c r="L396">
        <v>0</v>
      </c>
      <c r="M396">
        <v>3.3894908535565386E-3</v>
      </c>
      <c r="N396">
        <v>0.31010565607099583</v>
      </c>
      <c r="O396">
        <v>0.13798405604687528</v>
      </c>
      <c r="P396">
        <v>2.0133808974508172E-2</v>
      </c>
      <c r="Q396">
        <v>1.2601643472279116E-3</v>
      </c>
      <c r="R396">
        <v>3.3839902974193781E-3</v>
      </c>
      <c r="S396">
        <v>0.44402199780853679</v>
      </c>
      <c r="T396">
        <v>3.9133290296798404</v>
      </c>
      <c r="U396">
        <v>0</v>
      </c>
      <c r="V396">
        <v>1.1304767209823801E-2</v>
      </c>
      <c r="W396">
        <v>0.18250409733057543</v>
      </c>
      <c r="X396">
        <v>2.4896174890242109E-2</v>
      </c>
      <c r="Y396">
        <v>9.5634149359445624E-3</v>
      </c>
    </row>
    <row r="397" spans="1:25" x14ac:dyDescent="0.25">
      <c r="A397" s="1093"/>
      <c r="B397" s="1452">
        <v>147</v>
      </c>
      <c r="C397" s="1097">
        <v>0.97607077884819993</v>
      </c>
      <c r="D397" s="1097">
        <v>0.97672445206156644</v>
      </c>
      <c r="E397" s="1097">
        <v>0.97883342374769799</v>
      </c>
      <c r="F397" s="1097">
        <v>0.9880308992611615</v>
      </c>
      <c r="G397" s="1097">
        <v>1.0241462415366434</v>
      </c>
      <c r="H397" s="1097">
        <v>0.98159234161553455</v>
      </c>
      <c r="I397" s="1097">
        <v>0.96773827375460053</v>
      </c>
      <c r="K397">
        <v>5.1185185463371967</v>
      </c>
      <c r="L397">
        <v>0</v>
      </c>
      <c r="M397">
        <v>3.7922767852565371E-3</v>
      </c>
      <c r="N397">
        <v>0.30896413754349616</v>
      </c>
      <c r="O397">
        <v>0.15223286510527279</v>
      </c>
      <c r="P397">
        <v>1.9757581936113398E-2</v>
      </c>
      <c r="Q397">
        <v>1.3237861160380216E-3</v>
      </c>
      <c r="R397">
        <v>3.7857885573730665E-3</v>
      </c>
      <c r="S397">
        <v>0.45260390732829969</v>
      </c>
      <c r="T397">
        <v>3.9501490494989859</v>
      </c>
      <c r="U397">
        <v>0</v>
      </c>
      <c r="V397">
        <v>1.1304767209823813E-2</v>
      </c>
      <c r="W397">
        <v>0.18670805396573456</v>
      </c>
      <c r="X397">
        <v>2.4781958366895257E-2</v>
      </c>
      <c r="Y397">
        <v>1.0698927494419674E-2</v>
      </c>
    </row>
    <row r="398" spans="1:25" x14ac:dyDescent="0.25">
      <c r="A398" s="1093"/>
      <c r="B398" s="1452">
        <v>148</v>
      </c>
      <c r="C398" s="1097">
        <v>0.98572130162875293</v>
      </c>
      <c r="D398" s="1097">
        <v>0.99704384843518856</v>
      </c>
      <c r="E398" s="1097">
        <v>1.0101485496024392</v>
      </c>
      <c r="F398" s="1097">
        <v>0.97805398862502091</v>
      </c>
      <c r="G398" s="1097">
        <v>1.0079675975523652</v>
      </c>
      <c r="H398" s="1097">
        <v>1.0063165295137688</v>
      </c>
      <c r="I398" s="1097">
        <v>1.0131433237572265</v>
      </c>
      <c r="K398">
        <v>5.0936413305897608</v>
      </c>
      <c r="L398">
        <v>0</v>
      </c>
      <c r="M398">
        <v>3.538649915484545E-3</v>
      </c>
      <c r="N398">
        <v>0.31635103681657734</v>
      </c>
      <c r="O398">
        <v>0.14713057802581181</v>
      </c>
      <c r="P398">
        <v>2.0096890518993851E-2</v>
      </c>
      <c r="Q398">
        <v>1.3355646990755685E-3</v>
      </c>
      <c r="R398">
        <v>3.5326842282584541E-3</v>
      </c>
      <c r="S398">
        <v>0.46801662419877821</v>
      </c>
      <c r="T398">
        <v>3.9064059911043354</v>
      </c>
      <c r="U398">
        <v>0</v>
      </c>
      <c r="V398">
        <v>1.130476720982382E-2</v>
      </c>
      <c r="W398">
        <v>0.18715338080598429</v>
      </c>
      <c r="X398">
        <v>2.5868827560860834E-2</v>
      </c>
      <c r="Y398">
        <v>9.9836353367403798E-3</v>
      </c>
    </row>
    <row r="399" spans="1:25" x14ac:dyDescent="0.25">
      <c r="A399" s="1093"/>
      <c r="B399" s="1452">
        <v>149</v>
      </c>
      <c r="C399" s="1097">
        <v>1.0105286057824483</v>
      </c>
      <c r="D399" s="1097">
        <v>0.97912803217510525</v>
      </c>
      <c r="E399" s="1097">
        <v>1.0047637361346282</v>
      </c>
      <c r="F399" s="1097">
        <v>1.0003396532727769</v>
      </c>
      <c r="G399" s="1097">
        <v>0.98609780639797473</v>
      </c>
      <c r="H399" s="1097">
        <v>0.97658895346772168</v>
      </c>
      <c r="I399" s="1097">
        <v>0.96636613046743147</v>
      </c>
      <c r="K399">
        <v>5.1421855848945786</v>
      </c>
      <c r="L399">
        <v>0</v>
      </c>
      <c r="M399">
        <v>3.4903506238235286E-3</v>
      </c>
      <c r="N399">
        <v>0.30709295793752339</v>
      </c>
      <c r="O399">
        <v>0.14800704030027276</v>
      </c>
      <c r="P399">
        <v>2.02981300516368E-2</v>
      </c>
      <c r="Q399">
        <v>1.3062478871930048E-3</v>
      </c>
      <c r="R399">
        <v>3.4844221010229817E-3</v>
      </c>
      <c r="S399">
        <v>0.43996146044597462</v>
      </c>
      <c r="T399">
        <v>3.996090199604263</v>
      </c>
      <c r="U399">
        <v>0</v>
      </c>
      <c r="V399">
        <v>1.1304767209823818E-2</v>
      </c>
      <c r="W399">
        <v>0.18233536069407155</v>
      </c>
      <c r="X399">
        <v>2.5948106406084803E-2</v>
      </c>
      <c r="Y399">
        <v>9.8472428805338238E-3</v>
      </c>
    </row>
    <row r="400" spans="1:25" x14ac:dyDescent="0.25">
      <c r="A400" s="1093"/>
      <c r="B400" s="1452">
        <v>150</v>
      </c>
      <c r="C400" s="1097">
        <v>1.0044992238784169</v>
      </c>
      <c r="D400" s="1097">
        <v>1.0095408857550894</v>
      </c>
      <c r="E400" s="1097">
        <v>1.0140326952832588</v>
      </c>
      <c r="F400" s="1097">
        <v>0.96396289313517758</v>
      </c>
      <c r="G400" s="1097">
        <v>0.96650495248875434</v>
      </c>
      <c r="H400" s="1097">
        <v>0.97959517612383773</v>
      </c>
      <c r="I400" s="1097">
        <v>0.96014956370128501</v>
      </c>
      <c r="K400">
        <v>4.9552402068362378</v>
      </c>
      <c r="L400">
        <v>0</v>
      </c>
      <c r="M400">
        <v>3.288058616605694E-3</v>
      </c>
      <c r="N400">
        <v>0.29732666086149456</v>
      </c>
      <c r="O400">
        <v>0.1414894009967905</v>
      </c>
      <c r="P400">
        <v>1.9693016611205944E-2</v>
      </c>
      <c r="Q400">
        <v>1.3083990925744696E-3</v>
      </c>
      <c r="R400">
        <v>3.2822810874947699E-3</v>
      </c>
      <c r="S400">
        <v>0.42434401490615342</v>
      </c>
      <c r="T400">
        <v>3.8496579016028791</v>
      </c>
      <c r="U400">
        <v>0</v>
      </c>
      <c r="V400">
        <v>1.1304767209823815E-2</v>
      </c>
      <c r="W400">
        <v>0.17544114830579061</v>
      </c>
      <c r="X400">
        <v>2.5404697835066853E-2</v>
      </c>
      <c r="Y400">
        <v>9.275976943566782E-3</v>
      </c>
    </row>
    <row r="401" spans="1:25" x14ac:dyDescent="0.25">
      <c r="A401" s="1093"/>
      <c r="B401" s="1452">
        <v>151</v>
      </c>
      <c r="C401" s="1097">
        <v>0.99769065286366687</v>
      </c>
      <c r="D401" s="1097">
        <v>1.0090428966340819</v>
      </c>
      <c r="E401" s="1097">
        <v>1.0182846026636985</v>
      </c>
      <c r="F401" s="1097">
        <v>0.99840043512558885</v>
      </c>
      <c r="G401" s="1097">
        <v>1.0123808312292375</v>
      </c>
      <c r="H401" s="1097">
        <v>1.0040490205662653</v>
      </c>
      <c r="I401" s="1097">
        <v>0.98811189534820143</v>
      </c>
      <c r="K401">
        <v>5.1676766870572575</v>
      </c>
      <c r="L401">
        <v>0</v>
      </c>
      <c r="M401">
        <v>3.4834334072186722E-3</v>
      </c>
      <c r="N401">
        <v>0.31901486567233395</v>
      </c>
      <c r="O401">
        <v>0.14745525664899664</v>
      </c>
      <c r="P401">
        <v>2.0538209740807879E-2</v>
      </c>
      <c r="Q401">
        <v>1.3223489167450929E-3</v>
      </c>
      <c r="R401">
        <v>3.4776672940071908E-3</v>
      </c>
      <c r="S401">
        <v>0.45731393140801657</v>
      </c>
      <c r="T401">
        <v>3.9866578766005478</v>
      </c>
      <c r="U401">
        <v>0</v>
      </c>
      <c r="V401">
        <v>1.1304767209823822E-2</v>
      </c>
      <c r="W401">
        <v>0.1877042274711257</v>
      </c>
      <c r="X401">
        <v>2.6542816221864728E-2</v>
      </c>
      <c r="Y401">
        <v>9.8281532802020812E-3</v>
      </c>
    </row>
    <row r="402" spans="1:25" x14ac:dyDescent="0.25">
      <c r="A402" s="1093"/>
      <c r="B402" s="1452">
        <v>152</v>
      </c>
      <c r="C402" s="1097">
        <v>0.9677612307780612</v>
      </c>
      <c r="D402" s="1097">
        <v>0.97148875353214081</v>
      </c>
      <c r="E402" s="1097">
        <v>0.9739910135757528</v>
      </c>
      <c r="F402" s="1097">
        <v>0.98840179434199427</v>
      </c>
      <c r="G402" s="1097">
        <v>1.02189515688151</v>
      </c>
      <c r="H402" s="1097">
        <v>1.0021266620141551</v>
      </c>
      <c r="I402" s="1097">
        <v>0.97516422971025041</v>
      </c>
      <c r="K402">
        <v>5.1490648111602564</v>
      </c>
      <c r="L402">
        <v>0</v>
      </c>
      <c r="M402">
        <v>3.9546990405644553E-3</v>
      </c>
      <c r="N402">
        <v>0.31761053198556044</v>
      </c>
      <c r="O402">
        <v>0.15406738852947599</v>
      </c>
      <c r="P402">
        <v>1.9747265601099923E-2</v>
      </c>
      <c r="Q402">
        <v>1.3324009698855055E-3</v>
      </c>
      <c r="R402">
        <v>3.9480740490577086E-3</v>
      </c>
      <c r="S402">
        <v>0.4645070836494084</v>
      </c>
      <c r="T402">
        <v>3.9522394571269945</v>
      </c>
      <c r="U402">
        <v>0</v>
      </c>
      <c r="V402">
        <v>1.130476720982382E-2</v>
      </c>
      <c r="W402">
        <v>0.19257249672399895</v>
      </c>
      <c r="X402">
        <v>2.4532485671681897E-2</v>
      </c>
      <c r="Y402">
        <v>1.1157558683831646E-2</v>
      </c>
    </row>
    <row r="403" spans="1:25" x14ac:dyDescent="0.25">
      <c r="A403" s="1093"/>
      <c r="B403" s="1452">
        <v>153</v>
      </c>
      <c r="C403" s="1097">
        <v>0.99524457619509443</v>
      </c>
      <c r="D403" s="1097">
        <v>1.0142535277904483</v>
      </c>
      <c r="E403" s="1097">
        <v>1.0206754508873443</v>
      </c>
      <c r="F403" s="1097">
        <v>1.0001915560739849</v>
      </c>
      <c r="G403" s="1097">
        <v>1.0077628005488315</v>
      </c>
      <c r="H403" s="1097">
        <v>1.0059932448882483</v>
      </c>
      <c r="I403" s="1097">
        <v>1.0019430110216121</v>
      </c>
      <c r="K403">
        <v>5.1860448531913912</v>
      </c>
      <c r="L403">
        <v>0</v>
      </c>
      <c r="M403">
        <v>3.4801899602090645E-3</v>
      </c>
      <c r="N403">
        <v>0.32098234219396338</v>
      </c>
      <c r="O403">
        <v>0.14771155658354349</v>
      </c>
      <c r="P403">
        <v>2.0643463253495403E-2</v>
      </c>
      <c r="Q403">
        <v>1.3255506612579622E-3</v>
      </c>
      <c r="R403">
        <v>3.4744506285104416E-3</v>
      </c>
      <c r="S403">
        <v>0.46545115265940146</v>
      </c>
      <c r="T403">
        <v>3.9935124270053222</v>
      </c>
      <c r="U403">
        <v>0</v>
      </c>
      <c r="V403">
        <v>1.1304767209823822E-2</v>
      </c>
      <c r="W403">
        <v>0.18856091847015499</v>
      </c>
      <c r="X403">
        <v>2.6739351748196173E-2</v>
      </c>
      <c r="Y403">
        <v>9.8190627379274725E-3</v>
      </c>
    </row>
    <row r="404" spans="1:25" x14ac:dyDescent="0.25">
      <c r="A404" s="1093"/>
      <c r="B404" s="1452">
        <v>154</v>
      </c>
      <c r="C404" s="1097">
        <v>0.9755591482681325</v>
      </c>
      <c r="D404" s="1097">
        <v>0.97505286042324824</v>
      </c>
      <c r="E404" s="1097">
        <v>1.0125863113150961</v>
      </c>
      <c r="F404" s="1097">
        <v>0.99886882995894632</v>
      </c>
      <c r="G404" s="1097">
        <v>0.95848343871787389</v>
      </c>
      <c r="H404" s="1097">
        <v>1.0243887561019447</v>
      </c>
      <c r="I404" s="1097">
        <v>1.0113101886768225</v>
      </c>
      <c r="K404">
        <v>5.2335072617413374</v>
      </c>
      <c r="L404">
        <v>0</v>
      </c>
      <c r="M404">
        <v>3.7311232314614961E-3</v>
      </c>
      <c r="N404">
        <v>0.33599549225457553</v>
      </c>
      <c r="O404">
        <v>0.15311738358813623</v>
      </c>
      <c r="P404">
        <v>2.0596365011038915E-2</v>
      </c>
      <c r="Q404">
        <v>1.3643968840549201E-3</v>
      </c>
      <c r="R404">
        <v>3.7250725819250362E-3</v>
      </c>
      <c r="S404">
        <v>0.48610303237146069</v>
      </c>
      <c r="T404">
        <v>3.9892376250567958</v>
      </c>
      <c r="U404">
        <v>0</v>
      </c>
      <c r="V404">
        <v>1.1304767209823824E-2</v>
      </c>
      <c r="W404">
        <v>0.19845031976464081</v>
      </c>
      <c r="X404">
        <v>2.6816590737985958E-2</v>
      </c>
      <c r="Y404">
        <v>1.0527339512358099E-2</v>
      </c>
    </row>
    <row r="405" spans="1:25" x14ac:dyDescent="0.25">
      <c r="A405" s="1093"/>
      <c r="B405" s="1452">
        <v>155</v>
      </c>
      <c r="C405" s="1097">
        <v>0.96352503350367713</v>
      </c>
      <c r="D405" s="1097">
        <v>0.99947285129507912</v>
      </c>
      <c r="E405" s="1097">
        <v>1.0114943621577874</v>
      </c>
      <c r="F405" s="1097">
        <v>0.97272866101322819</v>
      </c>
      <c r="G405" s="1097">
        <v>0.97974885828929759</v>
      </c>
      <c r="H405" s="1097">
        <v>0.98150420437907004</v>
      </c>
      <c r="I405" s="1097">
        <v>1.0285750385974755</v>
      </c>
      <c r="K405">
        <v>5.0818984054154912</v>
      </c>
      <c r="L405">
        <v>0</v>
      </c>
      <c r="M405">
        <v>3.4983527361902001E-3</v>
      </c>
      <c r="N405">
        <v>0.31398074230528694</v>
      </c>
      <c r="O405">
        <v>0.14951693643533737</v>
      </c>
      <c r="P405">
        <v>2.0068119328910287E-2</v>
      </c>
      <c r="Q405">
        <v>1.3665667706130454E-3</v>
      </c>
      <c r="R405">
        <v>3.4922728422640782E-3</v>
      </c>
      <c r="S405">
        <v>0.4788172734829757</v>
      </c>
      <c r="T405">
        <v>3.8849727902284288</v>
      </c>
      <c r="U405">
        <v>0</v>
      </c>
      <c r="V405">
        <v>1.1304767209823811E-2</v>
      </c>
      <c r="W405">
        <v>0.18558346462634817</v>
      </c>
      <c r="X405">
        <v>2.6424395247037581E-2</v>
      </c>
      <c r="Y405">
        <v>9.8694296746569023E-3</v>
      </c>
    </row>
    <row r="406" spans="1:25" x14ac:dyDescent="0.25">
      <c r="A406" s="1093"/>
      <c r="B406" s="1452">
        <v>156</v>
      </c>
      <c r="C406" s="1097">
        <v>1.0080771515231171</v>
      </c>
      <c r="D406" s="1097">
        <v>0.98994247843437666</v>
      </c>
      <c r="E406" s="1097">
        <v>0.99510694796735311</v>
      </c>
      <c r="F406" s="1097">
        <v>0.98845031836548891</v>
      </c>
      <c r="G406" s="1097">
        <v>0.98934667830675604</v>
      </c>
      <c r="H406" s="1097">
        <v>1.0173941964024067</v>
      </c>
      <c r="I406" s="1097">
        <v>0.98608711629006152</v>
      </c>
      <c r="K406">
        <v>5.1156654555628069</v>
      </c>
      <c r="L406">
        <v>0</v>
      </c>
      <c r="M406">
        <v>3.6596633114365667E-3</v>
      </c>
      <c r="N406">
        <v>0.31292239971046043</v>
      </c>
      <c r="O406">
        <v>0.14622547951205855</v>
      </c>
      <c r="P406">
        <v>1.9997398927818908E-2</v>
      </c>
      <c r="Q406">
        <v>1.2929383046642135E-3</v>
      </c>
      <c r="R406">
        <v>3.6536248667034242E-3</v>
      </c>
      <c r="S406">
        <v>0.45202393127953866</v>
      </c>
      <c r="T406">
        <v>3.9497939478842561</v>
      </c>
      <c r="U406">
        <v>0</v>
      </c>
      <c r="V406">
        <v>1.1304767209823808E-2</v>
      </c>
      <c r="W406">
        <v>0.18701324599997279</v>
      </c>
      <c r="X406">
        <v>2.4771962364578449E-2</v>
      </c>
      <c r="Y406">
        <v>1.0325422814366814E-2</v>
      </c>
    </row>
    <row r="407" spans="1:25" x14ac:dyDescent="0.25">
      <c r="A407" s="1093"/>
      <c r="B407" s="1452">
        <v>157</v>
      </c>
      <c r="C407" s="1097">
        <v>0.99142157076087378</v>
      </c>
      <c r="D407" s="1097">
        <v>1.0144617779620555</v>
      </c>
      <c r="E407" s="1097">
        <v>1.0109763372280174</v>
      </c>
      <c r="F407" s="1097">
        <v>0.98929026127287589</v>
      </c>
      <c r="G407" s="1097">
        <v>0.99034754918837542</v>
      </c>
      <c r="H407" s="1097">
        <v>0.9826967046403069</v>
      </c>
      <c r="I407" s="1097">
        <v>0.98231044102508669</v>
      </c>
      <c r="K407">
        <v>5.1076814952762479</v>
      </c>
      <c r="L407">
        <v>0</v>
      </c>
      <c r="M407">
        <v>3.4451165299226945E-3</v>
      </c>
      <c r="N407">
        <v>0.308738528742459</v>
      </c>
      <c r="O407">
        <v>0.14692086356356368</v>
      </c>
      <c r="P407">
        <v>2.0230132442063203E-2</v>
      </c>
      <c r="Q407">
        <v>1.3196482356405013E-3</v>
      </c>
      <c r="R407">
        <v>3.4392363668967023E-3</v>
      </c>
      <c r="S407">
        <v>0.44962650293871659</v>
      </c>
      <c r="T407">
        <v>3.9511820281015284</v>
      </c>
      <c r="U407">
        <v>0</v>
      </c>
      <c r="V407">
        <v>1.1304767209823822E-2</v>
      </c>
      <c r="W407">
        <v>0.18254838642841867</v>
      </c>
      <c r="X407">
        <v>2.6096973230933913E-2</v>
      </c>
      <c r="Y407">
        <v>9.7195445461253551E-3</v>
      </c>
    </row>
    <row r="408" spans="1:25" x14ac:dyDescent="0.25">
      <c r="A408" s="1093"/>
      <c r="B408" s="1452">
        <v>158</v>
      </c>
      <c r="C408" s="1097">
        <v>0.9898553908677189</v>
      </c>
      <c r="D408" s="1097">
        <v>0.9645171007383847</v>
      </c>
      <c r="E408" s="1097">
        <v>1.012785134491371</v>
      </c>
      <c r="F408" s="1097">
        <v>1.0263949807640314</v>
      </c>
      <c r="G408" s="1097">
        <v>0.98656363894558885</v>
      </c>
      <c r="H408" s="1097">
        <v>0.9857087883276725</v>
      </c>
      <c r="I408" s="1097">
        <v>0.96273616080447533</v>
      </c>
      <c r="K408">
        <v>5.3097563200721298</v>
      </c>
      <c r="L408">
        <v>0</v>
      </c>
      <c r="M408">
        <v>3.6500354022618192E-3</v>
      </c>
      <c r="N408">
        <v>0.32888077490201206</v>
      </c>
      <c r="O408">
        <v>0.1557340091406024</v>
      </c>
      <c r="P408">
        <v>2.0985331995347793E-2</v>
      </c>
      <c r="Q408">
        <v>1.3507758023864596E-3</v>
      </c>
      <c r="R408">
        <v>3.6440486822607089E-3</v>
      </c>
      <c r="S408">
        <v>0.46026858576201934</v>
      </c>
      <c r="T408">
        <v>4.0991448655687952</v>
      </c>
      <c r="U408">
        <v>0</v>
      </c>
      <c r="V408">
        <v>1.1304767209823811E-2</v>
      </c>
      <c r="W408">
        <v>0.19422224880963448</v>
      </c>
      <c r="X408">
        <v>2.7572587815485404E-2</v>
      </c>
      <c r="Y408">
        <v>1.0298359786024603E-2</v>
      </c>
    </row>
    <row r="409" spans="1:25" x14ac:dyDescent="0.25">
      <c r="A409" s="1093"/>
      <c r="B409" s="1452">
        <v>159</v>
      </c>
      <c r="C409" s="1097">
        <v>1.0334965310705957</v>
      </c>
      <c r="D409" s="1097">
        <v>1.0062064595115237</v>
      </c>
      <c r="E409" s="1097">
        <v>0.99525928643556283</v>
      </c>
      <c r="F409" s="1097">
        <v>0.9740384687277307</v>
      </c>
      <c r="G409" s="1097">
        <v>0.99094777886295449</v>
      </c>
      <c r="H409" s="1097">
        <v>0.98841425885130396</v>
      </c>
      <c r="I409" s="1097">
        <v>0.98719929636493176</v>
      </c>
      <c r="K409">
        <v>4.9910403160697001</v>
      </c>
      <c r="L409">
        <v>0</v>
      </c>
      <c r="M409">
        <v>3.3942013100482916E-3</v>
      </c>
      <c r="N409">
        <v>0.29033357159702816</v>
      </c>
      <c r="O409">
        <v>0.13963227437101536</v>
      </c>
      <c r="P409">
        <v>1.9636775431385041E-2</v>
      </c>
      <c r="Q409">
        <v>1.2531081916640409E-3</v>
      </c>
      <c r="R409">
        <v>3.3883515269435751E-3</v>
      </c>
      <c r="S409">
        <v>0.4295578463343448</v>
      </c>
      <c r="T409">
        <v>3.8921863049507679</v>
      </c>
      <c r="U409">
        <v>0</v>
      </c>
      <c r="V409">
        <v>1.1304767209823811E-2</v>
      </c>
      <c r="W409">
        <v>0.17349545844591116</v>
      </c>
      <c r="X409">
        <v>2.4070319217319096E-2</v>
      </c>
      <c r="Y409">
        <v>9.5757401035440667E-3</v>
      </c>
    </row>
    <row r="410" spans="1:25" x14ac:dyDescent="0.25">
      <c r="A410" s="1093"/>
      <c r="B410" s="1452">
        <v>160</v>
      </c>
      <c r="C410" s="1097">
        <v>0.96532179698335552</v>
      </c>
      <c r="D410" s="1097">
        <v>1.034949347015363</v>
      </c>
      <c r="E410" s="1097">
        <v>0.98004685420342597</v>
      </c>
      <c r="F410" s="1097">
        <v>1.0053669900849125</v>
      </c>
      <c r="G410" s="1097">
        <v>1.0314736354939329</v>
      </c>
      <c r="H410" s="1097">
        <v>1.019307929922836</v>
      </c>
      <c r="I410" s="1097">
        <v>1.0168784959235593</v>
      </c>
      <c r="K410">
        <v>5.2488100069217261</v>
      </c>
      <c r="L410">
        <v>0</v>
      </c>
      <c r="M410">
        <v>3.9487528568673182E-3</v>
      </c>
      <c r="N410">
        <v>0.32290271593901709</v>
      </c>
      <c r="O410">
        <v>0.15300812090189991</v>
      </c>
      <c r="P410">
        <v>2.0252531096211966E-2</v>
      </c>
      <c r="Q410">
        <v>1.3092597298130129E-3</v>
      </c>
      <c r="R410">
        <v>3.9423588917717241E-3</v>
      </c>
      <c r="S410">
        <v>0.48984848931300434</v>
      </c>
      <c r="T410">
        <v>4.0193041234869806</v>
      </c>
      <c r="U410">
        <v>0</v>
      </c>
      <c r="V410">
        <v>1.1304767209823813E-2</v>
      </c>
      <c r="W410">
        <v>0.19496896445072534</v>
      </c>
      <c r="X410">
        <v>2.4776021546333352E-2</v>
      </c>
      <c r="Y410">
        <v>1.1141407213009833E-2</v>
      </c>
    </row>
    <row r="411" spans="1:25" x14ac:dyDescent="0.25">
      <c r="A411" s="1093"/>
      <c r="B411" s="1452">
        <v>161</v>
      </c>
      <c r="C411" s="1097">
        <v>1.0061821184565987</v>
      </c>
      <c r="D411" s="1097">
        <v>1.0082799929060178</v>
      </c>
      <c r="E411" s="1097">
        <v>0.98835671392369007</v>
      </c>
      <c r="F411" s="1097">
        <v>0.99960680494880394</v>
      </c>
      <c r="G411" s="1097">
        <v>0.99709945497120778</v>
      </c>
      <c r="H411" s="1097">
        <v>0.98176359122675871</v>
      </c>
      <c r="I411" s="1097">
        <v>1.0128766191574528</v>
      </c>
      <c r="K411">
        <v>5.1545852011246289</v>
      </c>
      <c r="L411">
        <v>0</v>
      </c>
      <c r="M411">
        <v>3.6026286991078143E-3</v>
      </c>
      <c r="N411">
        <v>0.30192963914726001</v>
      </c>
      <c r="O411">
        <v>0.14725670001662469</v>
      </c>
      <c r="P411">
        <v>2.0142329749501649E-2</v>
      </c>
      <c r="Q411">
        <v>1.2784412419379794E-3</v>
      </c>
      <c r="R411">
        <v>3.5965372645865791E-3</v>
      </c>
      <c r="S411">
        <v>0.46117154700812724</v>
      </c>
      <c r="T411">
        <v>3.995225133370405</v>
      </c>
      <c r="U411">
        <v>0</v>
      </c>
      <c r="V411">
        <v>1.1304767209823822E-2</v>
      </c>
      <c r="W411">
        <v>0.18127337097960186</v>
      </c>
      <c r="X411">
        <v>2.4845274943508768E-2</v>
      </c>
      <c r="Y411">
        <v>1.0164088892352369E-2</v>
      </c>
    </row>
    <row r="412" spans="1:25" x14ac:dyDescent="0.25">
      <c r="A412" s="1093"/>
      <c r="B412" s="1452">
        <v>162</v>
      </c>
      <c r="C412" s="1097">
        <v>1.0114239856244298</v>
      </c>
      <c r="D412" s="1097">
        <v>1.0234852902208305</v>
      </c>
      <c r="E412" s="1097">
        <v>1.0005064520592408</v>
      </c>
      <c r="F412" s="1097">
        <v>0.99755188557286123</v>
      </c>
      <c r="G412" s="1097">
        <v>0.98178594653437912</v>
      </c>
      <c r="H412" s="1097">
        <v>0.9981853117747348</v>
      </c>
      <c r="I412" s="1097">
        <v>1.0083830559075746</v>
      </c>
      <c r="K412">
        <v>5.1445142155222765</v>
      </c>
      <c r="L412">
        <v>0</v>
      </c>
      <c r="M412">
        <v>3.5234834407605457E-3</v>
      </c>
      <c r="N412">
        <v>0.30613276103443604</v>
      </c>
      <c r="O412">
        <v>0.14498928297194721</v>
      </c>
      <c r="P412">
        <v>2.0266330822738848E-2</v>
      </c>
      <c r="Q412">
        <v>1.2775037743402455E-3</v>
      </c>
      <c r="R412">
        <v>3.5176117890992815E-3</v>
      </c>
      <c r="S412">
        <v>0.45767594434014564</v>
      </c>
      <c r="T412">
        <v>3.9854863559036056</v>
      </c>
      <c r="U412">
        <v>0</v>
      </c>
      <c r="V412">
        <v>1.1304767209823827E-2</v>
      </c>
      <c r="W412">
        <v>0.18228807317688464</v>
      </c>
      <c r="X412">
        <v>2.5158028467062027E-2</v>
      </c>
      <c r="Y412">
        <v>9.9410394729502628E-3</v>
      </c>
    </row>
    <row r="413" spans="1:25" x14ac:dyDescent="0.25">
      <c r="A413" s="1093"/>
      <c r="B413" s="1452">
        <v>163</v>
      </c>
      <c r="C413" s="1097">
        <v>1.0270979096130584</v>
      </c>
      <c r="D413" s="1097">
        <v>0.99934954910875584</v>
      </c>
      <c r="E413" s="1097">
        <v>1.0160700633800781</v>
      </c>
      <c r="F413" s="1097">
        <v>0.9555666058698985</v>
      </c>
      <c r="G413" s="1097">
        <v>1.0080239682184218</v>
      </c>
      <c r="H413" s="1097">
        <v>0.96094589881686265</v>
      </c>
      <c r="I413" s="1097">
        <v>1.0191751859217784</v>
      </c>
      <c r="K413">
        <v>4.9065613703706772</v>
      </c>
      <c r="L413">
        <v>0</v>
      </c>
      <c r="M413">
        <v>3.1263079883270201E-3</v>
      </c>
      <c r="N413">
        <v>0.28439578351432848</v>
      </c>
      <c r="O413">
        <v>0.13767606172083263</v>
      </c>
      <c r="P413">
        <v>1.9615684699090176E-2</v>
      </c>
      <c r="Q413">
        <v>1.2870389495368293E-3</v>
      </c>
      <c r="R413">
        <v>3.1206589459087763E-3</v>
      </c>
      <c r="S413">
        <v>0.43489322926582419</v>
      </c>
      <c r="T413">
        <v>3.8158840035045087</v>
      </c>
      <c r="U413">
        <v>0</v>
      </c>
      <c r="V413">
        <v>1.1304767209823808E-2</v>
      </c>
      <c r="W413">
        <v>0.16758255222944801</v>
      </c>
      <c r="X413">
        <v>2.510867788752397E-2</v>
      </c>
      <c r="Y413">
        <v>8.8192204321779748E-3</v>
      </c>
    </row>
    <row r="414" spans="1:25" x14ac:dyDescent="0.25">
      <c r="A414" s="1093"/>
      <c r="B414" s="1452">
        <v>164</v>
      </c>
      <c r="C414" s="1097">
        <v>0.98378963691766552</v>
      </c>
      <c r="D414" s="1097">
        <v>1.0067788466514478</v>
      </c>
      <c r="E414" s="1097">
        <v>0.99494919992088915</v>
      </c>
      <c r="F414" s="1097">
        <v>0.968801314308949</v>
      </c>
      <c r="G414" s="1097">
        <v>0.97070329350615603</v>
      </c>
      <c r="H414" s="1097">
        <v>1.0084001133405303</v>
      </c>
      <c r="I414" s="1097">
        <v>1.0155960445578283</v>
      </c>
      <c r="K414">
        <v>5.0444948139028609</v>
      </c>
      <c r="L414">
        <v>0</v>
      </c>
      <c r="M414">
        <v>3.61980741485731E-3</v>
      </c>
      <c r="N414">
        <v>0.30935479765254931</v>
      </c>
      <c r="O414">
        <v>0.14587391694382551</v>
      </c>
      <c r="P414">
        <v>1.9702025700820511E-2</v>
      </c>
      <c r="Q414">
        <v>1.3157724255373703E-3</v>
      </c>
      <c r="R414">
        <v>3.6136594533579683E-3</v>
      </c>
      <c r="S414">
        <v>0.46584343679771156</v>
      </c>
      <c r="T414">
        <v>3.871296824331373</v>
      </c>
      <c r="U414">
        <v>0</v>
      </c>
      <c r="V414">
        <v>1.130476720982381E-2</v>
      </c>
      <c r="W414">
        <v>0.1849009029893447</v>
      </c>
      <c r="X414">
        <v>2.4696040308338663E-2</v>
      </c>
      <c r="Y414">
        <v>1.0212477505037587E-2</v>
      </c>
    </row>
    <row r="415" spans="1:25" x14ac:dyDescent="0.25">
      <c r="A415" s="1093"/>
      <c r="B415" s="1452">
        <v>165</v>
      </c>
      <c r="C415" s="1097">
        <v>0.98266215553057212</v>
      </c>
      <c r="D415" s="1097">
        <v>0.98227132458839217</v>
      </c>
      <c r="E415" s="1097">
        <v>1.0037320516181569</v>
      </c>
      <c r="F415" s="1097">
        <v>0.96009525854666833</v>
      </c>
      <c r="G415" s="1097">
        <v>1.0429764242660819</v>
      </c>
      <c r="H415" s="1097">
        <v>0.99406644764859953</v>
      </c>
      <c r="I415" s="1097">
        <v>0.99564024074012814</v>
      </c>
      <c r="K415">
        <v>4.9929963794365699</v>
      </c>
      <c r="L415">
        <v>0</v>
      </c>
      <c r="M415">
        <v>3.5099544531688245E-3</v>
      </c>
      <c r="N415">
        <v>0.3078631754813414</v>
      </c>
      <c r="O415">
        <v>0.14592204981412688</v>
      </c>
      <c r="P415">
        <v>1.9611351086589318E-2</v>
      </c>
      <c r="Q415">
        <v>1.3403870669155549E-3</v>
      </c>
      <c r="R415">
        <v>3.5038523678630096E-3</v>
      </c>
      <c r="S415">
        <v>0.45341298485450543</v>
      </c>
      <c r="T415">
        <v>3.835448686332946</v>
      </c>
      <c r="U415">
        <v>0</v>
      </c>
      <c r="V415">
        <v>1.130476720982381E-2</v>
      </c>
      <c r="W415">
        <v>0.18291981150870046</v>
      </c>
      <c r="X415">
        <v>2.527711386887067E-2</v>
      </c>
      <c r="Y415">
        <v>9.9021542980544421E-3</v>
      </c>
    </row>
    <row r="416" spans="1:25" x14ac:dyDescent="0.25">
      <c r="A416" s="1093"/>
      <c r="B416" s="1452">
        <v>166</v>
      </c>
      <c r="C416" s="1097">
        <v>0.98845606337797354</v>
      </c>
      <c r="D416" s="1097">
        <v>0.98857618106232636</v>
      </c>
      <c r="E416" s="1097">
        <v>0.99576340456301893</v>
      </c>
      <c r="F416" s="1097">
        <v>1.0000758949605573</v>
      </c>
      <c r="G416" s="1097">
        <v>1.0259720609630851</v>
      </c>
      <c r="H416" s="1097">
        <v>1.0470494058469717</v>
      </c>
      <c r="I416" s="1097">
        <v>1.0071282537536475</v>
      </c>
      <c r="K416">
        <v>5.2290127411646949</v>
      </c>
      <c r="L416">
        <v>0</v>
      </c>
      <c r="M416">
        <v>3.8829790935392561E-3</v>
      </c>
      <c r="N416">
        <v>0.3326856032762478</v>
      </c>
      <c r="O416">
        <v>0.15094685540312716</v>
      </c>
      <c r="P416">
        <v>2.0350150039212613E-2</v>
      </c>
      <c r="Q416">
        <v>1.3200767365132546E-3</v>
      </c>
      <c r="R416">
        <v>3.8768258874910338E-3</v>
      </c>
      <c r="S416">
        <v>0.48128446380312234</v>
      </c>
      <c r="T416">
        <v>3.9961665192176219</v>
      </c>
      <c r="U416">
        <v>0</v>
      </c>
      <c r="V416">
        <v>1.130476720982381E-2</v>
      </c>
      <c r="W416">
        <v>0.1987359508443198</v>
      </c>
      <c r="X416">
        <v>2.5268301901054009E-2</v>
      </c>
      <c r="Y416">
        <v>1.095620593970441E-2</v>
      </c>
    </row>
    <row r="417" spans="1:25" x14ac:dyDescent="0.25">
      <c r="A417" s="1093"/>
      <c r="B417" s="1452">
        <v>167</v>
      </c>
      <c r="C417" s="1097">
        <v>1.0069460489685436</v>
      </c>
      <c r="D417" s="1097">
        <v>0.99437500177822247</v>
      </c>
      <c r="E417" s="1097">
        <v>0.99055730165711897</v>
      </c>
      <c r="F417" s="1097">
        <v>0.98932435027052623</v>
      </c>
      <c r="G417" s="1097">
        <v>0.96229161789549211</v>
      </c>
      <c r="H417" s="1097">
        <v>0.96149802862027012</v>
      </c>
      <c r="I417" s="1097">
        <v>0.98744880455595196</v>
      </c>
      <c r="K417">
        <v>5.0816528570757455</v>
      </c>
      <c r="L417">
        <v>0</v>
      </c>
      <c r="M417">
        <v>3.4926205233976014E-3</v>
      </c>
      <c r="N417">
        <v>0.29461053600869264</v>
      </c>
      <c r="O417">
        <v>0.1463822638261057</v>
      </c>
      <c r="P417">
        <v>1.9906375436293672E-2</v>
      </c>
      <c r="Q417">
        <v>1.2870284065611534E-3</v>
      </c>
      <c r="R417">
        <v>3.4865280587997771E-3</v>
      </c>
      <c r="S417">
        <v>0.44290352234457925</v>
      </c>
      <c r="T417">
        <v>3.953853558832531</v>
      </c>
      <c r="U417">
        <v>0</v>
      </c>
      <c r="V417">
        <v>1.1304767209823813E-2</v>
      </c>
      <c r="W417">
        <v>0.17661433833147894</v>
      </c>
      <c r="X417">
        <v>2.4943364666284575E-2</v>
      </c>
      <c r="Y417">
        <v>9.8531944779933194E-3</v>
      </c>
    </row>
    <row r="418" spans="1:25" x14ac:dyDescent="0.25">
      <c r="A418" s="1093"/>
      <c r="B418" s="1452">
        <v>168</v>
      </c>
      <c r="C418" s="1097">
        <v>1.0035895733692615</v>
      </c>
      <c r="D418" s="1097">
        <v>1.0014444307030086</v>
      </c>
      <c r="E418" s="1097">
        <v>0.99977824001129456</v>
      </c>
      <c r="F418" s="1097">
        <v>0.99457515207460501</v>
      </c>
      <c r="G418" s="1097">
        <v>1.0046321926503596</v>
      </c>
      <c r="H418" s="1097">
        <v>1.0118500563545094</v>
      </c>
      <c r="I418" s="1097">
        <v>1.0206785378651984</v>
      </c>
      <c r="K418">
        <v>5.1609097345187047</v>
      </c>
      <c r="L418">
        <v>0</v>
      </c>
      <c r="M418">
        <v>3.6258224564794722E-3</v>
      </c>
      <c r="N418">
        <v>0.31435090059686482</v>
      </c>
      <c r="O418">
        <v>0.1469793578841006</v>
      </c>
      <c r="P418">
        <v>2.025897226117326E-2</v>
      </c>
      <c r="Q418">
        <v>1.2979267430442603E-3</v>
      </c>
      <c r="R418">
        <v>3.6198440515933504E-3</v>
      </c>
      <c r="S418">
        <v>0.47027429046102437</v>
      </c>
      <c r="T418">
        <v>3.9736844372466242</v>
      </c>
      <c r="U418">
        <v>0</v>
      </c>
      <c r="V418">
        <v>1.1304767209823829E-2</v>
      </c>
      <c r="W418">
        <v>0.18727374060156637</v>
      </c>
      <c r="X418">
        <v>2.5261364267539707E-2</v>
      </c>
      <c r="Y418">
        <v>1.0229955651822515E-2</v>
      </c>
    </row>
    <row r="419" spans="1:25" x14ac:dyDescent="0.25">
      <c r="A419" s="1093"/>
      <c r="B419" s="1452">
        <v>169</v>
      </c>
      <c r="C419" s="1097">
        <v>0.99170558844039502</v>
      </c>
      <c r="D419" s="1097">
        <v>1.0074813878575852</v>
      </c>
      <c r="E419" s="1097">
        <v>1.0058855378557063</v>
      </c>
      <c r="F419" s="1097">
        <v>0.96431702922554963</v>
      </c>
      <c r="G419" s="1097">
        <v>1.0103321055637615</v>
      </c>
      <c r="H419" s="1097">
        <v>0.99236397157895351</v>
      </c>
      <c r="I419" s="1097">
        <v>0.97672600590085046</v>
      </c>
      <c r="K419">
        <v>4.9859992042268226</v>
      </c>
      <c r="L419">
        <v>0</v>
      </c>
      <c r="M419">
        <v>3.436429949037376E-3</v>
      </c>
      <c r="N419">
        <v>0.30334433495494151</v>
      </c>
      <c r="O419">
        <v>0.14370440204344895</v>
      </c>
      <c r="P419">
        <v>1.9656440435547207E-2</v>
      </c>
      <c r="Q419">
        <v>1.3171904121374134E-3</v>
      </c>
      <c r="R419">
        <v>3.4304715924504871E-3</v>
      </c>
      <c r="S419">
        <v>0.43981406740482348</v>
      </c>
      <c r="T419">
        <v>3.8520539417517852</v>
      </c>
      <c r="U419">
        <v>0</v>
      </c>
      <c r="V419">
        <v>1.130476720982381E-2</v>
      </c>
      <c r="W419">
        <v>0.17997361399110809</v>
      </c>
      <c r="X419">
        <v>2.5141629755416089E-2</v>
      </c>
      <c r="Y419">
        <v>9.6947746243814751E-3</v>
      </c>
    </row>
    <row r="420" spans="1:25" x14ac:dyDescent="0.25">
      <c r="A420" s="1093"/>
      <c r="B420" s="1452">
        <v>170</v>
      </c>
      <c r="C420" s="1097">
        <v>0.99259111558714141</v>
      </c>
      <c r="D420" s="1097">
        <v>1.0094882705604702</v>
      </c>
      <c r="E420" s="1097">
        <v>1.0016313010004201</v>
      </c>
      <c r="F420" s="1097">
        <v>1.016900554085524</v>
      </c>
      <c r="G420" s="1097">
        <v>0.99774148950459862</v>
      </c>
      <c r="H420" s="1097">
        <v>0.99179136407826718</v>
      </c>
      <c r="I420" s="1097">
        <v>1.0205790700019586</v>
      </c>
      <c r="K420">
        <v>5.2708438112192129</v>
      </c>
      <c r="L420">
        <v>0</v>
      </c>
      <c r="M420">
        <v>3.6478474831738426E-3</v>
      </c>
      <c r="N420">
        <v>0.31800267341464111</v>
      </c>
      <c r="O420">
        <v>0.15140570279868701</v>
      </c>
      <c r="P420">
        <v>2.073502145797991E-2</v>
      </c>
      <c r="Q420">
        <v>1.3101939105343149E-3</v>
      </c>
      <c r="R420">
        <v>3.6418456167129254E-3</v>
      </c>
      <c r="S420">
        <v>0.47971211354597537</v>
      </c>
      <c r="T420">
        <v>4.0626459143271578</v>
      </c>
      <c r="U420">
        <v>0</v>
      </c>
      <c r="V420">
        <v>1.1304767209823824E-2</v>
      </c>
      <c r="W420">
        <v>0.18921226352610937</v>
      </c>
      <c r="X420">
        <v>2.6229029140173169E-2</v>
      </c>
      <c r="Y420">
        <v>1.029213375459047E-2</v>
      </c>
    </row>
    <row r="421" spans="1:25" x14ac:dyDescent="0.25">
      <c r="A421" s="1093"/>
      <c r="B421" s="1452">
        <v>171</v>
      </c>
      <c r="C421" s="1097">
        <v>1.0150769473698267</v>
      </c>
      <c r="D421" s="1097">
        <v>1.0124722033584421</v>
      </c>
      <c r="E421" s="1097">
        <v>1.0269047257352155</v>
      </c>
      <c r="F421" s="1097">
        <v>0.97858795095351125</v>
      </c>
      <c r="G421" s="1097">
        <v>0.96767782501351451</v>
      </c>
      <c r="H421" s="1097">
        <v>0.99555251944581358</v>
      </c>
      <c r="I421" s="1097">
        <v>0.99153943511115672</v>
      </c>
      <c r="K421">
        <v>5.043963775878499</v>
      </c>
      <c r="L421">
        <v>0</v>
      </c>
      <c r="M421">
        <v>3.2630442219123384E-3</v>
      </c>
      <c r="N421">
        <v>0.30653450748083605</v>
      </c>
      <c r="O421">
        <v>0.14163073207336968</v>
      </c>
      <c r="P421">
        <v>2.0223790402589311E-2</v>
      </c>
      <c r="Q421">
        <v>1.307423731032817E-3</v>
      </c>
      <c r="R421">
        <v>3.257486719788383E-3</v>
      </c>
      <c r="S421">
        <v>0.44172202462542809</v>
      </c>
      <c r="T421">
        <v>3.9064979234223878</v>
      </c>
      <c r="U421">
        <v>0</v>
      </c>
      <c r="V421">
        <v>1.1304767209823829E-2</v>
      </c>
      <c r="W421">
        <v>0.17932904464342728</v>
      </c>
      <c r="X421">
        <v>2.6213213624255636E-2</v>
      </c>
      <c r="Y421">
        <v>9.2059061674681052E-3</v>
      </c>
    </row>
    <row r="422" spans="1:25" x14ac:dyDescent="0.25">
      <c r="A422" s="1093"/>
      <c r="B422" s="1452">
        <v>172</v>
      </c>
      <c r="C422" s="1097">
        <v>1.0275741818101791</v>
      </c>
      <c r="D422" s="1097">
        <v>0.996896498439376</v>
      </c>
      <c r="E422" s="1097">
        <v>1.017010551842664</v>
      </c>
      <c r="F422" s="1097">
        <v>0.99740899601916033</v>
      </c>
      <c r="G422" s="1097">
        <v>1.0316747437008018</v>
      </c>
      <c r="H422" s="1097">
        <v>0.99888097811510745</v>
      </c>
      <c r="I422" s="1097">
        <v>0.98729279689625005</v>
      </c>
      <c r="K422">
        <v>5.1295383273423854</v>
      </c>
      <c r="L422">
        <v>0</v>
      </c>
      <c r="M422">
        <v>3.3868074318218074E-3</v>
      </c>
      <c r="N422">
        <v>0.30899550551926969</v>
      </c>
      <c r="O422">
        <v>0.14375384865610774</v>
      </c>
      <c r="P422">
        <v>2.0437432287783865E-2</v>
      </c>
      <c r="Q422">
        <v>1.2887351862051826E-3</v>
      </c>
      <c r="R422">
        <v>3.3811666656945686E-3</v>
      </c>
      <c r="S422">
        <v>0.44340474934370094</v>
      </c>
      <c r="T422">
        <v>3.9828572339590358</v>
      </c>
      <c r="U422">
        <v>0</v>
      </c>
      <c r="V422">
        <v>1.1304767209823815E-2</v>
      </c>
      <c r="W422">
        <v>0.18196372718597584</v>
      </c>
      <c r="X422">
        <v>2.5982533623492537E-2</v>
      </c>
      <c r="Y422">
        <v>9.5554351371161649E-3</v>
      </c>
    </row>
    <row r="423" spans="1:25" x14ac:dyDescent="0.25">
      <c r="A423" s="1093"/>
      <c r="B423" s="1452">
        <v>173</v>
      </c>
      <c r="C423" s="1097">
        <v>0.98333860196218525</v>
      </c>
      <c r="D423" s="1097">
        <v>0.97309254000187317</v>
      </c>
      <c r="E423" s="1097">
        <v>1.0427595201107405</v>
      </c>
      <c r="F423" s="1097">
        <v>0.98136499841455838</v>
      </c>
      <c r="G423" s="1097">
        <v>0.98653850093517537</v>
      </c>
      <c r="H423" s="1097">
        <v>0.97868902138324698</v>
      </c>
      <c r="I423" s="1097">
        <v>1.018213579157768</v>
      </c>
      <c r="K423">
        <v>5.1119650534619172</v>
      </c>
      <c r="L423">
        <v>0</v>
      </c>
      <c r="M423">
        <v>3.2624397677564428E-3</v>
      </c>
      <c r="N423">
        <v>0.3211720169610533</v>
      </c>
      <c r="O423">
        <v>0.14851667216413003</v>
      </c>
      <c r="P423">
        <v>2.0631850202801252E-2</v>
      </c>
      <c r="Q423">
        <v>1.3895563778788191E-3</v>
      </c>
      <c r="R423">
        <v>3.256803520680523E-3</v>
      </c>
      <c r="S423">
        <v>0.46982675327280227</v>
      </c>
      <c r="T423">
        <v>3.9156624807733187</v>
      </c>
      <c r="U423">
        <v>0</v>
      </c>
      <c r="V423">
        <v>1.1304767209823808E-2</v>
      </c>
      <c r="W423">
        <v>0.18593593340405068</v>
      </c>
      <c r="X423">
        <v>2.8326683948506591E-2</v>
      </c>
      <c r="Y423">
        <v>9.2039753946295075E-3</v>
      </c>
    </row>
    <row r="424" spans="1:25" x14ac:dyDescent="0.25">
      <c r="A424" s="1093"/>
      <c r="B424" s="1452">
        <v>174</v>
      </c>
      <c r="C424" s="1097">
        <v>0.96242220364250097</v>
      </c>
      <c r="D424" s="1097">
        <v>0.9943709065613211</v>
      </c>
      <c r="E424" s="1097">
        <v>1.018099698002483</v>
      </c>
      <c r="F424" s="1097">
        <v>1.0004609756115554</v>
      </c>
      <c r="G424" s="1097">
        <v>0.98639989405617468</v>
      </c>
      <c r="H424" s="1097">
        <v>0.99577361626062144</v>
      </c>
      <c r="I424" s="1097">
        <v>0.97897918274556384</v>
      </c>
      <c r="K424">
        <v>5.215296715251692</v>
      </c>
      <c r="L424">
        <v>0</v>
      </c>
      <c r="M424">
        <v>3.6111992920227418E-3</v>
      </c>
      <c r="N424">
        <v>0.33053142726990653</v>
      </c>
      <c r="O424">
        <v>0.154079736401182</v>
      </c>
      <c r="P424">
        <v>2.0633228264367569E-2</v>
      </c>
      <c r="Q424">
        <v>1.378646078659582E-3</v>
      </c>
      <c r="R424">
        <v>3.6051844045631751E-3</v>
      </c>
      <c r="S424">
        <v>0.47027878924431099</v>
      </c>
      <c r="T424">
        <v>3.9949087342232055</v>
      </c>
      <c r="U424">
        <v>0</v>
      </c>
      <c r="V424">
        <v>1.1304767209823818E-2</v>
      </c>
      <c r="W424">
        <v>0.19450443225701713</v>
      </c>
      <c r="X424">
        <v>2.7494442820573756E-2</v>
      </c>
      <c r="Y424">
        <v>1.0188526370104135E-2</v>
      </c>
    </row>
    <row r="425" spans="1:25" x14ac:dyDescent="0.25">
      <c r="A425" s="1093"/>
      <c r="B425" s="1452">
        <v>175</v>
      </c>
      <c r="C425" s="1097">
        <v>1.0063780393623865</v>
      </c>
      <c r="D425" s="1097">
        <v>0.99136460429815598</v>
      </c>
      <c r="E425" s="1097">
        <v>0.98722990136514144</v>
      </c>
      <c r="F425" s="1097">
        <v>1.0196335631978017</v>
      </c>
      <c r="G425" s="1097">
        <v>1.0322976500131615</v>
      </c>
      <c r="H425" s="1097">
        <v>0.99990977454523988</v>
      </c>
      <c r="I425" s="1097">
        <v>0.97598650296577039</v>
      </c>
      <c r="K425">
        <v>5.2571313759168374</v>
      </c>
      <c r="L425">
        <v>0</v>
      </c>
      <c r="M425">
        <v>3.7762201828046671E-3</v>
      </c>
      <c r="N425">
        <v>0.31544218310927863</v>
      </c>
      <c r="O425">
        <v>0.15122934870884158</v>
      </c>
      <c r="P425">
        <v>2.0465808544255341E-2</v>
      </c>
      <c r="Q425">
        <v>1.2856200411960228E-3</v>
      </c>
      <c r="R425">
        <v>3.770074038756027E-3</v>
      </c>
      <c r="S425">
        <v>0.45659514998093986</v>
      </c>
      <c r="T425">
        <v>4.0754130927195771</v>
      </c>
      <c r="U425">
        <v>0</v>
      </c>
      <c r="V425">
        <v>1.1304767209823818E-2</v>
      </c>
      <c r="W425">
        <v>0.18953156094475648</v>
      </c>
      <c r="X425">
        <v>2.5215473737152674E-2</v>
      </c>
      <c r="Y425">
        <v>1.0654517065061183E-2</v>
      </c>
    </row>
    <row r="426" spans="1:25" x14ac:dyDescent="0.25">
      <c r="A426" s="1093"/>
      <c r="B426" s="1452">
        <v>176</v>
      </c>
      <c r="C426" s="1097">
        <v>1.0175868779642756</v>
      </c>
      <c r="D426" s="1097">
        <v>1.0022770642575705</v>
      </c>
      <c r="E426" s="1097">
        <v>0.98989134440172533</v>
      </c>
      <c r="F426" s="1097">
        <v>0.98585107072841938</v>
      </c>
      <c r="G426" s="1097">
        <v>0.98687552592182692</v>
      </c>
      <c r="H426" s="1097">
        <v>0.95418724677237676</v>
      </c>
      <c r="I426" s="1097">
        <v>1.0186121271466777</v>
      </c>
      <c r="K426">
        <v>5.0588715503448833</v>
      </c>
      <c r="L426">
        <v>0</v>
      </c>
      <c r="M426">
        <v>3.4117689425839262E-3</v>
      </c>
      <c r="N426">
        <v>0.28721717483423531</v>
      </c>
      <c r="O426">
        <v>0.14390466742822713</v>
      </c>
      <c r="P426">
        <v>1.9860462298995085E-2</v>
      </c>
      <c r="Q426">
        <v>1.2688152177477677E-3</v>
      </c>
      <c r="R426">
        <v>3.4057508227076307E-3</v>
      </c>
      <c r="S426">
        <v>0.44873602195444678</v>
      </c>
      <c r="T426">
        <v>3.9400553395122815</v>
      </c>
      <c r="U426">
        <v>0</v>
      </c>
      <c r="V426">
        <v>1.1304767209823813E-2</v>
      </c>
      <c r="W426">
        <v>0.17226016953543655</v>
      </c>
      <c r="X426">
        <v>2.4645238631817303E-2</v>
      </c>
      <c r="Y426">
        <v>9.6249118417466792E-3</v>
      </c>
    </row>
    <row r="427" spans="1:25" x14ac:dyDescent="0.25">
      <c r="A427" s="1093"/>
      <c r="B427" s="1452">
        <v>177</v>
      </c>
      <c r="C427" s="1097">
        <v>1.0175274269558008</v>
      </c>
      <c r="D427" s="1097">
        <v>0.96653236425043065</v>
      </c>
      <c r="E427" s="1097">
        <v>1.0025307658759097</v>
      </c>
      <c r="F427" s="1097">
        <v>0.97644048595124444</v>
      </c>
      <c r="G427" s="1097">
        <v>0.99110593338495456</v>
      </c>
      <c r="H427" s="1097">
        <v>1.0059045739805281</v>
      </c>
      <c r="I427" s="1097">
        <v>1.0036341114125029</v>
      </c>
      <c r="K427">
        <v>5.0544401657679696</v>
      </c>
      <c r="L427">
        <v>0</v>
      </c>
      <c r="M427">
        <v>3.5198575750349102E-3</v>
      </c>
      <c r="N427">
        <v>0.30765026360592057</v>
      </c>
      <c r="O427">
        <v>0.14428275690892506</v>
      </c>
      <c r="P427">
        <v>1.9882204647088064E-2</v>
      </c>
      <c r="Q427">
        <v>1.3015118536162439E-3</v>
      </c>
      <c r="R427">
        <v>3.5139113460723663E-3</v>
      </c>
      <c r="S427">
        <v>0.4512572891256294</v>
      </c>
      <c r="T427">
        <v>3.9008926793788823</v>
      </c>
      <c r="U427">
        <v>0</v>
      </c>
      <c r="V427">
        <v>1.1304767209823811E-2</v>
      </c>
      <c r="W427">
        <v>0.18294146623731022</v>
      </c>
      <c r="X427">
        <v>2.5002591291293209E-2</v>
      </c>
      <c r="Y427">
        <v>9.9305817384407399E-3</v>
      </c>
    </row>
    <row r="428" spans="1:25" x14ac:dyDescent="0.25">
      <c r="A428" s="1093"/>
      <c r="B428" s="1452">
        <v>178</v>
      </c>
      <c r="C428" s="1097">
        <v>0.98505071164883617</v>
      </c>
      <c r="D428" s="1097">
        <v>0.99451382927364429</v>
      </c>
      <c r="E428" s="1097">
        <v>1.0094256528975061</v>
      </c>
      <c r="F428" s="1097">
        <v>1.0169637664493245</v>
      </c>
      <c r="G428" s="1097">
        <v>0.95730534738687267</v>
      </c>
      <c r="H428" s="1097">
        <v>0.99233791710738206</v>
      </c>
      <c r="I428" s="1097">
        <v>0.99119674249269796</v>
      </c>
      <c r="K428">
        <v>5.2736969231096573</v>
      </c>
      <c r="L428">
        <v>0</v>
      </c>
      <c r="M428">
        <v>3.6397882356080978E-3</v>
      </c>
      <c r="N428">
        <v>0.324710482589389</v>
      </c>
      <c r="O428">
        <v>0.15326448328274869</v>
      </c>
      <c r="P428">
        <v>2.0811789777441185E-2</v>
      </c>
      <c r="Q428">
        <v>1.3370094005887903E-3</v>
      </c>
      <c r="R428">
        <v>3.6338032989570203E-3</v>
      </c>
      <c r="S428">
        <v>0.47096056128153307</v>
      </c>
      <c r="T428">
        <v>4.0619058413920399</v>
      </c>
      <c r="U428">
        <v>0</v>
      </c>
      <c r="V428">
        <v>1.1304767209823813E-2</v>
      </c>
      <c r="W428">
        <v>0.19219209097935938</v>
      </c>
      <c r="X428">
        <v>2.6946476582775002E-2</v>
      </c>
      <c r="Y428">
        <v>1.0269405550610367E-2</v>
      </c>
    </row>
    <row r="429" spans="1:25" x14ac:dyDescent="0.25">
      <c r="A429" s="1093"/>
      <c r="B429" s="1452">
        <v>179</v>
      </c>
      <c r="C429" s="1097">
        <v>1.0078808536280834</v>
      </c>
      <c r="D429" s="1097">
        <v>0.96168811678737298</v>
      </c>
      <c r="E429" s="1097">
        <v>1.0301045994186537</v>
      </c>
      <c r="F429" s="1097">
        <v>0.9610390640621661</v>
      </c>
      <c r="G429" s="1097">
        <v>1.0014509796935289</v>
      </c>
      <c r="H429" s="1097">
        <v>1.0178675834491435</v>
      </c>
      <c r="I429" s="1097">
        <v>0.95683002407074291</v>
      </c>
      <c r="K429">
        <v>4.9809602453056909</v>
      </c>
      <c r="L429">
        <v>0</v>
      </c>
      <c r="M429">
        <v>3.3457597063426374E-3</v>
      </c>
      <c r="N429">
        <v>0.31729491251495662</v>
      </c>
      <c r="O429">
        <v>0.1429110594498173</v>
      </c>
      <c r="P429">
        <v>1.9894224608438652E-2</v>
      </c>
      <c r="Q429">
        <v>1.3477686070296883E-3</v>
      </c>
      <c r="R429">
        <v>3.3400846563282015E-3</v>
      </c>
      <c r="S429">
        <v>0.43115167652810993</v>
      </c>
      <c r="T429">
        <v>3.8360623168685133</v>
      </c>
      <c r="U429">
        <v>0</v>
      </c>
      <c r="V429">
        <v>1.1304767209823804E-2</v>
      </c>
      <c r="W429">
        <v>0.18523073309657878</v>
      </c>
      <c r="X429">
        <v>2.6329127230254597E-2</v>
      </c>
      <c r="Y429">
        <v>9.4393342421837719E-3</v>
      </c>
    </row>
    <row r="430" spans="1:25" x14ac:dyDescent="0.25">
      <c r="A430" s="1093"/>
      <c r="B430" s="1452">
        <v>180</v>
      </c>
      <c r="C430" s="1097">
        <v>1.0034275812353597</v>
      </c>
      <c r="D430" s="1097">
        <v>0.99305281008215951</v>
      </c>
      <c r="E430" s="1097">
        <v>1.0316146519864107</v>
      </c>
      <c r="F430" s="1097">
        <v>0.98799343064922107</v>
      </c>
      <c r="G430" s="1097">
        <v>0.99954496283750516</v>
      </c>
      <c r="H430" s="1097">
        <v>1.0169658993553159</v>
      </c>
      <c r="I430" s="1097">
        <v>1.0098610294466435</v>
      </c>
      <c r="K430">
        <v>5.135741234152567</v>
      </c>
      <c r="L430">
        <v>0</v>
      </c>
      <c r="M430">
        <v>3.3967437604328827E-3</v>
      </c>
      <c r="N430">
        <v>0.32358569242483509</v>
      </c>
      <c r="O430">
        <v>0.14564749187030757</v>
      </c>
      <c r="P430">
        <v>2.0571324344325861E-2</v>
      </c>
      <c r="Q430">
        <v>1.3381796202795869E-3</v>
      </c>
      <c r="R430">
        <v>3.391134184038194E-3</v>
      </c>
      <c r="S430">
        <v>0.46451537730750547</v>
      </c>
      <c r="T430">
        <v>3.9434681881223677</v>
      </c>
      <c r="U430">
        <v>0</v>
      </c>
      <c r="V430">
        <v>1.1304767209823822E-2</v>
      </c>
      <c r="W430">
        <v>0.18871444899341383</v>
      </c>
      <c r="X430">
        <v>2.7017769731160157E-2</v>
      </c>
      <c r="Y430">
        <v>9.5836041049392785E-3</v>
      </c>
    </row>
    <row r="431" spans="1:25" x14ac:dyDescent="0.25">
      <c r="A431" s="1093"/>
      <c r="B431" s="1452">
        <v>181</v>
      </c>
      <c r="C431" s="1097">
        <v>1.0207576026640788</v>
      </c>
      <c r="D431" s="1097">
        <v>0.97038251175872425</v>
      </c>
      <c r="E431" s="1097">
        <v>0.98846374072586929</v>
      </c>
      <c r="F431" s="1097">
        <v>1.0078452761964765</v>
      </c>
      <c r="G431" s="1097">
        <v>1.0162362897548163</v>
      </c>
      <c r="H431" s="1097">
        <v>1.0292827545145684</v>
      </c>
      <c r="I431" s="1097">
        <v>1.0189141194951192</v>
      </c>
      <c r="K431">
        <v>5.2294220782417185</v>
      </c>
      <c r="L431">
        <v>0</v>
      </c>
      <c r="M431">
        <v>3.8108125232414855E-3</v>
      </c>
      <c r="N431">
        <v>0.31950771577717257</v>
      </c>
      <c r="O431">
        <v>0.14860734456061345</v>
      </c>
      <c r="P431">
        <v>2.0345621459840292E-2</v>
      </c>
      <c r="Q431">
        <v>1.2797647697533137E-3</v>
      </c>
      <c r="R431">
        <v>3.8047167175084499E-3</v>
      </c>
      <c r="S431">
        <v>0.47298283040226891</v>
      </c>
      <c r="T431">
        <v>4.0281390110365338</v>
      </c>
      <c r="U431">
        <v>0</v>
      </c>
      <c r="V431">
        <v>1.1304767209823824E-2</v>
      </c>
      <c r="W431">
        <v>0.19181296103876205</v>
      </c>
      <c r="X431">
        <v>2.4695737872617789E-2</v>
      </c>
      <c r="Y431">
        <v>1.0752419920058931E-2</v>
      </c>
    </row>
    <row r="432" spans="1:25" x14ac:dyDescent="0.25">
      <c r="A432" s="1093"/>
      <c r="B432" s="1452">
        <v>182</v>
      </c>
      <c r="C432" s="1097">
        <v>0.99215548777893159</v>
      </c>
      <c r="D432" s="1097">
        <v>1.013934656947137</v>
      </c>
      <c r="E432" s="1097">
        <v>0.97265271428668099</v>
      </c>
      <c r="F432" s="1097">
        <v>0.99456197985717198</v>
      </c>
      <c r="G432" s="1097">
        <v>0.97966479021622077</v>
      </c>
      <c r="H432" s="1097">
        <v>0.97501632037466346</v>
      </c>
      <c r="I432" s="1097">
        <v>0.98287195451225595</v>
      </c>
      <c r="K432">
        <v>5.1213737870820948</v>
      </c>
      <c r="L432">
        <v>0</v>
      </c>
      <c r="M432">
        <v>3.7228452482826156E-3</v>
      </c>
      <c r="N432">
        <v>0.2977935433047772</v>
      </c>
      <c r="O432">
        <v>0.14868838841711116</v>
      </c>
      <c r="P432">
        <v>1.9773775053126975E-2</v>
      </c>
      <c r="Q432">
        <v>1.2761092999487363E-3</v>
      </c>
      <c r="R432">
        <v>3.7164748909957602E-3</v>
      </c>
      <c r="S432">
        <v>0.45019028312714449</v>
      </c>
      <c r="T432">
        <v>3.9770408762532163</v>
      </c>
      <c r="U432">
        <v>0</v>
      </c>
      <c r="V432">
        <v>1.1304767209823815E-2</v>
      </c>
      <c r="W432">
        <v>0.18072351784838819</v>
      </c>
      <c r="X432">
        <v>2.4085855144452339E-2</v>
      </c>
      <c r="Y432">
        <v>1.0503041781389316E-2</v>
      </c>
    </row>
    <row r="433" spans="1:25" x14ac:dyDescent="0.25">
      <c r="A433" s="1093"/>
      <c r="B433" s="1452">
        <v>183</v>
      </c>
      <c r="C433" s="1097">
        <v>1.0027033645273795</v>
      </c>
      <c r="D433" s="1097">
        <v>1.0128441266237196</v>
      </c>
      <c r="E433" s="1097">
        <v>1.0014385022188403</v>
      </c>
      <c r="F433" s="1097">
        <v>1.0379610294629764</v>
      </c>
      <c r="G433" s="1097">
        <v>1.0069027341406449</v>
      </c>
      <c r="H433" s="1097">
        <v>0.98393952504720372</v>
      </c>
      <c r="I433" s="1097">
        <v>0.99054424431533383</v>
      </c>
      <c r="K433">
        <v>5.3449343486149647</v>
      </c>
      <c r="L433">
        <v>0</v>
      </c>
      <c r="M433">
        <v>3.6531768097431026E-3</v>
      </c>
      <c r="N433">
        <v>0.31829193118767135</v>
      </c>
      <c r="O433">
        <v>0.15278541051871034</v>
      </c>
      <c r="P433">
        <v>2.105788761344763E-2</v>
      </c>
      <c r="Q433">
        <v>1.2950462029620714E-3</v>
      </c>
      <c r="R433">
        <v>3.6472409438629803E-3</v>
      </c>
      <c r="S433">
        <v>0.4671237340268341</v>
      </c>
      <c r="T433">
        <v>4.1468102757795586</v>
      </c>
      <c r="U433">
        <v>0</v>
      </c>
      <c r="V433">
        <v>1.1304767209823836E-2</v>
      </c>
      <c r="W433">
        <v>0.18940902668212869</v>
      </c>
      <c r="X433">
        <v>2.6554823898672242E-2</v>
      </c>
      <c r="Y433">
        <v>1.0307381361030267E-2</v>
      </c>
    </row>
    <row r="434" spans="1:25" x14ac:dyDescent="0.25">
      <c r="A434" s="1093"/>
      <c r="B434" s="1452">
        <v>184</v>
      </c>
      <c r="C434" s="1097">
        <v>0.98967035376833501</v>
      </c>
      <c r="D434" s="1097">
        <v>0.9797502367889882</v>
      </c>
      <c r="E434" s="1097">
        <v>1.0088808452446647</v>
      </c>
      <c r="F434" s="1097">
        <v>1.0049369348037231</v>
      </c>
      <c r="G434" s="1097">
        <v>1.0046556027053355</v>
      </c>
      <c r="H434" s="1097">
        <v>1.0011363641192061</v>
      </c>
      <c r="I434" s="1097">
        <v>1.0029609813320937</v>
      </c>
      <c r="K434">
        <v>5.2241939143793799</v>
      </c>
      <c r="L434">
        <v>0</v>
      </c>
      <c r="M434">
        <v>3.6376152722085368E-3</v>
      </c>
      <c r="N434">
        <v>0.32399192722815284</v>
      </c>
      <c r="O434">
        <v>0.1516650550815811</v>
      </c>
      <c r="P434">
        <v>2.0591768103310065E-2</v>
      </c>
      <c r="Q434">
        <v>1.3381323370336947E-3</v>
      </c>
      <c r="R434">
        <v>3.6316156383744943E-3</v>
      </c>
      <c r="S434">
        <v>0.4726978530644847</v>
      </c>
      <c r="T434">
        <v>4.0139373151420799</v>
      </c>
      <c r="U434">
        <v>0</v>
      </c>
      <c r="V434">
        <v>1.1304767209823801E-2</v>
      </c>
      <c r="W434">
        <v>0.19183697580392622</v>
      </c>
      <c r="X434">
        <v>2.6572896988037074E-2</v>
      </c>
      <c r="Y434">
        <v>1.0263223054784167E-2</v>
      </c>
    </row>
    <row r="435" spans="1:25" x14ac:dyDescent="0.25">
      <c r="A435" s="1093"/>
      <c r="B435" s="1452">
        <v>185</v>
      </c>
      <c r="C435" s="1097">
        <v>0.97106378968845142</v>
      </c>
      <c r="D435" s="1097">
        <v>1.0141967264602618</v>
      </c>
      <c r="E435" s="1097">
        <v>0.99661617764054256</v>
      </c>
      <c r="F435" s="1097">
        <v>1.0091644598847276</v>
      </c>
      <c r="G435" s="1097">
        <v>1.0033049272409771</v>
      </c>
      <c r="H435" s="1097">
        <v>1.0163815208755622</v>
      </c>
      <c r="I435" s="1097">
        <v>0.95866333028174988</v>
      </c>
      <c r="K435">
        <v>5.2420985926702821</v>
      </c>
      <c r="L435">
        <v>0</v>
      </c>
      <c r="M435">
        <v>3.8252730484423804E-3</v>
      </c>
      <c r="N435">
        <v>0.32855996110861402</v>
      </c>
      <c r="O435">
        <v>0.15344347581944595</v>
      </c>
      <c r="P435">
        <v>2.0439001432988636E-2</v>
      </c>
      <c r="Q435">
        <v>1.3310125147635145E-3</v>
      </c>
      <c r="R435">
        <v>3.8190845289577408E-3</v>
      </c>
      <c r="S435">
        <v>0.46180630959121188</v>
      </c>
      <c r="T435">
        <v>4.0323749388355532</v>
      </c>
      <c r="U435">
        <v>0</v>
      </c>
      <c r="V435">
        <v>1.1304767209823822E-2</v>
      </c>
      <c r="W435">
        <v>0.19615803687940428</v>
      </c>
      <c r="X435">
        <v>2.589425334581338E-2</v>
      </c>
      <c r="Y435">
        <v>1.0793024452145141E-2</v>
      </c>
    </row>
    <row r="436" spans="1:25" x14ac:dyDescent="0.25">
      <c r="A436" s="1093"/>
      <c r="B436" s="1452">
        <v>186</v>
      </c>
      <c r="C436" s="1097">
        <v>0.9590029702238525</v>
      </c>
      <c r="D436" s="1097">
        <v>1.0042053191602414</v>
      </c>
      <c r="E436" s="1097">
        <v>0.99879886761493009</v>
      </c>
      <c r="F436" s="1097">
        <v>1.0049723005793416</v>
      </c>
      <c r="G436" s="1097">
        <v>1.0050621547670699</v>
      </c>
      <c r="H436" s="1097">
        <v>0.95366354276597243</v>
      </c>
      <c r="I436" s="1097">
        <v>0.96285053459271397</v>
      </c>
      <c r="K436">
        <v>5.1967155198130612</v>
      </c>
      <c r="L436">
        <v>0</v>
      </c>
      <c r="M436">
        <v>3.6169965877248023E-3</v>
      </c>
      <c r="N436">
        <v>0.31265116271885263</v>
      </c>
      <c r="O436">
        <v>0.15527821434313846</v>
      </c>
      <c r="P436">
        <v>2.0373549928880162E-2</v>
      </c>
      <c r="Q436">
        <v>1.3556369986879961E-3</v>
      </c>
      <c r="R436">
        <v>3.6107342154983344E-3</v>
      </c>
      <c r="S436">
        <v>0.45708809980551074</v>
      </c>
      <c r="T436">
        <v>4.0153483903734166</v>
      </c>
      <c r="U436">
        <v>0</v>
      </c>
      <c r="V436">
        <v>1.1304767209823827E-2</v>
      </c>
      <c r="W436">
        <v>0.18638451883242144</v>
      </c>
      <c r="X436">
        <v>2.6733231415038718E-2</v>
      </c>
      <c r="Y436">
        <v>1.0204210559514917E-2</v>
      </c>
    </row>
    <row r="437" spans="1:25" x14ac:dyDescent="0.25">
      <c r="A437" s="1093"/>
      <c r="B437" s="1452">
        <v>187</v>
      </c>
      <c r="C437" s="1097">
        <v>1.0016038376740339</v>
      </c>
      <c r="D437" s="1097">
        <v>1.0274690343018644</v>
      </c>
      <c r="E437" s="1097">
        <v>0.9833134300729881</v>
      </c>
      <c r="F437" s="1097">
        <v>0.98517594477776893</v>
      </c>
      <c r="G437" s="1097">
        <v>0.96259094674998669</v>
      </c>
      <c r="H437" s="1097">
        <v>1.024755776578949</v>
      </c>
      <c r="I437" s="1097">
        <v>1.0185245367305875</v>
      </c>
      <c r="K437">
        <v>5.1104308478181535</v>
      </c>
      <c r="L437">
        <v>0</v>
      </c>
      <c r="M437">
        <v>3.7345308010409192E-3</v>
      </c>
      <c r="N437">
        <v>0.3083516926050523</v>
      </c>
      <c r="O437">
        <v>0.14483544470930101</v>
      </c>
      <c r="P437">
        <v>1.983364117412216E-2</v>
      </c>
      <c r="Q437">
        <v>1.269089348880864E-3</v>
      </c>
      <c r="R437">
        <v>3.7283927921446737E-3</v>
      </c>
      <c r="S437">
        <v>0.46653446684575783</v>
      </c>
      <c r="T437">
        <v>3.9381758792853669</v>
      </c>
      <c r="U437">
        <v>0</v>
      </c>
      <c r="V437">
        <v>1.1304767209823817E-2</v>
      </c>
      <c r="W437">
        <v>0.1857673004220293</v>
      </c>
      <c r="X437">
        <v>2.3827981546785917E-2</v>
      </c>
      <c r="Y437">
        <v>1.0536722679924856E-2</v>
      </c>
    </row>
    <row r="438" spans="1:25" x14ac:dyDescent="0.25">
      <c r="A438" s="1093"/>
      <c r="B438" s="1452">
        <v>188</v>
      </c>
      <c r="C438" s="1097">
        <v>1.0139736814568696</v>
      </c>
      <c r="D438" s="1097">
        <v>0.98030958205611141</v>
      </c>
      <c r="E438" s="1097">
        <v>1.0125272591953083</v>
      </c>
      <c r="F438" s="1097">
        <v>1.0178408439777729</v>
      </c>
      <c r="G438" s="1097">
        <v>0.96243376275423964</v>
      </c>
      <c r="H438" s="1097">
        <v>1.0139206075680902</v>
      </c>
      <c r="I438" s="1097">
        <v>1.012838968838901</v>
      </c>
      <c r="K438">
        <v>5.275836558972772</v>
      </c>
      <c r="L438">
        <v>0</v>
      </c>
      <c r="M438">
        <v>3.613130991693352E-3</v>
      </c>
      <c r="N438">
        <v>0.32531765028565846</v>
      </c>
      <c r="O438">
        <v>0.14979372611683553</v>
      </c>
      <c r="P438">
        <v>2.0884604635994994E-2</v>
      </c>
      <c r="Q438">
        <v>1.3098205581984683E-3</v>
      </c>
      <c r="R438">
        <v>3.6073213546617112E-3</v>
      </c>
      <c r="S438">
        <v>0.47331965422415884</v>
      </c>
      <c r="T438">
        <v>4.0650147072659886</v>
      </c>
      <c r="U438">
        <v>0</v>
      </c>
      <c r="V438">
        <v>1.1304767209823808E-2</v>
      </c>
      <c r="W438">
        <v>0.19215122857044431</v>
      </c>
      <c r="X438">
        <v>2.6551644188467064E-2</v>
      </c>
      <c r="Y438">
        <v>1.019456555423102E-2</v>
      </c>
    </row>
    <row r="439" spans="1:25" x14ac:dyDescent="0.25">
      <c r="A439" s="1093"/>
      <c r="B439" s="1452">
        <v>189</v>
      </c>
      <c r="C439" s="1097">
        <v>1.0229074092452954</v>
      </c>
      <c r="D439" s="1097">
        <v>1.0046507404339959</v>
      </c>
      <c r="E439" s="1097">
        <v>1.0247133461712294</v>
      </c>
      <c r="F439" s="1097">
        <v>0.97083498475746133</v>
      </c>
      <c r="G439" s="1097">
        <v>0.99650517280351758</v>
      </c>
      <c r="H439" s="1097">
        <v>1.0068716153287929</v>
      </c>
      <c r="I439" s="1097">
        <v>0.97837077532223649</v>
      </c>
      <c r="K439">
        <v>5.0002160061763332</v>
      </c>
      <c r="L439">
        <v>0</v>
      </c>
      <c r="M439">
        <v>3.2742078941538949E-3</v>
      </c>
      <c r="N439">
        <v>0.30559811346937188</v>
      </c>
      <c r="O439">
        <v>0.13992403888383925</v>
      </c>
      <c r="P439">
        <v>2.0005658752937843E-2</v>
      </c>
      <c r="Q439">
        <v>1.2990438627046264E-3</v>
      </c>
      <c r="R439">
        <v>3.2686501113282813E-3</v>
      </c>
      <c r="S439">
        <v>0.43227985380783335</v>
      </c>
      <c r="T439">
        <v>3.8758121361661302</v>
      </c>
      <c r="U439">
        <v>0</v>
      </c>
      <c r="V439">
        <v>1.1304767209823818E-2</v>
      </c>
      <c r="W439">
        <v>0.17904163468722281</v>
      </c>
      <c r="X439">
        <v>2.571886235505055E-2</v>
      </c>
      <c r="Y439">
        <v>9.2374547642444828E-3</v>
      </c>
    </row>
    <row r="440" spans="1:25" x14ac:dyDescent="0.25">
      <c r="A440" s="1093"/>
      <c r="B440" s="1452">
        <v>190</v>
      </c>
      <c r="C440" s="1097">
        <v>1.0209750114343472</v>
      </c>
      <c r="D440" s="1097">
        <v>1.012170743515123</v>
      </c>
      <c r="E440" s="1097">
        <v>1.0075820167118448</v>
      </c>
      <c r="F440" s="1097">
        <v>1.0070983976361321</v>
      </c>
      <c r="G440" s="1097">
        <v>1.0024915385017414</v>
      </c>
      <c r="H440" s="1097">
        <v>1.0109917215611661</v>
      </c>
      <c r="I440" s="1097">
        <v>1.031017573409426</v>
      </c>
      <c r="K440">
        <v>5.2067991532827511</v>
      </c>
      <c r="L440">
        <v>0</v>
      </c>
      <c r="M440">
        <v>3.5319307397807492E-3</v>
      </c>
      <c r="N440">
        <v>0.31337749706139023</v>
      </c>
      <c r="O440">
        <v>0.14546037290722838</v>
      </c>
      <c r="P440">
        <v>2.0603211185766798E-2</v>
      </c>
      <c r="Q440">
        <v>1.2789048881105866E-3</v>
      </c>
      <c r="R440">
        <v>3.5261745614651062E-3</v>
      </c>
      <c r="S440">
        <v>0.4707296025322722</v>
      </c>
      <c r="T440">
        <v>4.0227342617786377</v>
      </c>
      <c r="U440">
        <v>0</v>
      </c>
      <c r="V440">
        <v>1.1304767209823818E-2</v>
      </c>
      <c r="W440">
        <v>0.18571417769363929</v>
      </c>
      <c r="X440">
        <v>2.563687568280414E-2</v>
      </c>
      <c r="Y440">
        <v>9.965238521392826E-3</v>
      </c>
    </row>
    <row r="441" spans="1:25" x14ac:dyDescent="0.25">
      <c r="A441" s="1093"/>
      <c r="B441" s="1452">
        <v>191</v>
      </c>
      <c r="C441" s="1097">
        <v>0.99337059229654812</v>
      </c>
      <c r="D441" s="1097">
        <v>1.0197267317421146</v>
      </c>
      <c r="E441" s="1097">
        <v>0.98518091331179924</v>
      </c>
      <c r="F441" s="1097">
        <v>1.0370621205766331</v>
      </c>
      <c r="G441" s="1097">
        <v>1.0030893543297645</v>
      </c>
      <c r="H441" s="1097">
        <v>0.98854505273586846</v>
      </c>
      <c r="I441" s="1097">
        <v>0.97933307646587431</v>
      </c>
      <c r="K441">
        <v>5.3433969301509521</v>
      </c>
      <c r="L441">
        <v>0</v>
      </c>
      <c r="M441">
        <v>3.8199825941654412E-3</v>
      </c>
      <c r="N441">
        <v>0.31716728866886612</v>
      </c>
      <c r="O441">
        <v>0.15413911419908249</v>
      </c>
      <c r="P441">
        <v>2.0791501103191293E-2</v>
      </c>
      <c r="Q441">
        <v>1.2855617832527426E-3</v>
      </c>
      <c r="R441">
        <v>3.8137992647252522E-3</v>
      </c>
      <c r="S441">
        <v>0.46611252193328478</v>
      </c>
      <c r="T441">
        <v>4.1453424906849943</v>
      </c>
      <c r="U441">
        <v>0</v>
      </c>
      <c r="V441">
        <v>1.130476720982382E-2</v>
      </c>
      <c r="W441">
        <v>0.19083466252143244</v>
      </c>
      <c r="X441">
        <v>2.5647117484549679E-2</v>
      </c>
      <c r="Y441">
        <v>1.0778087891913292E-2</v>
      </c>
    </row>
    <row r="442" spans="1:25" x14ac:dyDescent="0.25">
      <c r="A442" s="1093"/>
      <c r="B442" s="1452">
        <v>192</v>
      </c>
      <c r="C442" s="1097">
        <v>0.97752349407603889</v>
      </c>
      <c r="D442" s="1097">
        <v>0.99113873047375611</v>
      </c>
      <c r="E442" s="1097">
        <v>1.0040497876982408</v>
      </c>
      <c r="F442" s="1097">
        <v>0.98716726146181144</v>
      </c>
      <c r="G442" s="1097">
        <v>1.006758797231206</v>
      </c>
      <c r="H442" s="1097">
        <v>0.97142499783400149</v>
      </c>
      <c r="I442" s="1097">
        <v>1.0051086234095767</v>
      </c>
      <c r="K442">
        <v>5.1225525101640477</v>
      </c>
      <c r="L442">
        <v>0</v>
      </c>
      <c r="M442">
        <v>3.5300124403782303E-3</v>
      </c>
      <c r="N442">
        <v>0.30991657606227752</v>
      </c>
      <c r="O442">
        <v>0.150275184545868</v>
      </c>
      <c r="P442">
        <v>2.0165374508116993E-2</v>
      </c>
      <c r="Q442">
        <v>1.3429629551553928E-3</v>
      </c>
      <c r="R442">
        <v>3.5239043798159556E-3</v>
      </c>
      <c r="S442">
        <v>0.46574018418075896</v>
      </c>
      <c r="T442">
        <v>3.9435583109068673</v>
      </c>
      <c r="U442">
        <v>0</v>
      </c>
      <c r="V442">
        <v>1.1304767209823804E-2</v>
      </c>
      <c r="W442">
        <v>0.18410042331221399</v>
      </c>
      <c r="X442">
        <v>2.6196011728794526E-2</v>
      </c>
      <c r="Y442">
        <v>9.9588228147321559E-3</v>
      </c>
    </row>
    <row r="443" spans="1:25" x14ac:dyDescent="0.25">
      <c r="A443" s="1093"/>
      <c r="B443" s="1452">
        <v>193</v>
      </c>
      <c r="C443" s="1097">
        <v>0.97730601523425586</v>
      </c>
      <c r="D443" s="1097">
        <v>1.0227464872775549</v>
      </c>
      <c r="E443" s="1097">
        <v>0.98008455352095569</v>
      </c>
      <c r="F443" s="1097">
        <v>0.97047674923975824</v>
      </c>
      <c r="G443" s="1097">
        <v>1.00628093792605</v>
      </c>
      <c r="H443" s="1097">
        <v>1.0462162441785641</v>
      </c>
      <c r="I443" s="1097">
        <v>1.0162774694078403</v>
      </c>
      <c r="K443">
        <v>5.0778940685997513</v>
      </c>
      <c r="L443">
        <v>0</v>
      </c>
      <c r="M443">
        <v>3.882664816103209E-3</v>
      </c>
      <c r="N443">
        <v>0.3175292331519099</v>
      </c>
      <c r="O443">
        <v>0.14657972986604448</v>
      </c>
      <c r="P443">
        <v>1.9564097153131198E-2</v>
      </c>
      <c r="Q443">
        <v>1.2993974242962206E-3</v>
      </c>
      <c r="R443">
        <v>3.876319724892204E-3</v>
      </c>
      <c r="S443">
        <v>0.47555147772178913</v>
      </c>
      <c r="T443">
        <v>3.879813617417375</v>
      </c>
      <c r="U443">
        <v>0</v>
      </c>
      <c r="V443">
        <v>1.130476720982382E-2</v>
      </c>
      <c r="W443">
        <v>0.19171949871016244</v>
      </c>
      <c r="X443">
        <v>2.3583819550871691E-2</v>
      </c>
      <c r="Y443">
        <v>1.095477548555643E-2</v>
      </c>
    </row>
    <row r="444" spans="1:25" x14ac:dyDescent="0.25">
      <c r="A444" s="1093"/>
      <c r="B444" s="1452">
        <v>194</v>
      </c>
      <c r="C444" s="1097">
        <v>0.989145815383903</v>
      </c>
      <c r="D444" s="1097">
        <v>0.97618763039497047</v>
      </c>
      <c r="E444" s="1097">
        <v>0.97753657216024514</v>
      </c>
      <c r="F444" s="1097">
        <v>1.0345688094358854</v>
      </c>
      <c r="G444" s="1097">
        <v>0.99706910309375241</v>
      </c>
      <c r="H444" s="1097">
        <v>0.98524150100156227</v>
      </c>
      <c r="I444" s="1097">
        <v>0.99097333018880218</v>
      </c>
      <c r="K444">
        <v>5.3535544415778578</v>
      </c>
      <c r="L444">
        <v>0</v>
      </c>
      <c r="M444">
        <v>3.9442654671709597E-3</v>
      </c>
      <c r="N444">
        <v>0.32013912497885205</v>
      </c>
      <c r="O444">
        <v>0.15736890717409846</v>
      </c>
      <c r="P444">
        <v>2.0675711573020339E-2</v>
      </c>
      <c r="Q444">
        <v>1.3051032280728418E-3</v>
      </c>
      <c r="R444">
        <v>3.9378441425641057E-3</v>
      </c>
      <c r="S444">
        <v>0.47605227574439857</v>
      </c>
      <c r="T444">
        <v>4.1363778601638002</v>
      </c>
      <c r="U444">
        <v>0</v>
      </c>
      <c r="V444">
        <v>1.1304767209823824E-2</v>
      </c>
      <c r="W444">
        <v>0.19363331845543519</v>
      </c>
      <c r="X444">
        <v>2.5575146187893798E-2</v>
      </c>
      <c r="Y444">
        <v>1.112864818706431E-2</v>
      </c>
    </row>
    <row r="445" spans="1:25" x14ac:dyDescent="0.25">
      <c r="A445" s="1093"/>
      <c r="B445" s="1452">
        <v>195</v>
      </c>
      <c r="C445" s="1097">
        <v>1.0234820023419307</v>
      </c>
      <c r="D445" s="1097">
        <v>1.015817652821041</v>
      </c>
      <c r="E445" s="1097">
        <v>0.99023325132962492</v>
      </c>
      <c r="F445" s="1097">
        <v>1.0061724859853698</v>
      </c>
      <c r="G445" s="1097">
        <v>0.99466053931775933</v>
      </c>
      <c r="H445" s="1097">
        <v>0.99775981295730698</v>
      </c>
      <c r="I445" s="1097">
        <v>0.96107066131750263</v>
      </c>
      <c r="K445">
        <v>5.15373309119569</v>
      </c>
      <c r="L445">
        <v>0</v>
      </c>
      <c r="M445">
        <v>3.5980422040040845E-3</v>
      </c>
      <c r="N445">
        <v>0.30323941209106503</v>
      </c>
      <c r="O445">
        <v>0.14523400453382096</v>
      </c>
      <c r="P445">
        <v>2.0168861499793272E-2</v>
      </c>
      <c r="Q445">
        <v>1.2551237526372326E-3</v>
      </c>
      <c r="R445">
        <v>3.5920950564404092E-3</v>
      </c>
      <c r="S445">
        <v>0.43474673578717138</v>
      </c>
      <c r="T445">
        <v>4.0212285745472442</v>
      </c>
      <c r="U445">
        <v>0</v>
      </c>
      <c r="V445">
        <v>1.1304767209823813E-2</v>
      </c>
      <c r="W445">
        <v>0.1818272921172201</v>
      </c>
      <c r="X445">
        <v>2.4582731931489857E-2</v>
      </c>
      <c r="Y445">
        <v>1.0151534872984742E-2</v>
      </c>
    </row>
    <row r="446" spans="1:25" x14ac:dyDescent="0.25">
      <c r="A446" s="1093"/>
      <c r="B446" s="1452">
        <v>196</v>
      </c>
      <c r="C446" s="1097">
        <v>0.99941919955064862</v>
      </c>
      <c r="D446" s="1097">
        <v>0.98869803363239139</v>
      </c>
      <c r="E446" s="1097">
        <v>0.98283297421914995</v>
      </c>
      <c r="F446" s="1097">
        <v>1.0317340176410781</v>
      </c>
      <c r="G446" s="1097">
        <v>0.96764728295210722</v>
      </c>
      <c r="H446" s="1097">
        <v>0.97789396707246323</v>
      </c>
      <c r="I446" s="1097">
        <v>0.97741244323076837</v>
      </c>
      <c r="K446">
        <v>5.3117416257017442</v>
      </c>
      <c r="L446">
        <v>0</v>
      </c>
      <c r="M446">
        <v>3.8018673303459403E-3</v>
      </c>
      <c r="N446">
        <v>0.31346403235709436</v>
      </c>
      <c r="O446">
        <v>0.15438252089404569</v>
      </c>
      <c r="P446">
        <v>2.0637848743325898E-2</v>
      </c>
      <c r="Q446">
        <v>1.2910461058094611E-3</v>
      </c>
      <c r="R446">
        <v>3.7956142200020952E-3</v>
      </c>
      <c r="S446">
        <v>0.46109821525080419</v>
      </c>
      <c r="T446">
        <v>4.1243514367451013</v>
      </c>
      <c r="U446">
        <v>0</v>
      </c>
      <c r="V446">
        <v>1.1304767209823829E-2</v>
      </c>
      <c r="W446">
        <v>0.18890928716225019</v>
      </c>
      <c r="X446">
        <v>2.5582028776664427E-2</v>
      </c>
      <c r="Y446">
        <v>1.0726695567163163E-2</v>
      </c>
    </row>
    <row r="447" spans="1:25" x14ac:dyDescent="0.25">
      <c r="A447" s="1093"/>
      <c r="B447" s="1452">
        <v>197</v>
      </c>
      <c r="C447" s="1097">
        <v>1.0335561684369061</v>
      </c>
      <c r="D447" s="1097">
        <v>1.0058988874504564</v>
      </c>
      <c r="E447" s="1097">
        <v>0.97864643346579017</v>
      </c>
      <c r="F447" s="1097">
        <v>0.98117042699425461</v>
      </c>
      <c r="G447" s="1097">
        <v>1.0226276592783374</v>
      </c>
      <c r="H447" s="1097">
        <v>0.97759617183125125</v>
      </c>
      <c r="I447" s="1097">
        <v>1.0067818887188391</v>
      </c>
      <c r="K447">
        <v>5.0255704361527567</v>
      </c>
      <c r="L447">
        <v>0</v>
      </c>
      <c r="M447">
        <v>3.5019678288428905E-3</v>
      </c>
      <c r="N447">
        <v>0.28514840014277104</v>
      </c>
      <c r="O447">
        <v>0.14110156457004594</v>
      </c>
      <c r="P447">
        <v>1.9570433377660686E-2</v>
      </c>
      <c r="Q447">
        <v>1.2353260347854405E-3</v>
      </c>
      <c r="R447">
        <v>3.4959098065679589E-3</v>
      </c>
      <c r="S447">
        <v>0.4388225126093156</v>
      </c>
      <c r="T447">
        <v>3.9227441355277537</v>
      </c>
      <c r="U447">
        <v>0</v>
      </c>
      <c r="V447">
        <v>1.1304767209823808E-2</v>
      </c>
      <c r="W447">
        <v>0.17233822112506025</v>
      </c>
      <c r="X447">
        <v>2.3431425564367836E-2</v>
      </c>
      <c r="Y447">
        <v>9.8797080134487587E-3</v>
      </c>
    </row>
    <row r="448" spans="1:25" x14ac:dyDescent="0.25">
      <c r="A448" s="1093"/>
      <c r="B448" s="1452">
        <v>198</v>
      </c>
      <c r="C448" s="1097">
        <v>0.99607658479902583</v>
      </c>
      <c r="D448" s="1097">
        <v>0.97982375830801016</v>
      </c>
      <c r="E448" s="1097">
        <v>1.0131386346547606</v>
      </c>
      <c r="F448" s="1097">
        <v>1.0127225984142747</v>
      </c>
      <c r="G448" s="1097">
        <v>0.96959125816458092</v>
      </c>
      <c r="H448" s="1097">
        <v>1.0138290084006472</v>
      </c>
      <c r="I448" s="1097">
        <v>1.0092208188129232</v>
      </c>
      <c r="K448">
        <v>5.2692878590610235</v>
      </c>
      <c r="L448">
        <v>0</v>
      </c>
      <c r="M448">
        <v>3.6552617179551115E-3</v>
      </c>
      <c r="N448">
        <v>0.32970442442730535</v>
      </c>
      <c r="O448">
        <v>0.15173102102250258</v>
      </c>
      <c r="P448">
        <v>2.082177841655777E-2</v>
      </c>
      <c r="Q448">
        <v>1.3343125626711265E-3</v>
      </c>
      <c r="R448">
        <v>3.6493541489620012E-3</v>
      </c>
      <c r="S448">
        <v>0.47810579409590725</v>
      </c>
      <c r="T448">
        <v>4.0444963831041187</v>
      </c>
      <c r="U448">
        <v>0</v>
      </c>
      <c r="V448">
        <v>1.1304767209823815E-2</v>
      </c>
      <c r="W448">
        <v>0.19466255134483323</v>
      </c>
      <c r="X448">
        <v>2.6819381006319996E-2</v>
      </c>
      <c r="Y448">
        <v>1.0313353439975675E-2</v>
      </c>
    </row>
    <row r="449" spans="1:25" x14ac:dyDescent="0.25">
      <c r="A449" s="1093"/>
      <c r="B449" s="1452">
        <v>199</v>
      </c>
      <c r="C449" s="1097">
        <v>1.0036482515086333</v>
      </c>
      <c r="D449" s="1097">
        <v>1.0010412691495187</v>
      </c>
      <c r="E449" s="1097">
        <v>0.97988248627430086</v>
      </c>
      <c r="F449" s="1097">
        <v>0.99873720641998009</v>
      </c>
      <c r="G449" s="1097">
        <v>0.98476503170150953</v>
      </c>
      <c r="H449" s="1097">
        <v>0.99546599621710508</v>
      </c>
      <c r="I449" s="1097">
        <v>0.9989868309199067</v>
      </c>
      <c r="K449">
        <v>5.1569098511538352</v>
      </c>
      <c r="L449">
        <v>0</v>
      </c>
      <c r="M449">
        <v>3.7354216272436173E-3</v>
      </c>
      <c r="N449">
        <v>0.30529374103417239</v>
      </c>
      <c r="O449">
        <v>0.14816029963978739</v>
      </c>
      <c r="P449">
        <v>1.9992480591043683E-2</v>
      </c>
      <c r="Q449">
        <v>1.2759723709316092E-3</v>
      </c>
      <c r="R449">
        <v>3.7291871858835019E-3</v>
      </c>
      <c r="S449">
        <v>0.45885347361287282</v>
      </c>
      <c r="T449">
        <v>3.992820062435233</v>
      </c>
      <c r="U449">
        <v>0</v>
      </c>
      <c r="V449">
        <v>1.1304767209823808E-2</v>
      </c>
      <c r="W449">
        <v>0.18435740929475414</v>
      </c>
      <c r="X449">
        <v>2.4318911709298771E-2</v>
      </c>
      <c r="Y449">
        <v>1.0538967697279878E-2</v>
      </c>
    </row>
    <row r="450" spans="1:25" x14ac:dyDescent="0.25">
      <c r="A450" s="1093"/>
      <c r="B450" s="1452">
        <v>200</v>
      </c>
      <c r="C450" s="1097">
        <v>1.0163649601560281</v>
      </c>
      <c r="D450" s="1097">
        <v>0.99888847681509207</v>
      </c>
      <c r="E450" s="1097">
        <v>0.99939249783611916</v>
      </c>
      <c r="F450" s="1097">
        <v>0.99590782859812899</v>
      </c>
      <c r="G450" s="1097">
        <v>0.97226215372664626</v>
      </c>
      <c r="H450" s="1097">
        <v>0.98095568262620925</v>
      </c>
      <c r="I450" s="1097">
        <v>0.9988913190924974</v>
      </c>
      <c r="K450">
        <v>5.1231063274267541</v>
      </c>
      <c r="L450">
        <v>0</v>
      </c>
      <c r="M450">
        <v>3.4819578222341804E-3</v>
      </c>
      <c r="N450">
        <v>0.3015183105847718</v>
      </c>
      <c r="O450">
        <v>0.14548549839189662</v>
      </c>
      <c r="P450">
        <v>2.0183206707211618E-2</v>
      </c>
      <c r="Q450">
        <v>1.2824987954886608E-3</v>
      </c>
      <c r="R450">
        <v>3.4760437245051272E-3</v>
      </c>
      <c r="S450">
        <v>0.44952307571182498</v>
      </c>
      <c r="T450">
        <v>3.9790572002313622</v>
      </c>
      <c r="U450">
        <v>0</v>
      </c>
      <c r="V450">
        <v>1.1304767209823829E-2</v>
      </c>
      <c r="W450">
        <v>0.17967560897903731</v>
      </c>
      <c r="X450">
        <v>2.5258509964225042E-2</v>
      </c>
      <c r="Y450">
        <v>9.8235649488355795E-3</v>
      </c>
    </row>
    <row r="451" spans="1:25" x14ac:dyDescent="0.25">
      <c r="A451" s="1093"/>
      <c r="B451" s="1452">
        <v>201</v>
      </c>
      <c r="C451" s="1097">
        <v>1.0104013827673226</v>
      </c>
      <c r="D451" s="1097">
        <v>0.98170084000522828</v>
      </c>
      <c r="E451" s="1097">
        <v>1.0035609415255557</v>
      </c>
      <c r="F451" s="1097">
        <v>0.97490046399459629</v>
      </c>
      <c r="G451" s="1097">
        <v>0.99668531511066183</v>
      </c>
      <c r="H451" s="1097">
        <v>1.0242273230942311</v>
      </c>
      <c r="I451" s="1097">
        <v>0.9903602821754971</v>
      </c>
      <c r="K451">
        <v>5.0554058655342438</v>
      </c>
      <c r="L451">
        <v>0</v>
      </c>
      <c r="M451">
        <v>3.5734259034921941E-3</v>
      </c>
      <c r="N451">
        <v>0.31329561766182074</v>
      </c>
      <c r="O451">
        <v>0.14414249788663402</v>
      </c>
      <c r="P451">
        <v>1.9861863882007429E-2</v>
      </c>
      <c r="Q451">
        <v>1.3037007298524954E-3</v>
      </c>
      <c r="R451">
        <v>3.5674878230130443E-3</v>
      </c>
      <c r="S451">
        <v>0.44973410300118383</v>
      </c>
      <c r="T451">
        <v>3.8946143567802576</v>
      </c>
      <c r="U451">
        <v>0</v>
      </c>
      <c r="V451">
        <v>1.130476720982382E-2</v>
      </c>
      <c r="W451">
        <v>0.18616902412897163</v>
      </c>
      <c r="X451">
        <v>2.490387938152586E-2</v>
      </c>
      <c r="Y451">
        <v>1.0081992952645611E-2</v>
      </c>
    </row>
    <row r="452" spans="1:25" x14ac:dyDescent="0.25">
      <c r="A452" s="1093"/>
      <c r="B452" s="1452">
        <v>202</v>
      </c>
      <c r="C452" s="1097">
        <v>1.0025929077242344</v>
      </c>
      <c r="D452" s="1097">
        <v>0.99472389932681049</v>
      </c>
      <c r="E452" s="1097">
        <v>0.99850547123294919</v>
      </c>
      <c r="F452" s="1097">
        <v>0.98813624530915745</v>
      </c>
      <c r="G452" s="1097">
        <v>0.99112685031893499</v>
      </c>
      <c r="H452" s="1097">
        <v>0.98554573029003223</v>
      </c>
      <c r="I452" s="1097">
        <v>0.98469892515890234</v>
      </c>
      <c r="K452">
        <v>5.0968759980558165</v>
      </c>
      <c r="L452">
        <v>0</v>
      </c>
      <c r="M452">
        <v>3.5311506624168269E-3</v>
      </c>
      <c r="N452">
        <v>0.30497383867953809</v>
      </c>
      <c r="O452">
        <v>0.14660219433458097</v>
      </c>
      <c r="P452">
        <v>2.0020082611948833E-2</v>
      </c>
      <c r="Q452">
        <v>1.3012999900513106E-3</v>
      </c>
      <c r="R452">
        <v>3.5251340716793821E-3</v>
      </c>
      <c r="S452">
        <v>0.44749554963904836</v>
      </c>
      <c r="T452">
        <v>3.9481166632536917</v>
      </c>
      <c r="U452">
        <v>0</v>
      </c>
      <c r="V452">
        <v>1.1304767209823811E-2</v>
      </c>
      <c r="W452">
        <v>0.18184383168029261</v>
      </c>
      <c r="X452">
        <v>2.5261489229756198E-2</v>
      </c>
      <c r="Y452">
        <v>9.9622980178207341E-3</v>
      </c>
    </row>
    <row r="453" spans="1:25" x14ac:dyDescent="0.25">
      <c r="A453" s="1093"/>
      <c r="B453" s="1452">
        <v>203</v>
      </c>
      <c r="C453" s="1097">
        <v>0.99861899859776848</v>
      </c>
      <c r="D453" s="1097">
        <v>0.99637624929152557</v>
      </c>
      <c r="E453" s="1097">
        <v>1.0141314469713107</v>
      </c>
      <c r="F453" s="1097">
        <v>1.0212809683991373</v>
      </c>
      <c r="G453" s="1097">
        <v>1.0115811852712684</v>
      </c>
      <c r="H453" s="1097">
        <v>1.0061956532104148</v>
      </c>
      <c r="I453" s="1097">
        <v>1.0193172549779896</v>
      </c>
      <c r="K453">
        <v>5.303207530882375</v>
      </c>
      <c r="L453">
        <v>0</v>
      </c>
      <c r="M453">
        <v>3.6170774052074694E-3</v>
      </c>
      <c r="N453">
        <v>0.3272208385236573</v>
      </c>
      <c r="O453">
        <v>0.1515761117566054</v>
      </c>
      <c r="P453">
        <v>2.1011312571882823E-2</v>
      </c>
      <c r="Q453">
        <v>1.3231426302326283E-3</v>
      </c>
      <c r="R453">
        <v>3.6112364802145724E-3</v>
      </c>
      <c r="S453">
        <v>0.48197919791717542</v>
      </c>
      <c r="T453">
        <v>4.0785493432170927</v>
      </c>
      <c r="U453">
        <v>0</v>
      </c>
      <c r="V453">
        <v>1.1304767209823813E-2</v>
      </c>
      <c r="W453">
        <v>0.19306780081016484</v>
      </c>
      <c r="X453">
        <v>2.697522717278664E-2</v>
      </c>
      <c r="Y453">
        <v>1.0205629997949104E-2</v>
      </c>
    </row>
    <row r="454" spans="1:25" x14ac:dyDescent="0.25">
      <c r="A454" s="1093"/>
      <c r="B454" s="1452">
        <v>204</v>
      </c>
      <c r="C454" s="1097">
        <v>1.0160807441844695</v>
      </c>
      <c r="D454" s="1097">
        <v>1.0176922285034091</v>
      </c>
      <c r="E454" s="1097">
        <v>0.99424105128190576</v>
      </c>
      <c r="F454" s="1097">
        <v>0.97587337553734865</v>
      </c>
      <c r="G454" s="1097">
        <v>0.99041067331378363</v>
      </c>
      <c r="H454" s="1097">
        <v>0.97859239719079527</v>
      </c>
      <c r="I454" s="1097">
        <v>1.0104679753453696</v>
      </c>
      <c r="K454">
        <v>5.0183296761168084</v>
      </c>
      <c r="L454">
        <v>0</v>
      </c>
      <c r="M454">
        <v>3.4162997869269279E-3</v>
      </c>
      <c r="N454">
        <v>0.29133908825769322</v>
      </c>
      <c r="O454">
        <v>0.14167560973366128</v>
      </c>
      <c r="P454">
        <v>1.9726209528460385E-2</v>
      </c>
      <c r="Q454">
        <v>1.2677025631417517E-3</v>
      </c>
      <c r="R454">
        <v>3.4103639858753146E-3</v>
      </c>
      <c r="S454">
        <v>0.44515212897584133</v>
      </c>
      <c r="T454">
        <v>3.8996435239370615</v>
      </c>
      <c r="U454">
        <v>0</v>
      </c>
      <c r="V454">
        <v>1.1304767209823817E-2</v>
      </c>
      <c r="W454">
        <v>0.17421661016683732</v>
      </c>
      <c r="X454">
        <v>2.4372022552281273E-2</v>
      </c>
      <c r="Y454">
        <v>9.6379489930568975E-3</v>
      </c>
    </row>
    <row r="455" spans="1:25" x14ac:dyDescent="0.25">
      <c r="A455" s="1093"/>
      <c r="B455" s="1452">
        <v>205</v>
      </c>
      <c r="C455" s="1097">
        <v>1.0155934697598856</v>
      </c>
      <c r="D455" s="1097">
        <v>0.98913735061325747</v>
      </c>
      <c r="E455" s="1097">
        <v>1.0119546505541439</v>
      </c>
      <c r="F455" s="1097">
        <v>0.98447582542372103</v>
      </c>
      <c r="G455" s="1097">
        <v>0.99315441146090122</v>
      </c>
      <c r="H455" s="1097">
        <v>1.0270187578475973</v>
      </c>
      <c r="I455" s="1097">
        <v>1.0299051370942376</v>
      </c>
      <c r="K455">
        <v>5.117385121390714</v>
      </c>
      <c r="L455">
        <v>0</v>
      </c>
      <c r="M455">
        <v>3.5259929553182463E-3</v>
      </c>
      <c r="N455">
        <v>0.31692372576889477</v>
      </c>
      <c r="O455">
        <v>0.14415012070066935</v>
      </c>
      <c r="P455">
        <v>2.024453816292552E-2</v>
      </c>
      <c r="Q455">
        <v>1.3024161369632964E-3</v>
      </c>
      <c r="R455">
        <v>3.5202063597489126E-3</v>
      </c>
      <c r="S455">
        <v>0.46892437772486301</v>
      </c>
      <c r="T455">
        <v>3.9318331119550938</v>
      </c>
      <c r="U455">
        <v>0</v>
      </c>
      <c r="V455">
        <v>1.1304767209823817E-2</v>
      </c>
      <c r="W455">
        <v>0.18726515762729237</v>
      </c>
      <c r="X455">
        <v>2.5494320772062828E-2</v>
      </c>
      <c r="Y455">
        <v>9.9483719276922157E-3</v>
      </c>
    </row>
    <row r="456" spans="1:25" x14ac:dyDescent="0.25">
      <c r="A456" s="1093"/>
      <c r="B456" s="1452">
        <v>206</v>
      </c>
      <c r="C456" s="1097">
        <v>1.0186741654742619</v>
      </c>
      <c r="D456" s="1097">
        <v>1.0008094864707227</v>
      </c>
      <c r="E456" s="1097">
        <v>0.97331544484036492</v>
      </c>
      <c r="F456" s="1097">
        <v>0.99833294692391328</v>
      </c>
      <c r="G456" s="1097">
        <v>1.0161517441837014</v>
      </c>
      <c r="H456" s="1097">
        <v>0.98755132047733596</v>
      </c>
      <c r="I456" s="1097">
        <v>0.99511623357848422</v>
      </c>
      <c r="K456">
        <v>5.1299913846603307</v>
      </c>
      <c r="L456">
        <v>0</v>
      </c>
      <c r="M456">
        <v>3.7005638676632529E-3</v>
      </c>
      <c r="N456">
        <v>0.2966025827790385</v>
      </c>
      <c r="O456">
        <v>0.14610826967853741</v>
      </c>
      <c r="P456">
        <v>1.984422889749575E-2</v>
      </c>
      <c r="Q456">
        <v>1.2501056034693464E-3</v>
      </c>
      <c r="R456">
        <v>3.6943355879546593E-3</v>
      </c>
      <c r="S456">
        <v>0.44875561886893262</v>
      </c>
      <c r="T456">
        <v>3.9920360480397292</v>
      </c>
      <c r="U456">
        <v>0</v>
      </c>
      <c r="V456">
        <v>1.1304767209823822E-2</v>
      </c>
      <c r="W456">
        <v>0.1799186491391444</v>
      </c>
      <c r="X456">
        <v>2.3736868303123205E-2</v>
      </c>
      <c r="Y456">
        <v>1.0440474420739337E-2</v>
      </c>
    </row>
    <row r="457" spans="1:25" x14ac:dyDescent="0.25">
      <c r="A457" s="1093"/>
      <c r="B457" s="1452">
        <v>207</v>
      </c>
      <c r="C457" s="1097">
        <v>0.97242571977027759</v>
      </c>
      <c r="D457" s="1097">
        <v>0.97067184141051577</v>
      </c>
      <c r="E457" s="1097">
        <v>0.99388794938998559</v>
      </c>
      <c r="F457" s="1097">
        <v>1.013609361614336</v>
      </c>
      <c r="G457" s="1097">
        <v>1.0118446534708765</v>
      </c>
      <c r="H457" s="1097">
        <v>0.98306682441184201</v>
      </c>
      <c r="I457" s="1097">
        <v>0.97282807246451708</v>
      </c>
      <c r="K457">
        <v>5.2620459428195545</v>
      </c>
      <c r="L457">
        <v>0</v>
      </c>
      <c r="M457">
        <v>3.798384021255357E-3</v>
      </c>
      <c r="N457">
        <v>0.32360743365390043</v>
      </c>
      <c r="O457">
        <v>0.15670770787810356</v>
      </c>
      <c r="P457">
        <v>2.0504569291716974E-2</v>
      </c>
      <c r="Q457">
        <v>1.3495060619823857E-3</v>
      </c>
      <c r="R457">
        <v>3.7920585719633227E-3</v>
      </c>
      <c r="S457">
        <v>0.46739288871616985</v>
      </c>
      <c r="T457">
        <v>4.0504836553730792</v>
      </c>
      <c r="U457">
        <v>0</v>
      </c>
      <c r="V457">
        <v>1.1304767209823799E-2</v>
      </c>
      <c r="W457">
        <v>0.19355899377425215</v>
      </c>
      <c r="X457">
        <v>2.6426099275474606E-2</v>
      </c>
      <c r="Y457">
        <v>1.071664703434471E-2</v>
      </c>
    </row>
    <row r="458" spans="1:25" x14ac:dyDescent="0.25">
      <c r="A458" s="1093"/>
      <c r="B458" s="1452">
        <v>208</v>
      </c>
      <c r="C458" s="1097">
        <v>1.0130466002865832</v>
      </c>
      <c r="D458" s="1097">
        <v>0.95929708157448257</v>
      </c>
      <c r="E458" s="1097">
        <v>0.99193058012581758</v>
      </c>
      <c r="F458" s="1097">
        <v>1.0225199517777335</v>
      </c>
      <c r="G458" s="1097">
        <v>0.98452564190839476</v>
      </c>
      <c r="H458" s="1097">
        <v>1.0002879190082354</v>
      </c>
      <c r="I458" s="1097">
        <v>0.99528300893421962</v>
      </c>
      <c r="K458">
        <v>5.2865818479126583</v>
      </c>
      <c r="L458">
        <v>0</v>
      </c>
      <c r="M458">
        <v>3.7757114638707055E-3</v>
      </c>
      <c r="N458">
        <v>0.31982839598203039</v>
      </c>
      <c r="O458">
        <v>0.15251954193046871</v>
      </c>
      <c r="P458">
        <v>2.0633695150816249E-2</v>
      </c>
      <c r="Q458">
        <v>1.2993248335605593E-3</v>
      </c>
      <c r="R458">
        <v>3.7695857833719092E-3</v>
      </c>
      <c r="S458">
        <v>0.46675567299983789</v>
      </c>
      <c r="T458">
        <v>4.0863433835957661</v>
      </c>
      <c r="U458">
        <v>0</v>
      </c>
      <c r="V458">
        <v>1.1304767209823808E-2</v>
      </c>
      <c r="W458">
        <v>0.19155310821402255</v>
      </c>
      <c r="X458">
        <v>2.5696946458763976E-2</v>
      </c>
      <c r="Y458">
        <v>1.0653137218069125E-2</v>
      </c>
    </row>
    <row r="459" spans="1:25" x14ac:dyDescent="0.25">
      <c r="A459" s="1093"/>
      <c r="B459" s="1452">
        <v>209</v>
      </c>
      <c r="C459" s="1097">
        <v>0.99650054605466165</v>
      </c>
      <c r="D459" s="1097">
        <v>0.99342580322403173</v>
      </c>
      <c r="E459" s="1097">
        <v>0.99461324369327619</v>
      </c>
      <c r="F459" s="1097">
        <v>0.98871412467878261</v>
      </c>
      <c r="G459" s="1097">
        <v>1.0076229500914493</v>
      </c>
      <c r="H459" s="1097">
        <v>1.0062265868830642</v>
      </c>
      <c r="I459" s="1097">
        <v>1.0329787265405603</v>
      </c>
      <c r="K459">
        <v>5.1428813503528881</v>
      </c>
      <c r="L459">
        <v>0</v>
      </c>
      <c r="M459">
        <v>3.6611757891116077E-3</v>
      </c>
      <c r="N459">
        <v>0.31258835055280265</v>
      </c>
      <c r="O459">
        <v>0.14776962227694285</v>
      </c>
      <c r="P459">
        <v>2.0106596244132826E-2</v>
      </c>
      <c r="Q459">
        <v>1.3055679528727836E-3</v>
      </c>
      <c r="R459">
        <v>3.6550694303744595E-3</v>
      </c>
      <c r="S459">
        <v>0.47664035740535299</v>
      </c>
      <c r="T459">
        <v>3.9509095381731663</v>
      </c>
      <c r="U459">
        <v>0</v>
      </c>
      <c r="V459">
        <v>1.1304767209823806E-2</v>
      </c>
      <c r="W459">
        <v>0.18687617140562515</v>
      </c>
      <c r="X459">
        <v>2.5056980229316916E-2</v>
      </c>
      <c r="Y459">
        <v>1.0329505261588379E-2</v>
      </c>
    </row>
    <row r="460" spans="1:25" x14ac:dyDescent="0.25">
      <c r="A460" s="1093"/>
      <c r="B460" s="1452">
        <v>210</v>
      </c>
      <c r="C460" s="1097">
        <v>0.98541819967517563</v>
      </c>
      <c r="D460" s="1097">
        <v>1.024024536881498</v>
      </c>
      <c r="E460" s="1097">
        <v>0.97942095644327765</v>
      </c>
      <c r="F460" s="1097">
        <v>1.0063593889237905</v>
      </c>
      <c r="G460" s="1097">
        <v>1.0021621075278473</v>
      </c>
      <c r="H460" s="1097">
        <v>0.96109222010970874</v>
      </c>
      <c r="I460" s="1097">
        <v>0.98868517458383742</v>
      </c>
      <c r="K460">
        <v>5.1796339736103185</v>
      </c>
      <c r="L460">
        <v>0</v>
      </c>
      <c r="M460">
        <v>3.6712421958458846E-3</v>
      </c>
      <c r="N460">
        <v>0.29962374929425517</v>
      </c>
      <c r="O460">
        <v>0.15069150067326073</v>
      </c>
      <c r="P460">
        <v>2.0113861678207778E-2</v>
      </c>
      <c r="Q460">
        <v>1.287315045358624E-3</v>
      </c>
      <c r="R460">
        <v>3.6649437135740496E-3</v>
      </c>
      <c r="S460">
        <v>0.4569940768110422</v>
      </c>
      <c r="T460">
        <v>4.0233514173383487</v>
      </c>
      <c r="U460">
        <v>0</v>
      </c>
      <c r="V460">
        <v>1.1304767209823808E-2</v>
      </c>
      <c r="W460">
        <v>0.18099071275789816</v>
      </c>
      <c r="X460">
        <v>2.4925460544622143E-2</v>
      </c>
      <c r="Y460">
        <v>1.0357410739776278E-2</v>
      </c>
    </row>
    <row r="461" spans="1:25" x14ac:dyDescent="0.25">
      <c r="A461" s="1093"/>
      <c r="B461" s="1452">
        <v>211</v>
      </c>
      <c r="C461" s="1097">
        <v>1.0123162742777032</v>
      </c>
      <c r="D461" s="1097">
        <v>0.99182029420324691</v>
      </c>
      <c r="E461" s="1097">
        <v>0.98500436357688503</v>
      </c>
      <c r="F461" s="1097">
        <v>1.0165788000326221</v>
      </c>
      <c r="G461" s="1097">
        <v>0.97402894848403454</v>
      </c>
      <c r="H461" s="1097">
        <v>1.0295406421385211</v>
      </c>
      <c r="I461" s="1097">
        <v>1.0122263016957453</v>
      </c>
      <c r="K461">
        <v>5.2718374360058249</v>
      </c>
      <c r="L461">
        <v>0</v>
      </c>
      <c r="M461">
        <v>3.8711071525825958E-3</v>
      </c>
      <c r="N461">
        <v>0.32125448561512027</v>
      </c>
      <c r="O461">
        <v>0.14992666442525762</v>
      </c>
      <c r="P461">
        <v>2.0461550930251145E-2</v>
      </c>
      <c r="Q461">
        <v>1.2753870985495351E-3</v>
      </c>
      <c r="R461">
        <v>3.864969548260962E-3</v>
      </c>
      <c r="S461">
        <v>0.47520627197431581</v>
      </c>
      <c r="T461">
        <v>4.0634892970750922</v>
      </c>
      <c r="U461">
        <v>0</v>
      </c>
      <c r="V461">
        <v>1.1304767209823817E-2</v>
      </c>
      <c r="W461">
        <v>0.19331716704135979</v>
      </c>
      <c r="X461">
        <v>2.4685283220521478E-2</v>
      </c>
      <c r="Y461">
        <v>1.0922699019851548E-2</v>
      </c>
    </row>
    <row r="462" spans="1:25" x14ac:dyDescent="0.25">
      <c r="A462" s="1093"/>
      <c r="B462" s="1452">
        <v>212</v>
      </c>
      <c r="C462" s="1097">
        <v>0.98240976142265046</v>
      </c>
      <c r="D462" s="1097">
        <v>0.96401843035066093</v>
      </c>
      <c r="E462" s="1097">
        <v>1.0194012142676752</v>
      </c>
      <c r="F462" s="1097">
        <v>1.0319471295641316</v>
      </c>
      <c r="G462" s="1097">
        <v>0.97563122110407297</v>
      </c>
      <c r="H462" s="1097">
        <v>1.0333044103225708</v>
      </c>
      <c r="I462" s="1097">
        <v>1.0100078831160979</v>
      </c>
      <c r="K462">
        <v>5.4071503079028851</v>
      </c>
      <c r="L462">
        <v>0</v>
      </c>
      <c r="M462">
        <v>3.8231282116265594E-3</v>
      </c>
      <c r="N462">
        <v>0.35131785032871671</v>
      </c>
      <c r="O462">
        <v>0.15759941008858205</v>
      </c>
      <c r="P462">
        <v>2.1361886630411008E-2</v>
      </c>
      <c r="Q462">
        <v>1.368956594730255E-3</v>
      </c>
      <c r="R462">
        <v>3.8171785546412948E-3</v>
      </c>
      <c r="S462">
        <v>0.49838157832639485</v>
      </c>
      <c r="T462">
        <v>4.1204679508304718</v>
      </c>
      <c r="U462">
        <v>0</v>
      </c>
      <c r="V462">
        <v>1.1304767209823813E-2</v>
      </c>
      <c r="W462">
        <v>0.20655691862191394</v>
      </c>
      <c r="X462">
        <v>2.8009300905617041E-2</v>
      </c>
      <c r="Y462">
        <v>1.0787638023212613E-2</v>
      </c>
    </row>
    <row r="463" spans="1:25" x14ac:dyDescent="0.25">
      <c r="A463" s="1093"/>
      <c r="B463" s="1452">
        <v>213</v>
      </c>
      <c r="C463" s="1097">
        <v>0.96336946348980779</v>
      </c>
      <c r="D463" s="1097">
        <v>1.027385021883116</v>
      </c>
      <c r="E463" s="1097">
        <v>0.98786823183306671</v>
      </c>
      <c r="F463" s="1097">
        <v>1.0476262369406391</v>
      </c>
      <c r="G463" s="1097">
        <v>0.98687999287260797</v>
      </c>
      <c r="H463" s="1097">
        <v>1.0118067443742882</v>
      </c>
      <c r="I463" s="1097">
        <v>0.97922494969657725</v>
      </c>
      <c r="K463">
        <v>5.4482763325691206</v>
      </c>
      <c r="L463">
        <v>0</v>
      </c>
      <c r="M463">
        <v>4.0375981261439866E-3</v>
      </c>
      <c r="N463">
        <v>0.33793618868491815</v>
      </c>
      <c r="O463">
        <v>0.15999809337187576</v>
      </c>
      <c r="P463">
        <v>2.1123848222499932E-2</v>
      </c>
      <c r="Q463">
        <v>1.3247089238898316E-3</v>
      </c>
      <c r="R463">
        <v>4.0312770881348802E-3</v>
      </c>
      <c r="S463">
        <v>0.48861398964438085</v>
      </c>
      <c r="T463">
        <v>4.187213648397436</v>
      </c>
      <c r="U463">
        <v>0</v>
      </c>
      <c r="V463">
        <v>1.130476720982382E-2</v>
      </c>
      <c r="W463">
        <v>0.20295862458241562</v>
      </c>
      <c r="X463">
        <v>2.6416087745369951E-2</v>
      </c>
      <c r="Y463">
        <v>1.1392696824515262E-2</v>
      </c>
    </row>
    <row r="464" spans="1:25" x14ac:dyDescent="0.25">
      <c r="A464" s="1093"/>
      <c r="B464" s="1452">
        <v>214</v>
      </c>
      <c r="C464" s="1097">
        <v>1.0244178761334839</v>
      </c>
      <c r="D464" s="1097">
        <v>0.9983659166208283</v>
      </c>
      <c r="E464" s="1097">
        <v>0.97820849055639969</v>
      </c>
      <c r="F464" s="1097">
        <v>0.98952699380733933</v>
      </c>
      <c r="G464" s="1097">
        <v>0.99411354902498195</v>
      </c>
      <c r="H464" s="1097">
        <v>1.0355909186899981</v>
      </c>
      <c r="I464" s="1097">
        <v>0.9885084619182033</v>
      </c>
      <c r="K464">
        <v>5.1098860918260529</v>
      </c>
      <c r="L464">
        <v>0</v>
      </c>
      <c r="M464">
        <v>3.7894819149882565E-3</v>
      </c>
      <c r="N464">
        <v>0.30819267514049953</v>
      </c>
      <c r="O464">
        <v>0.14401684947096088</v>
      </c>
      <c r="P464">
        <v>1.9758353475757558E-2</v>
      </c>
      <c r="Q464">
        <v>1.2496232589395086E-3</v>
      </c>
      <c r="R464">
        <v>3.7833458094912705E-3</v>
      </c>
      <c r="S464">
        <v>0.44881545910893478</v>
      </c>
      <c r="T464">
        <v>3.9562088599000762</v>
      </c>
      <c r="U464">
        <v>0</v>
      </c>
      <c r="V464">
        <v>1.130476720982382E-2</v>
      </c>
      <c r="W464">
        <v>0.18632169587498418</v>
      </c>
      <c r="X464">
        <v>2.3331920389158774E-2</v>
      </c>
      <c r="Y464">
        <v>1.0692024102410738E-2</v>
      </c>
    </row>
    <row r="465" spans="1:25" x14ac:dyDescent="0.25">
      <c r="A465" s="1093"/>
      <c r="B465" s="1452">
        <v>215</v>
      </c>
      <c r="C465" s="1097">
        <v>0.99169789994662194</v>
      </c>
      <c r="D465" s="1097">
        <v>1.0012745986066414</v>
      </c>
      <c r="E465" s="1097">
        <v>1.0201472468871697</v>
      </c>
      <c r="F465" s="1097">
        <v>0.99080857579841131</v>
      </c>
      <c r="G465" s="1097">
        <v>1.0024367324568011</v>
      </c>
      <c r="H465" s="1097">
        <v>0.9636244568444593</v>
      </c>
      <c r="I465" s="1097">
        <v>0.95499652364434029</v>
      </c>
      <c r="K465">
        <v>5.0957980221487382</v>
      </c>
      <c r="L465">
        <v>0</v>
      </c>
      <c r="M465">
        <v>3.3350431004392687E-3</v>
      </c>
      <c r="N465">
        <v>0.30708765066564692</v>
      </c>
      <c r="O465">
        <v>0.14762231489035138</v>
      </c>
      <c r="P465">
        <v>2.0323499066346735E-2</v>
      </c>
      <c r="Q465">
        <v>1.336564802594571E-3</v>
      </c>
      <c r="R465">
        <v>3.3292470296570845E-3</v>
      </c>
      <c r="S465">
        <v>0.43527253821612782</v>
      </c>
      <c r="T465">
        <v>3.9561136302593889</v>
      </c>
      <c r="U465">
        <v>0</v>
      </c>
      <c r="V465">
        <v>1.1304767209823822E-2</v>
      </c>
      <c r="W465">
        <v>0.1804620186052561</v>
      </c>
      <c r="X465">
        <v>2.6872128222184041E-2</v>
      </c>
      <c r="Y465">
        <v>9.4087062817975377E-3</v>
      </c>
    </row>
    <row r="466" spans="1:25" x14ac:dyDescent="0.25">
      <c r="A466" s="1093"/>
      <c r="B466" s="1452">
        <v>216</v>
      </c>
      <c r="C466" s="1097">
        <v>1.0207900303331654</v>
      </c>
      <c r="D466" s="1097">
        <v>0.97531416592031561</v>
      </c>
      <c r="E466" s="1097">
        <v>0.99952893850800117</v>
      </c>
      <c r="F466" s="1097">
        <v>1.0235777214221451</v>
      </c>
      <c r="G466" s="1097">
        <v>0.95868343082551777</v>
      </c>
      <c r="H466" s="1097">
        <v>0.99408022720427225</v>
      </c>
      <c r="I466" s="1097">
        <v>1.0009507804375519</v>
      </c>
      <c r="K466">
        <v>5.2768682173715797</v>
      </c>
      <c r="L466">
        <v>0</v>
      </c>
      <c r="M466">
        <v>3.6443086064398482E-3</v>
      </c>
      <c r="N466">
        <v>0.31572599718363992</v>
      </c>
      <c r="O466">
        <v>0.1503046869763949</v>
      </c>
      <c r="P466">
        <v>2.075153832466442E-2</v>
      </c>
      <c r="Q466">
        <v>1.2893476104144984E-3</v>
      </c>
      <c r="R466">
        <v>3.6383653294399499E-3</v>
      </c>
      <c r="S466">
        <v>0.46354430244671879</v>
      </c>
      <c r="T466">
        <v>4.0895921473406256</v>
      </c>
      <c r="U466">
        <v>0</v>
      </c>
      <c r="V466">
        <v>1.1304767209823817E-2</v>
      </c>
      <c r="W466">
        <v>0.18812465397591269</v>
      </c>
      <c r="X466">
        <v>2.5954421383332461E-2</v>
      </c>
      <c r="Y466">
        <v>1.0282298197049679E-2</v>
      </c>
    </row>
    <row r="467" spans="1:25" x14ac:dyDescent="0.25">
      <c r="A467" s="1093"/>
      <c r="B467" s="1452">
        <v>217</v>
      </c>
      <c r="C467" s="1097">
        <v>0.99104873838499197</v>
      </c>
      <c r="D467" s="1097">
        <v>0.98160703916046133</v>
      </c>
      <c r="E467" s="1097">
        <v>1.0267920186496853</v>
      </c>
      <c r="F467" s="1097">
        <v>1.0297189514407583</v>
      </c>
      <c r="G467" s="1097">
        <v>0.99234073913464804</v>
      </c>
      <c r="H467" s="1097">
        <v>0.98948433152259585</v>
      </c>
      <c r="I467" s="1097">
        <v>0.97539606200135498</v>
      </c>
      <c r="K467">
        <v>5.3304745245286718</v>
      </c>
      <c r="L467">
        <v>0</v>
      </c>
      <c r="M467">
        <v>3.5394486169970838E-3</v>
      </c>
      <c r="N467">
        <v>0.33241429571618325</v>
      </c>
      <c r="O467">
        <v>0.15454953480632763</v>
      </c>
      <c r="P467">
        <v>2.1282253446513334E-2</v>
      </c>
      <c r="Q467">
        <v>1.3556801967531573E-3</v>
      </c>
      <c r="R467">
        <v>3.5336840688708622E-3</v>
      </c>
      <c r="S467">
        <v>0.46613694577356257</v>
      </c>
      <c r="T467">
        <v>4.1106259483636967</v>
      </c>
      <c r="U467">
        <v>0</v>
      </c>
      <c r="V467">
        <v>1.1304767209823817E-2</v>
      </c>
      <c r="W467">
        <v>0.19448380539855845</v>
      </c>
      <c r="X467">
        <v>2.8340597202731792E-2</v>
      </c>
      <c r="Y467">
        <v>9.9864609626452629E-3</v>
      </c>
    </row>
    <row r="468" spans="1:25" x14ac:dyDescent="0.25">
      <c r="A468" s="1093"/>
      <c r="B468" s="1452">
        <v>218</v>
      </c>
      <c r="C468" s="1097">
        <v>0.98460155684465833</v>
      </c>
      <c r="D468" s="1097">
        <v>1.0005877533074858</v>
      </c>
      <c r="E468" s="1097">
        <v>1.0119301976102255</v>
      </c>
      <c r="F468" s="1097">
        <v>1.0212638271666352</v>
      </c>
      <c r="G468" s="1097">
        <v>1.0072719941490407</v>
      </c>
      <c r="H468" s="1097">
        <v>1.0365961255994947</v>
      </c>
      <c r="I468" s="1097">
        <v>0.99740368537784019</v>
      </c>
      <c r="K468">
        <v>5.329325001264718</v>
      </c>
      <c r="L468">
        <v>0</v>
      </c>
      <c r="M468">
        <v>3.7905438512521182E-3</v>
      </c>
      <c r="N468">
        <v>0.34070258726122615</v>
      </c>
      <c r="O468">
        <v>0.15353586837547059</v>
      </c>
      <c r="P468">
        <v>2.0986686411780479E-2</v>
      </c>
      <c r="Q468">
        <v>1.3372132917542593E-3</v>
      </c>
      <c r="R468">
        <v>3.7846022228810259E-3</v>
      </c>
      <c r="S468">
        <v>0.48382207673572453</v>
      </c>
      <c r="T468">
        <v>4.0787614051800807</v>
      </c>
      <c r="U468">
        <v>0</v>
      </c>
      <c r="V468">
        <v>1.1304767209823824E-2</v>
      </c>
      <c r="W468">
        <v>0.20131900671820133</v>
      </c>
      <c r="X468">
        <v>2.6865756886449772E-2</v>
      </c>
      <c r="Y468">
        <v>1.0695574822572815E-2</v>
      </c>
    </row>
    <row r="469" spans="1:25" x14ac:dyDescent="0.25">
      <c r="A469" s="1093"/>
      <c r="B469" s="1452">
        <v>219</v>
      </c>
      <c r="C469" s="1097">
        <v>0.99681634060886126</v>
      </c>
      <c r="D469" s="1097">
        <v>1.0274742249980844</v>
      </c>
      <c r="E469" s="1097">
        <v>1.0279509634479056</v>
      </c>
      <c r="F469" s="1097">
        <v>1.0185548239099613</v>
      </c>
      <c r="G469" s="1097">
        <v>0.96228456715409194</v>
      </c>
      <c r="H469" s="1097">
        <v>0.996868885084923</v>
      </c>
      <c r="I469" s="1097">
        <v>0.99480371047632521</v>
      </c>
      <c r="K469">
        <v>5.2646802068393281</v>
      </c>
      <c r="L469">
        <v>0</v>
      </c>
      <c r="M469">
        <v>3.4349489533454683E-3</v>
      </c>
      <c r="N469">
        <v>0.32370561429658046</v>
      </c>
      <c r="O469">
        <v>0.14920556963848455</v>
      </c>
      <c r="P469">
        <v>2.1090288492817511E-2</v>
      </c>
      <c r="Q469">
        <v>1.324731135811306E-3</v>
      </c>
      <c r="R469">
        <v>3.4293352759613748E-3</v>
      </c>
      <c r="S469">
        <v>0.46563205166961336</v>
      </c>
      <c r="T469">
        <v>4.0659125898338981</v>
      </c>
      <c r="U469">
        <v>0</v>
      </c>
      <c r="V469">
        <v>1.1304767209823832E-2</v>
      </c>
      <c r="W469">
        <v>0.18924309306722095</v>
      </c>
      <c r="X469">
        <v>2.7575551865224937E-2</v>
      </c>
      <c r="Y469">
        <v>9.6915633072295858E-3</v>
      </c>
    </row>
    <row r="470" spans="1:25" x14ac:dyDescent="0.25">
      <c r="A470" s="1093"/>
      <c r="B470" s="1452">
        <v>220</v>
      </c>
      <c r="C470" s="1097">
        <v>0.98171039151415962</v>
      </c>
      <c r="D470" s="1097">
        <v>0.99271090769998427</v>
      </c>
      <c r="E470" s="1097">
        <v>0.9810095007925298</v>
      </c>
      <c r="F470" s="1097">
        <v>1.0308882293033645</v>
      </c>
      <c r="G470" s="1097">
        <v>0.98634167557165575</v>
      </c>
      <c r="H470" s="1097">
        <v>0.95751502106377595</v>
      </c>
      <c r="I470" s="1097">
        <v>0.99242875204795655</v>
      </c>
      <c r="K470">
        <v>5.3188796698734802</v>
      </c>
      <c r="L470">
        <v>0</v>
      </c>
      <c r="M470">
        <v>3.7950618612511873E-3</v>
      </c>
      <c r="N470">
        <v>0.31120330598719037</v>
      </c>
      <c r="O470">
        <v>0.15683774474255605</v>
      </c>
      <c r="P470">
        <v>2.0643865071274543E-2</v>
      </c>
      <c r="Q470">
        <v>1.3101343450027632E-3</v>
      </c>
      <c r="R470">
        <v>3.7886818747267853E-3</v>
      </c>
      <c r="S470">
        <v>0.47193646491251356</v>
      </c>
      <c r="T470">
        <v>4.1212084174400161</v>
      </c>
      <c r="U470">
        <v>0</v>
      </c>
      <c r="V470">
        <v>1.1304767209823799E-2</v>
      </c>
      <c r="W470">
        <v>0.18778100441053724</v>
      </c>
      <c r="X470">
        <v>2.5953241510936448E-2</v>
      </c>
      <c r="Y470">
        <v>1.0707104230155614E-2</v>
      </c>
    </row>
    <row r="471" spans="1:25" x14ac:dyDescent="0.25">
      <c r="A471" s="1093"/>
      <c r="B471" s="1452">
        <v>221</v>
      </c>
      <c r="C471" s="1097">
        <v>0.99661439271238328</v>
      </c>
      <c r="D471" s="1097">
        <v>1.0414515670858344</v>
      </c>
      <c r="E471" s="1097">
        <v>0.98392785557259177</v>
      </c>
      <c r="F471" s="1097">
        <v>0.96084517692044402</v>
      </c>
      <c r="G471" s="1097">
        <v>1.0266477853908822</v>
      </c>
      <c r="H471" s="1097">
        <v>0.99352606752447714</v>
      </c>
      <c r="I471" s="1097">
        <v>1.0286301527984543</v>
      </c>
      <c r="K471">
        <v>4.9713693532202354</v>
      </c>
      <c r="L471">
        <v>0</v>
      </c>
      <c r="M471">
        <v>3.5254394055049348E-3</v>
      </c>
      <c r="N471">
        <v>0.29159094293306642</v>
      </c>
      <c r="O471">
        <v>0.14118393528012507</v>
      </c>
      <c r="P471">
        <v>1.9361556692591621E-2</v>
      </c>
      <c r="Q471">
        <v>1.2692406755277167E-3</v>
      </c>
      <c r="R471">
        <v>3.5193118437952605E-3</v>
      </c>
      <c r="S471">
        <v>0.45675447643237549</v>
      </c>
      <c r="T471">
        <v>3.8408405470946714</v>
      </c>
      <c r="U471">
        <v>0</v>
      </c>
      <c r="V471">
        <v>1.1304767209823815E-2</v>
      </c>
      <c r="W471">
        <v>0.17559598942416441</v>
      </c>
      <c r="X471">
        <v>2.3528181082288463E-2</v>
      </c>
      <c r="Y471">
        <v>9.9458439573141353E-3</v>
      </c>
    </row>
    <row r="472" spans="1:25" x14ac:dyDescent="0.25">
      <c r="A472" s="1093"/>
      <c r="B472" s="1452">
        <v>222</v>
      </c>
      <c r="C472" s="1097">
        <v>1.0278623060585454</v>
      </c>
      <c r="D472" s="1097">
        <v>0.99800767651397337</v>
      </c>
      <c r="E472" s="1097">
        <v>1.0089802180436025</v>
      </c>
      <c r="F472" s="1097">
        <v>1.0114037139256484</v>
      </c>
      <c r="G472" s="1097">
        <v>0.99434984336192667</v>
      </c>
      <c r="H472" s="1097">
        <v>0.99162032732117822</v>
      </c>
      <c r="I472" s="1097">
        <v>1.0132621909513988</v>
      </c>
      <c r="K472">
        <v>5.2048762729209974</v>
      </c>
      <c r="L472">
        <v>0</v>
      </c>
      <c r="M472">
        <v>3.465032464956848E-3</v>
      </c>
      <c r="N472">
        <v>0.3087096884958811</v>
      </c>
      <c r="O472">
        <v>0.14588524598887381</v>
      </c>
      <c r="P472">
        <v>2.0647951748902039E-2</v>
      </c>
      <c r="Q472">
        <v>1.2790398115731531E-3</v>
      </c>
      <c r="R472">
        <v>3.4592994647945487E-3</v>
      </c>
      <c r="S472">
        <v>0.45882658325255576</v>
      </c>
      <c r="T472">
        <v>4.0397544757474293</v>
      </c>
      <c r="U472">
        <v>0</v>
      </c>
      <c r="V472">
        <v>1.1304767209823818E-2</v>
      </c>
      <c r="W472">
        <v>0.18277609609095577</v>
      </c>
      <c r="X472">
        <v>2.5921913182635009E-2</v>
      </c>
      <c r="Y472">
        <v>9.7762443925297291E-3</v>
      </c>
    </row>
    <row r="473" spans="1:25" x14ac:dyDescent="0.25">
      <c r="A473" s="1093"/>
      <c r="B473" s="1452">
        <v>223</v>
      </c>
      <c r="C473" s="1097">
        <v>1.0015257370338655</v>
      </c>
      <c r="D473" s="1097">
        <v>1.0019171698996572</v>
      </c>
      <c r="E473" s="1097">
        <v>1.0070197519512902</v>
      </c>
      <c r="F473" s="1097">
        <v>1.0175876107220478</v>
      </c>
      <c r="G473" s="1097">
        <v>1.0353496053905444</v>
      </c>
      <c r="H473" s="1097">
        <v>1.0090220783184423</v>
      </c>
      <c r="I473" s="1097">
        <v>1.0061312485606655</v>
      </c>
      <c r="K473">
        <v>5.2731275912429068</v>
      </c>
      <c r="L473">
        <v>0</v>
      </c>
      <c r="M473">
        <v>3.6500127653513823E-3</v>
      </c>
      <c r="N473">
        <v>0.3233201771677422</v>
      </c>
      <c r="O473">
        <v>0.1504569514979632</v>
      </c>
      <c r="P473">
        <v>2.0796650516861595E-2</v>
      </c>
      <c r="Q473">
        <v>1.3084337032712393E-3</v>
      </c>
      <c r="R473">
        <v>3.6441138679239242E-3</v>
      </c>
      <c r="S473">
        <v>0.47294945476353834</v>
      </c>
      <c r="T473">
        <v>4.0647037592336996</v>
      </c>
      <c r="U473">
        <v>0</v>
      </c>
      <c r="V473">
        <v>1.130476720982381E-2</v>
      </c>
      <c r="W473">
        <v>0.19167889017698847</v>
      </c>
      <c r="X473">
        <v>2.6315861864761099E-2</v>
      </c>
      <c r="Y473">
        <v>1.029854400568554E-2</v>
      </c>
    </row>
    <row r="474" spans="1:25" x14ac:dyDescent="0.25">
      <c r="A474" s="1093"/>
      <c r="B474" s="1452">
        <v>224</v>
      </c>
      <c r="C474" s="1097">
        <v>1.032100374189056</v>
      </c>
      <c r="D474" s="1097">
        <v>1.0091840081350156</v>
      </c>
      <c r="E474" s="1097">
        <v>0.98063923859648672</v>
      </c>
      <c r="F474" s="1097">
        <v>1.0292785452244819</v>
      </c>
      <c r="G474" s="1097">
        <v>0.98136554227524364</v>
      </c>
      <c r="H474" s="1097">
        <v>0.97564385632816042</v>
      </c>
      <c r="I474" s="1097">
        <v>0.97055982368042881</v>
      </c>
      <c r="K474">
        <v>5.2506920299421385</v>
      </c>
      <c r="L474">
        <v>0</v>
      </c>
      <c r="M474">
        <v>3.6511280041145963E-3</v>
      </c>
      <c r="N474">
        <v>0.2990802529914961</v>
      </c>
      <c r="O474">
        <v>0.14798046736112697</v>
      </c>
      <c r="P474">
        <v>2.0467749658754308E-2</v>
      </c>
      <c r="Q474">
        <v>1.2375955802188653E-3</v>
      </c>
      <c r="R474">
        <v>3.6450946361926296E-3</v>
      </c>
      <c r="S474">
        <v>0.44033410076237645</v>
      </c>
      <c r="T474">
        <v>4.1148216207833039</v>
      </c>
      <c r="U474">
        <v>0</v>
      </c>
      <c r="V474">
        <v>1.1304767209823808E-2</v>
      </c>
      <c r="W474">
        <v>0.18051167840404916</v>
      </c>
      <c r="X474">
        <v>2.4658514827220326E-2</v>
      </c>
      <c r="Y474">
        <v>1.0301315731691017E-2</v>
      </c>
    </row>
    <row r="475" spans="1:25" x14ac:dyDescent="0.25">
      <c r="A475" s="1093"/>
      <c r="B475" s="1452">
        <v>225</v>
      </c>
      <c r="C475" s="1097">
        <v>1.0108798132243177</v>
      </c>
      <c r="D475" s="1097">
        <v>1.0312574088530775</v>
      </c>
      <c r="E475" s="1097">
        <v>1.0121579429245997</v>
      </c>
      <c r="F475" s="1097">
        <v>1.0039567367554132</v>
      </c>
      <c r="G475" s="1097">
        <v>0.98799617139711016</v>
      </c>
      <c r="H475" s="1097">
        <v>1.0296974322389587</v>
      </c>
      <c r="I475" s="1097">
        <v>1.0260326250391574</v>
      </c>
      <c r="K475">
        <v>5.2069773720550669</v>
      </c>
      <c r="L475">
        <v>0</v>
      </c>
      <c r="M475">
        <v>3.5603963069457136E-3</v>
      </c>
      <c r="N475">
        <v>0.32022015843313473</v>
      </c>
      <c r="O475">
        <v>0.14523942956106028</v>
      </c>
      <c r="P475">
        <v>2.0626465132773469E-2</v>
      </c>
      <c r="Q475">
        <v>1.2870666606820192E-3</v>
      </c>
      <c r="R475">
        <v>3.5546813489917579E-3</v>
      </c>
      <c r="S475">
        <v>0.47371024569146641</v>
      </c>
      <c r="T475">
        <v>4.0096111603726996</v>
      </c>
      <c r="U475">
        <v>0</v>
      </c>
      <c r="V475">
        <v>1.1304767209823815E-2</v>
      </c>
      <c r="W475">
        <v>0.18918718230279549</v>
      </c>
      <c r="X475">
        <v>2.575081076924739E-2</v>
      </c>
      <c r="Y475">
        <v>1.0045800879333417E-2</v>
      </c>
    </row>
    <row r="476" spans="1:25" x14ac:dyDescent="0.25">
      <c r="A476" s="1093"/>
      <c r="B476" s="1452">
        <v>226</v>
      </c>
      <c r="C476" s="1097">
        <v>1.0179323601372194</v>
      </c>
      <c r="D476" s="1097">
        <v>1.0124863162232132</v>
      </c>
      <c r="E476" s="1097">
        <v>1.0015925235343237</v>
      </c>
      <c r="F476" s="1097">
        <v>0.99764920000343893</v>
      </c>
      <c r="G476" s="1097">
        <v>1.0022127081607588</v>
      </c>
      <c r="H476" s="1097">
        <v>0.98780542065721844</v>
      </c>
      <c r="I476" s="1097">
        <v>1.0250103213447346</v>
      </c>
      <c r="K476">
        <v>5.1423473515712477</v>
      </c>
      <c r="L476">
        <v>0</v>
      </c>
      <c r="M476">
        <v>3.4719430092231196E-3</v>
      </c>
      <c r="N476">
        <v>0.30262169647143505</v>
      </c>
      <c r="O476">
        <v>0.14467086456118583</v>
      </c>
      <c r="P476">
        <v>2.0300447905706408E-2</v>
      </c>
      <c r="Q476">
        <v>1.2760199574140783E-3</v>
      </c>
      <c r="R476">
        <v>3.4660970186392507E-3</v>
      </c>
      <c r="S476">
        <v>0.46131262051376526</v>
      </c>
      <c r="T476">
        <v>3.9857391812473919</v>
      </c>
      <c r="U476">
        <v>0</v>
      </c>
      <c r="V476">
        <v>1.130476720982381E-2</v>
      </c>
      <c r="W476">
        <v>0.18006526375647952</v>
      </c>
      <c r="X476">
        <v>2.5266881139965183E-2</v>
      </c>
      <c r="Y476">
        <v>9.7954547986635436E-3</v>
      </c>
    </row>
    <row r="477" spans="1:25" x14ac:dyDescent="0.25">
      <c r="A477" s="1093"/>
      <c r="B477" s="1452">
        <v>227</v>
      </c>
      <c r="C477" s="1097">
        <v>0.99818338446704624</v>
      </c>
      <c r="D477" s="1097">
        <v>0.99816134230034659</v>
      </c>
      <c r="E477" s="1097">
        <v>1.0124085250710282</v>
      </c>
      <c r="F477" s="1097">
        <v>1.019813966736316</v>
      </c>
      <c r="G477" s="1097">
        <v>0.99482791103936608</v>
      </c>
      <c r="H477" s="1097">
        <v>0.97939158066052179</v>
      </c>
      <c r="I477" s="1097">
        <v>1.0005947778477435</v>
      </c>
      <c r="K477">
        <v>5.267208618732127</v>
      </c>
      <c r="L477">
        <v>0</v>
      </c>
      <c r="M477">
        <v>3.5274915555773469E-3</v>
      </c>
      <c r="N477">
        <v>0.31747826318478378</v>
      </c>
      <c r="O477">
        <v>0.15136509894866987</v>
      </c>
      <c r="P477">
        <v>2.0892102383218508E-2</v>
      </c>
      <c r="Q477">
        <v>1.3208372397486973E-3</v>
      </c>
      <c r="R477">
        <v>3.5216309951517115E-3</v>
      </c>
      <c r="S477">
        <v>0.46745815895070958</v>
      </c>
      <c r="T477">
        <v>4.0729100046294988</v>
      </c>
      <c r="U477">
        <v>0</v>
      </c>
      <c r="V477">
        <v>1.1304767209823813E-2</v>
      </c>
      <c r="W477">
        <v>0.18753576019181895</v>
      </c>
      <c r="X477">
        <v>2.6997088498172353E-2</v>
      </c>
      <c r="Y477">
        <v>9.9523980561062996E-3</v>
      </c>
    </row>
    <row r="478" spans="1:25" x14ac:dyDescent="0.25">
      <c r="A478" s="1093"/>
      <c r="B478" s="1452">
        <v>228</v>
      </c>
      <c r="C478" s="1097">
        <v>1.0100056576754024</v>
      </c>
      <c r="D478" s="1097">
        <v>0.98621180097801076</v>
      </c>
      <c r="E478" s="1097">
        <v>0.98367167002755784</v>
      </c>
      <c r="F478" s="1097">
        <v>0.9908405024610728</v>
      </c>
      <c r="G478" s="1097">
        <v>1.0011626107062748</v>
      </c>
      <c r="H478" s="1097">
        <v>0.98920399313688179</v>
      </c>
      <c r="I478" s="1097">
        <v>0.9937082548362145</v>
      </c>
      <c r="K478">
        <v>5.109148293312205</v>
      </c>
      <c r="L478">
        <v>0</v>
      </c>
      <c r="M478">
        <v>3.6521793387732024E-3</v>
      </c>
      <c r="N478">
        <v>0.30185784271959815</v>
      </c>
      <c r="O478">
        <v>0.14683423308966564</v>
      </c>
      <c r="P478">
        <v>1.9869536930414974E-2</v>
      </c>
      <c r="Q478">
        <v>1.279730556957922E-3</v>
      </c>
      <c r="R478">
        <v>3.6459964375642451E-3</v>
      </c>
      <c r="S478">
        <v>0.4507344241695031</v>
      </c>
      <c r="T478">
        <v>3.9607746638854056</v>
      </c>
      <c r="U478">
        <v>0</v>
      </c>
      <c r="V478">
        <v>1.1304767209823829E-2</v>
      </c>
      <c r="W478">
        <v>0.18181054000471816</v>
      </c>
      <c r="X478">
        <v>2.4384873356107086E-2</v>
      </c>
      <c r="Y478">
        <v>1.0303864291216477E-2</v>
      </c>
    </row>
    <row r="479" spans="1:25" x14ac:dyDescent="0.25">
      <c r="A479" s="1093"/>
      <c r="B479" s="1452">
        <v>229</v>
      </c>
      <c r="C479" s="1097">
        <v>0.99546968640683731</v>
      </c>
      <c r="D479" s="1097">
        <v>1.000013798545007</v>
      </c>
      <c r="E479" s="1097">
        <v>1.0247243488890672</v>
      </c>
      <c r="F479" s="1097">
        <v>1.027309470036476</v>
      </c>
      <c r="G479" s="1097">
        <v>1.0332499714353633</v>
      </c>
      <c r="H479" s="1097">
        <v>1.0174296087645593</v>
      </c>
      <c r="I479" s="1097">
        <v>1.00351465483227</v>
      </c>
      <c r="K479">
        <v>5.3392147765733675</v>
      </c>
      <c r="L479">
        <v>0</v>
      </c>
      <c r="M479">
        <v>3.6037397752364648E-3</v>
      </c>
      <c r="N479">
        <v>0.33640290850544613</v>
      </c>
      <c r="O479">
        <v>0.15242606440086551</v>
      </c>
      <c r="P479">
        <v>2.1272086225928993E-2</v>
      </c>
      <c r="Q479">
        <v>1.3373336673339529E-3</v>
      </c>
      <c r="R479">
        <v>3.5980183608633888E-3</v>
      </c>
      <c r="S479">
        <v>0.48021079076512646</v>
      </c>
      <c r="T479">
        <v>4.1012707745391879</v>
      </c>
      <c r="U479">
        <v>0</v>
      </c>
      <c r="V479">
        <v>1.1304767209823804E-2</v>
      </c>
      <c r="W479">
        <v>0.19708788610736958</v>
      </c>
      <c r="X479">
        <v>2.7739611983153292E-2</v>
      </c>
      <c r="Y479">
        <v>1.0168274583506986E-2</v>
      </c>
    </row>
    <row r="480" spans="1:25" x14ac:dyDescent="0.25">
      <c r="A480" s="1093"/>
      <c r="B480" s="1452">
        <v>230</v>
      </c>
      <c r="C480" s="1097">
        <v>0.97688277913822885</v>
      </c>
      <c r="D480" s="1097">
        <v>1.034879416656413</v>
      </c>
      <c r="E480" s="1097">
        <v>1.0002561070260947</v>
      </c>
      <c r="F480" s="1097">
        <v>1.0095369708985622</v>
      </c>
      <c r="G480" s="1097">
        <v>0.95698181757076173</v>
      </c>
      <c r="H480" s="1097">
        <v>0.98290546705716508</v>
      </c>
      <c r="I480" s="1097">
        <v>1.0077448538392926</v>
      </c>
      <c r="K480">
        <v>5.2301834987037461</v>
      </c>
      <c r="L480">
        <v>0</v>
      </c>
      <c r="M480">
        <v>3.6211580734545798E-3</v>
      </c>
      <c r="N480">
        <v>0.31438395905025845</v>
      </c>
      <c r="O480">
        <v>0.15125528888864129</v>
      </c>
      <c r="P480">
        <v>2.0556509992902441E-2</v>
      </c>
      <c r="Q480">
        <v>1.3165476203374157E-3</v>
      </c>
      <c r="R480">
        <v>3.6151024787860727E-3</v>
      </c>
      <c r="S480">
        <v>0.47438078004111489</v>
      </c>
      <c r="T480">
        <v>4.0334017001629752</v>
      </c>
      <c r="U480">
        <v>0</v>
      </c>
      <c r="V480">
        <v>1.130476720982383E-2</v>
      </c>
      <c r="W480">
        <v>0.18723295390214933</v>
      </c>
      <c r="X480">
        <v>2.6140491825139493E-2</v>
      </c>
      <c r="Y480">
        <v>1.0216555605067193E-2</v>
      </c>
    </row>
    <row r="481" spans="1:25" x14ac:dyDescent="0.25">
      <c r="A481" s="1093"/>
      <c r="B481" s="1452">
        <v>231</v>
      </c>
      <c r="C481" s="1097">
        <v>0.99807681140526994</v>
      </c>
      <c r="D481" s="1097">
        <v>1.0070672417706767</v>
      </c>
      <c r="E481" s="1097">
        <v>1.0383090397550159</v>
      </c>
      <c r="F481" s="1097">
        <v>0.9672466851571383</v>
      </c>
      <c r="G481" s="1097">
        <v>0.97648774050533005</v>
      </c>
      <c r="H481" s="1097">
        <v>1.0087629880009648</v>
      </c>
      <c r="I481" s="1097">
        <v>1.0149282474141004</v>
      </c>
      <c r="K481">
        <v>5.0288524211781915</v>
      </c>
      <c r="L481">
        <v>0</v>
      </c>
      <c r="M481">
        <v>3.2514491623251746E-3</v>
      </c>
      <c r="N481">
        <v>0.31591788903575885</v>
      </c>
      <c r="O481">
        <v>0.14237204209702581</v>
      </c>
      <c r="P481">
        <v>2.0250964727247293E-2</v>
      </c>
      <c r="Q481">
        <v>1.3453617723928459E-3</v>
      </c>
      <c r="R481">
        <v>3.2459199577072593E-3</v>
      </c>
      <c r="S481">
        <v>0.45829900424909864</v>
      </c>
      <c r="T481">
        <v>3.8598602815178267</v>
      </c>
      <c r="U481">
        <v>0</v>
      </c>
      <c r="V481">
        <v>1.130476720982382E-2</v>
      </c>
      <c r="W481">
        <v>0.1834302385732044</v>
      </c>
      <c r="X481">
        <v>2.6904183585682726E-2</v>
      </c>
      <c r="Y481">
        <v>9.1732176147463398E-3</v>
      </c>
    </row>
    <row r="482" spans="1:25" x14ac:dyDescent="0.25">
      <c r="A482" s="1093"/>
      <c r="B482" s="1452">
        <v>232</v>
      </c>
      <c r="C482" s="1097">
        <v>0.98132378800809283</v>
      </c>
      <c r="D482" s="1097">
        <v>0.97734381369092849</v>
      </c>
      <c r="E482" s="1097">
        <v>0.97585779810076734</v>
      </c>
      <c r="F482" s="1097">
        <v>1.0366096091406483</v>
      </c>
      <c r="G482" s="1097">
        <v>1.0143668366017771</v>
      </c>
      <c r="H482" s="1097">
        <v>1.0112620825151704</v>
      </c>
      <c r="I482" s="1097">
        <v>1.0159665813722831</v>
      </c>
      <c r="K482">
        <v>5.4038363389945632</v>
      </c>
      <c r="L482">
        <v>0</v>
      </c>
      <c r="M482">
        <v>4.1012267602145202E-3</v>
      </c>
      <c r="N482">
        <v>0.33123940634327315</v>
      </c>
      <c r="O482">
        <v>0.1589107299823693</v>
      </c>
      <c r="P482">
        <v>2.0784456062863905E-2</v>
      </c>
      <c r="Q482">
        <v>1.3129646262928321E-3</v>
      </c>
      <c r="R482">
        <v>4.0947344873351749E-3</v>
      </c>
      <c r="S482">
        <v>0.49792969951237764</v>
      </c>
      <c r="T482">
        <v>4.1447581932547175</v>
      </c>
      <c r="U482">
        <v>0</v>
      </c>
      <c r="V482">
        <v>1.130476720982381E-2</v>
      </c>
      <c r="W482">
        <v>0.2005783141054267</v>
      </c>
      <c r="X482">
        <v>2.5452267890900823E-2</v>
      </c>
      <c r="Y482">
        <v>1.157203227939854E-2</v>
      </c>
    </row>
    <row r="483" spans="1:25" x14ac:dyDescent="0.25">
      <c r="A483" s="1093"/>
      <c r="B483" s="1452">
        <v>233</v>
      </c>
      <c r="C483" s="1097">
        <v>0.98701144740682378</v>
      </c>
      <c r="D483" s="1097">
        <v>0.98227894122097725</v>
      </c>
      <c r="E483" s="1097">
        <v>1.0312874794046074</v>
      </c>
      <c r="F483" s="1097">
        <v>1.0011928991623498</v>
      </c>
      <c r="G483" s="1097">
        <v>1.0152000702996702</v>
      </c>
      <c r="H483" s="1097">
        <v>0.99719464276933978</v>
      </c>
      <c r="I483" s="1097">
        <v>0.98127314811938149</v>
      </c>
      <c r="K483">
        <v>5.1989454992202901</v>
      </c>
      <c r="L483">
        <v>0</v>
      </c>
      <c r="M483">
        <v>3.448656398508906E-3</v>
      </c>
      <c r="N483">
        <v>0.32821001073419698</v>
      </c>
      <c r="O483">
        <v>0.15071357860307077</v>
      </c>
      <c r="P483">
        <v>2.0796834054091374E-2</v>
      </c>
      <c r="Q483">
        <v>1.3660100387783141E-3</v>
      </c>
      <c r="R483">
        <v>3.4429246177140015E-3</v>
      </c>
      <c r="S483">
        <v>0.46129900477777686</v>
      </c>
      <c r="T483">
        <v>3.9961929444712991</v>
      </c>
      <c r="U483">
        <v>0</v>
      </c>
      <c r="V483">
        <v>1.1304767209823813E-2</v>
      </c>
      <c r="W483">
        <v>0.19145278166556071</v>
      </c>
      <c r="X483">
        <v>2.7885331621965815E-2</v>
      </c>
      <c r="Y483">
        <v>9.7299678245196721E-3</v>
      </c>
    </row>
    <row r="484" spans="1:25" x14ac:dyDescent="0.25">
      <c r="A484" s="1093"/>
      <c r="B484" s="1452">
        <v>234</v>
      </c>
      <c r="C484" s="1097">
        <v>1.0211210889500615</v>
      </c>
      <c r="D484" s="1097">
        <v>1.0183299959908914</v>
      </c>
      <c r="E484" s="1097">
        <v>1.0006551204269782</v>
      </c>
      <c r="F484" s="1097">
        <v>1.0046927754548731</v>
      </c>
      <c r="G484" s="1097">
        <v>1.0388248321715112</v>
      </c>
      <c r="H484" s="1097">
        <v>0.99683430467439071</v>
      </c>
      <c r="I484" s="1097">
        <v>0.95330737239995733</v>
      </c>
      <c r="K484">
        <v>5.1458050130801354</v>
      </c>
      <c r="L484">
        <v>0</v>
      </c>
      <c r="M484">
        <v>3.5162029410312108E-3</v>
      </c>
      <c r="N484">
        <v>0.30563773523390597</v>
      </c>
      <c r="O484">
        <v>0.14492883641672655</v>
      </c>
      <c r="P484">
        <v>2.0278388369225676E-2</v>
      </c>
      <c r="Q484">
        <v>1.268091924348388E-3</v>
      </c>
      <c r="R484">
        <v>3.5103771147571958E-3</v>
      </c>
      <c r="S484">
        <v>0.43133021616505324</v>
      </c>
      <c r="T484">
        <v>4.0139973709918575</v>
      </c>
      <c r="U484">
        <v>0</v>
      </c>
      <c r="V484">
        <v>1.1304767209823811E-2</v>
      </c>
      <c r="W484">
        <v>0.18197502915955735</v>
      </c>
      <c r="X484">
        <v>2.5169809704995872E-2</v>
      </c>
      <c r="Y484">
        <v>9.9205937309182705E-3</v>
      </c>
    </row>
    <row r="485" spans="1:25" x14ac:dyDescent="0.25">
      <c r="A485" s="1093"/>
      <c r="B485" s="1452">
        <v>235</v>
      </c>
      <c r="C485" s="1097">
        <v>1.0147542701489443</v>
      </c>
      <c r="D485" s="1097">
        <v>0.97070422545062962</v>
      </c>
      <c r="E485" s="1097">
        <v>1.0060990873018858</v>
      </c>
      <c r="F485" s="1097">
        <v>0.97250320931845202</v>
      </c>
      <c r="G485" s="1097">
        <v>1.0087968957844025</v>
      </c>
      <c r="H485" s="1097">
        <v>0.9938306459128482</v>
      </c>
      <c r="I485" s="1097">
        <v>0.97846833037488223</v>
      </c>
      <c r="K485">
        <v>5.0171804302591783</v>
      </c>
      <c r="L485">
        <v>0</v>
      </c>
      <c r="M485">
        <v>3.4411233000888452E-3</v>
      </c>
      <c r="N485">
        <v>0.3039560159671198</v>
      </c>
      <c r="O485">
        <v>0.14374931328053397</v>
      </c>
      <c r="P485">
        <v>1.9796569333390409E-2</v>
      </c>
      <c r="Q485">
        <v>1.3068016077652539E-3</v>
      </c>
      <c r="R485">
        <v>3.4352156751280508E-3</v>
      </c>
      <c r="S485">
        <v>0.43713215914561332</v>
      </c>
      <c r="T485">
        <v>3.8847283975215818</v>
      </c>
      <c r="U485">
        <v>0</v>
      </c>
      <c r="V485">
        <v>1.1304767209823824E-2</v>
      </c>
      <c r="W485">
        <v>0.18031060213101199</v>
      </c>
      <c r="X485">
        <v>2.5193529923072725E-2</v>
      </c>
      <c r="Y485">
        <v>9.7081817642218505E-3</v>
      </c>
    </row>
    <row r="486" spans="1:25" x14ac:dyDescent="0.25">
      <c r="A486" s="1093"/>
      <c r="B486" s="1452">
        <v>236</v>
      </c>
      <c r="C486" s="1097">
        <v>0.96701282997297811</v>
      </c>
      <c r="D486" s="1097">
        <v>0.97295617422046399</v>
      </c>
      <c r="E486" s="1097">
        <v>1.0012397859820998</v>
      </c>
      <c r="F486" s="1097">
        <v>0.96422696149213383</v>
      </c>
      <c r="G486" s="1097">
        <v>0.97830435464483723</v>
      </c>
      <c r="H486" s="1097">
        <v>1.0185986591017728</v>
      </c>
      <c r="I486" s="1097">
        <v>0.97705321990224525</v>
      </c>
      <c r="K486">
        <v>5.0436415976050784</v>
      </c>
      <c r="L486">
        <v>0</v>
      </c>
      <c r="M486">
        <v>3.7038931792580136E-3</v>
      </c>
      <c r="N486">
        <v>0.32249993870979071</v>
      </c>
      <c r="O486">
        <v>0.14956028058665646</v>
      </c>
      <c r="P486">
        <v>1.9677735093830157E-2</v>
      </c>
      <c r="Q486">
        <v>1.3643673978298342E-3</v>
      </c>
      <c r="R486">
        <v>3.6976358957553916E-3</v>
      </c>
      <c r="S486">
        <v>0.45916802596071221</v>
      </c>
      <c r="T486">
        <v>3.8522556367689305</v>
      </c>
      <c r="U486">
        <v>0</v>
      </c>
      <c r="V486">
        <v>1.1304767209823836E-2</v>
      </c>
      <c r="W486">
        <v>0.19193887963770512</v>
      </c>
      <c r="X486">
        <v>2.5428422180743936E-2</v>
      </c>
      <c r="Y486">
        <v>1.0449801342550788E-2</v>
      </c>
    </row>
    <row r="487" spans="1:25" x14ac:dyDescent="0.25">
      <c r="A487" s="1093"/>
      <c r="B487" s="1452">
        <v>237</v>
      </c>
      <c r="C487" s="1097">
        <v>1.0229522560491371</v>
      </c>
      <c r="D487" s="1097">
        <v>0.99705764577293088</v>
      </c>
      <c r="E487" s="1097">
        <v>1.0098204207442154</v>
      </c>
      <c r="F487" s="1097">
        <v>0.98810364072629897</v>
      </c>
      <c r="G487" s="1097">
        <v>0.99885867477832868</v>
      </c>
      <c r="H487" s="1097">
        <v>0.97498532783620839</v>
      </c>
      <c r="I487" s="1097">
        <v>0.96365911475450472</v>
      </c>
      <c r="K487">
        <v>5.0594283940772309</v>
      </c>
      <c r="L487">
        <v>0</v>
      </c>
      <c r="M487">
        <v>3.3398748188259073E-3</v>
      </c>
      <c r="N487">
        <v>0.29827993958274301</v>
      </c>
      <c r="O487">
        <v>0.14324048099007605</v>
      </c>
      <c r="P487">
        <v>2.0088874021055754E-2</v>
      </c>
      <c r="Q487">
        <v>1.2865893342633506E-3</v>
      </c>
      <c r="R487">
        <v>3.3341223083392297E-3</v>
      </c>
      <c r="S487">
        <v>0.42716424451279628</v>
      </c>
      <c r="T487">
        <v>3.9465854172274959</v>
      </c>
      <c r="U487">
        <v>0</v>
      </c>
      <c r="V487">
        <v>1.130476720982381E-2</v>
      </c>
      <c r="W487">
        <v>0.17650138869681728</v>
      </c>
      <c r="X487">
        <v>2.5559960821084884E-2</v>
      </c>
      <c r="Y487">
        <v>9.4224841915632011E-3</v>
      </c>
    </row>
    <row r="488" spans="1:25" x14ac:dyDescent="0.25">
      <c r="A488" s="1093"/>
      <c r="B488" s="1452">
        <v>238</v>
      </c>
      <c r="C488" s="1097">
        <v>1.0342396517065486</v>
      </c>
      <c r="D488" s="1097">
        <v>0.97331792581834109</v>
      </c>
      <c r="E488" s="1097">
        <v>1.0245625246535386</v>
      </c>
      <c r="F488" s="1097">
        <v>0.99205713220743896</v>
      </c>
      <c r="G488" s="1097">
        <v>0.96848827730957221</v>
      </c>
      <c r="H488" s="1097">
        <v>0.99999164184610856</v>
      </c>
      <c r="I488" s="1097">
        <v>1.017415773925207</v>
      </c>
      <c r="K488">
        <v>5.1195558156115686</v>
      </c>
      <c r="L488">
        <v>0</v>
      </c>
      <c r="M488">
        <v>3.329366944961362E-3</v>
      </c>
      <c r="N488">
        <v>0.31061552313163471</v>
      </c>
      <c r="O488">
        <v>0.14322381578038734</v>
      </c>
      <c r="P488">
        <v>2.0497964274358339E-2</v>
      </c>
      <c r="Q488">
        <v>1.3010315999895852E-3</v>
      </c>
      <c r="R488">
        <v>3.3237981743947428E-3</v>
      </c>
      <c r="S488">
        <v>0.4543136994623479</v>
      </c>
      <c r="T488">
        <v>3.9605547377084696</v>
      </c>
      <c r="U488">
        <v>0</v>
      </c>
      <c r="V488">
        <v>1.1304767209823822E-2</v>
      </c>
      <c r="W488">
        <v>0.18199944356256711</v>
      </c>
      <c r="X488">
        <v>2.6357094251731199E-2</v>
      </c>
      <c r="Y488">
        <v>9.3933074008257442E-3</v>
      </c>
    </row>
    <row r="489" spans="1:25" x14ac:dyDescent="0.25">
      <c r="A489" s="1093"/>
      <c r="B489" s="1452">
        <v>239</v>
      </c>
      <c r="C489" s="1097">
        <v>0.9978249266332534</v>
      </c>
      <c r="D489" s="1097">
        <v>0.9768179124443479</v>
      </c>
      <c r="E489" s="1097">
        <v>1.0221241324253878</v>
      </c>
      <c r="F489" s="1097">
        <v>0.97166838281594581</v>
      </c>
      <c r="G489" s="1097">
        <v>0.99959906905551854</v>
      </c>
      <c r="H489" s="1097">
        <v>0.96255616623518392</v>
      </c>
      <c r="I489" s="1097">
        <v>0.9995667704346527</v>
      </c>
      <c r="K489">
        <v>5.0206384574720673</v>
      </c>
      <c r="L489">
        <v>0</v>
      </c>
      <c r="M489">
        <v>3.265647886545819E-3</v>
      </c>
      <c r="N489">
        <v>0.30245057154344973</v>
      </c>
      <c r="O489">
        <v>0.14525780441087099</v>
      </c>
      <c r="P489">
        <v>2.0054969525466062E-2</v>
      </c>
      <c r="Q489">
        <v>1.3438069845896619E-3</v>
      </c>
      <c r="R489">
        <v>3.2598543909977532E-3</v>
      </c>
      <c r="S489">
        <v>0.44747717486377098</v>
      </c>
      <c r="T489">
        <v>3.8794516474423886</v>
      </c>
      <c r="U489">
        <v>0</v>
      </c>
      <c r="V489">
        <v>1.1304767209823827E-2</v>
      </c>
      <c r="W489">
        <v>0.17750305696606697</v>
      </c>
      <c r="X489">
        <v>2.6587854634115046E-2</v>
      </c>
      <c r="Y489">
        <v>9.2125973870689267E-3</v>
      </c>
    </row>
    <row r="490" spans="1:25" x14ac:dyDescent="0.25">
      <c r="A490" s="1093"/>
      <c r="B490" s="1452">
        <v>240</v>
      </c>
      <c r="C490" s="1097">
        <v>1.0281436122587464</v>
      </c>
      <c r="D490" s="1097">
        <v>0.98391843659295963</v>
      </c>
      <c r="E490" s="1097">
        <v>1.0023259870242924</v>
      </c>
      <c r="F490" s="1097">
        <v>0.97334466706566425</v>
      </c>
      <c r="G490" s="1097">
        <v>1.0009929885272093</v>
      </c>
      <c r="H490" s="1097">
        <v>0.99372616160501615</v>
      </c>
      <c r="I490" s="1097">
        <v>0.9997525049973186</v>
      </c>
      <c r="K490">
        <v>5.0111008694397601</v>
      </c>
      <c r="L490">
        <v>0</v>
      </c>
      <c r="M490">
        <v>3.4075393347865542E-3</v>
      </c>
      <c r="N490">
        <v>0.29764476460909906</v>
      </c>
      <c r="O490">
        <v>0.14133419892954241</v>
      </c>
      <c r="P490">
        <v>1.9771290069337359E-2</v>
      </c>
      <c r="Q490">
        <v>1.2786959499410863E-3</v>
      </c>
      <c r="R490">
        <v>3.4016937999716873E-3</v>
      </c>
      <c r="S490">
        <v>0.43992225529094481</v>
      </c>
      <c r="T490">
        <v>3.8885498385883785</v>
      </c>
      <c r="U490">
        <v>0</v>
      </c>
      <c r="V490">
        <v>1.1304767209823811E-2</v>
      </c>
      <c r="W490">
        <v>0.17701624399467192</v>
      </c>
      <c r="X490">
        <v>2.4671213947080103E-2</v>
      </c>
      <c r="Y490">
        <v>9.6134463857558677E-3</v>
      </c>
    </row>
    <row r="491" spans="1:25" x14ac:dyDescent="0.25">
      <c r="A491" s="1093"/>
      <c r="B491" s="1452">
        <v>241</v>
      </c>
      <c r="C491" s="1097">
        <v>1.0075006093152139</v>
      </c>
      <c r="D491" s="1097">
        <v>1.0211362972931937</v>
      </c>
      <c r="E491" s="1097">
        <v>1.0131476212508674</v>
      </c>
      <c r="F491" s="1097">
        <v>0.97890352442346551</v>
      </c>
      <c r="G491" s="1097">
        <v>1.0300530429221659</v>
      </c>
      <c r="H491" s="1097">
        <v>1.0009345068006634</v>
      </c>
      <c r="I491" s="1097">
        <v>0.96936297013461659</v>
      </c>
      <c r="K491">
        <v>5.0417392895993061</v>
      </c>
      <c r="L491">
        <v>0</v>
      </c>
      <c r="M491">
        <v>3.3923314581797938E-3</v>
      </c>
      <c r="N491">
        <v>0.30597258230056479</v>
      </c>
      <c r="O491">
        <v>0.14262516228494426</v>
      </c>
      <c r="P491">
        <v>2.0005584918429874E-2</v>
      </c>
      <c r="Q491">
        <v>1.2975795917563396E-3</v>
      </c>
      <c r="R491">
        <v>3.3865866744851444E-3</v>
      </c>
      <c r="S491">
        <v>0.43542371988498602</v>
      </c>
      <c r="T491">
        <v>3.9094325124417648</v>
      </c>
      <c r="U491">
        <v>0</v>
      </c>
      <c r="V491">
        <v>1.1304767209823813E-2</v>
      </c>
      <c r="W491">
        <v>0.18064982008876521</v>
      </c>
      <c r="X491">
        <v>2.54625531662079E-2</v>
      </c>
      <c r="Y491">
        <v>9.5707524957564273E-3</v>
      </c>
    </row>
    <row r="492" spans="1:25" x14ac:dyDescent="0.25">
      <c r="A492" s="1093"/>
      <c r="B492" s="1452">
        <v>242</v>
      </c>
      <c r="C492" s="1097">
        <v>0.99716343559948717</v>
      </c>
      <c r="D492" s="1097">
        <v>0.98177511448530386</v>
      </c>
      <c r="E492" s="1097">
        <v>1.0040405452750398</v>
      </c>
      <c r="F492" s="1097">
        <v>0.98184395826427673</v>
      </c>
      <c r="G492" s="1097">
        <v>1.0154963968169681</v>
      </c>
      <c r="H492" s="1097">
        <v>1.0037344635039402</v>
      </c>
      <c r="I492" s="1097">
        <v>0.95616792865784106</v>
      </c>
      <c r="K492">
        <v>5.0760376500802407</v>
      </c>
      <c r="L492">
        <v>0</v>
      </c>
      <c r="M492">
        <v>3.5699305813610108E-3</v>
      </c>
      <c r="N492">
        <v>0.31342724006025052</v>
      </c>
      <c r="O492">
        <v>0.14707863194788123</v>
      </c>
      <c r="P492">
        <v>1.9945936908578255E-2</v>
      </c>
      <c r="Q492">
        <v>1.3215099330356926E-3</v>
      </c>
      <c r="R492">
        <v>3.5639199288273206E-3</v>
      </c>
      <c r="S492">
        <v>0.4389373083632731</v>
      </c>
      <c r="T492">
        <v>3.9222937949503036</v>
      </c>
      <c r="U492">
        <v>0</v>
      </c>
      <c r="V492">
        <v>1.1304767209823801E-2</v>
      </c>
      <c r="W492">
        <v>0.1861870306132149</v>
      </c>
      <c r="X492">
        <v>2.5475530935135406E-2</v>
      </c>
      <c r="Y492">
        <v>1.0071909811280923E-2</v>
      </c>
    </row>
    <row r="493" spans="1:25" x14ac:dyDescent="0.25">
      <c r="A493" s="1093"/>
      <c r="B493" s="1452">
        <v>243</v>
      </c>
      <c r="C493" s="1097">
        <v>0.98026413947497826</v>
      </c>
      <c r="D493" s="1097">
        <v>1.0136887445632292</v>
      </c>
      <c r="E493" s="1097">
        <v>0.97636583492148377</v>
      </c>
      <c r="F493" s="1097">
        <v>0.9656171835126639</v>
      </c>
      <c r="G493" s="1097">
        <v>0.95689024562309777</v>
      </c>
      <c r="H493" s="1097">
        <v>0.98720690847142889</v>
      </c>
      <c r="I493" s="1097">
        <v>1.013883184470793</v>
      </c>
      <c r="K493">
        <v>5.011047933154023</v>
      </c>
      <c r="L493">
        <v>0</v>
      </c>
      <c r="M493">
        <v>3.6758900809760716E-3</v>
      </c>
      <c r="N493">
        <v>0.29728779387451959</v>
      </c>
      <c r="O493">
        <v>0.1460253012948266</v>
      </c>
      <c r="P493">
        <v>1.9358493195398247E-2</v>
      </c>
      <c r="Q493">
        <v>1.2958995257538225E-3</v>
      </c>
      <c r="R493">
        <v>3.6694918462133316E-3</v>
      </c>
      <c r="S493">
        <v>0.46087251706133397</v>
      </c>
      <c r="T493">
        <v>3.860841280835146</v>
      </c>
      <c r="U493">
        <v>0</v>
      </c>
      <c r="V493">
        <v>1.1304767209823813E-2</v>
      </c>
      <c r="W493">
        <v>0.17995648010260262</v>
      </c>
      <c r="X493">
        <v>2.3741534179529074E-2</v>
      </c>
      <c r="Y493">
        <v>1.0370264109848393E-2</v>
      </c>
    </row>
    <row r="494" spans="1:25" x14ac:dyDescent="0.25">
      <c r="A494" s="1093"/>
      <c r="B494" s="1452">
        <v>244</v>
      </c>
      <c r="C494" s="1097">
        <v>1.0130174904936851</v>
      </c>
      <c r="D494" s="1097">
        <v>1.0027956779660745</v>
      </c>
      <c r="E494" s="1097">
        <v>0.99277343096968573</v>
      </c>
      <c r="F494" s="1097">
        <v>1.024034252727789</v>
      </c>
      <c r="G494" s="1097">
        <v>1.0029898517257059</v>
      </c>
      <c r="H494" s="1097">
        <v>1.003007582000188</v>
      </c>
      <c r="I494" s="1097">
        <v>1.0161403592825009</v>
      </c>
      <c r="K494">
        <v>5.2898363334072229</v>
      </c>
      <c r="L494">
        <v>0</v>
      </c>
      <c r="M494">
        <v>3.7184199701903618E-3</v>
      </c>
      <c r="N494">
        <v>0.31576559374153157</v>
      </c>
      <c r="O494">
        <v>0.15004045760159609</v>
      </c>
      <c r="P494">
        <v>2.0704219548486266E-2</v>
      </c>
      <c r="Q494">
        <v>1.2774435873079627E-3</v>
      </c>
      <c r="R494">
        <v>3.7124124790528829E-3</v>
      </c>
      <c r="S494">
        <v>0.47351461620448193</v>
      </c>
      <c r="T494">
        <v>4.0922862987442583</v>
      </c>
      <c r="U494">
        <v>0</v>
      </c>
      <c r="V494">
        <v>1.1304767209823817E-2</v>
      </c>
      <c r="W494">
        <v>0.18901153156370437</v>
      </c>
      <c r="X494">
        <v>2.5445851602081331E-2</v>
      </c>
      <c r="Y494">
        <v>1.0491561095088264E-2</v>
      </c>
    </row>
    <row r="495" spans="1:25" x14ac:dyDescent="0.25">
      <c r="A495" s="1093"/>
      <c r="B495" s="1452">
        <v>245</v>
      </c>
      <c r="C495" s="1097">
        <v>0.9994332805132593</v>
      </c>
      <c r="D495" s="1097">
        <v>0.98081554195427956</v>
      </c>
      <c r="E495" s="1097">
        <v>1.0204531670894117</v>
      </c>
      <c r="F495" s="1097">
        <v>1.0054719062739301</v>
      </c>
      <c r="G495" s="1097">
        <v>0.98472256039078343</v>
      </c>
      <c r="H495" s="1097">
        <v>0.98426200721485768</v>
      </c>
      <c r="I495" s="1097">
        <v>1.0191779473310494</v>
      </c>
      <c r="K495">
        <v>5.2130635548882793</v>
      </c>
      <c r="L495">
        <v>0</v>
      </c>
      <c r="M495">
        <v>3.4562504501938459E-3</v>
      </c>
      <c r="N495">
        <v>0.31855600974177101</v>
      </c>
      <c r="O495">
        <v>0.1498715165847192</v>
      </c>
      <c r="P495">
        <v>2.077008781966944E-2</v>
      </c>
      <c r="Q495">
        <v>1.337563338858868E-3</v>
      </c>
      <c r="R495">
        <v>3.4504552966058131E-3</v>
      </c>
      <c r="S495">
        <v>0.47249099710327147</v>
      </c>
      <c r="T495">
        <v>4.0146233213491893</v>
      </c>
      <c r="U495">
        <v>0</v>
      </c>
      <c r="V495">
        <v>1.1304767209823839E-2</v>
      </c>
      <c r="W495">
        <v>0.18716329863585826</v>
      </c>
      <c r="X495">
        <v>2.7200538160691751E-2</v>
      </c>
      <c r="Y495">
        <v>9.751250098008063E-3</v>
      </c>
    </row>
    <row r="496" spans="1:25" x14ac:dyDescent="0.25">
      <c r="A496" s="1093"/>
      <c r="B496" s="1452">
        <v>246</v>
      </c>
      <c r="C496" s="1097">
        <v>1.0036809318653275</v>
      </c>
      <c r="D496" s="1097">
        <v>0.98285427907893153</v>
      </c>
      <c r="E496" s="1097">
        <v>0.99276179647997709</v>
      </c>
      <c r="F496" s="1097">
        <v>0.99908182471447238</v>
      </c>
      <c r="G496" s="1097">
        <v>1.0054829771906137</v>
      </c>
      <c r="H496" s="1097">
        <v>1.0401245096809304</v>
      </c>
      <c r="I496" s="1097">
        <v>1.0124958565345412</v>
      </c>
      <c r="K496">
        <v>5.2050363484549553</v>
      </c>
      <c r="L496">
        <v>0</v>
      </c>
      <c r="M496">
        <v>3.8279383240852108E-3</v>
      </c>
      <c r="N496">
        <v>0.32506072648036627</v>
      </c>
      <c r="O496">
        <v>0.14893833685904856</v>
      </c>
      <c r="P496">
        <v>2.0261334014365806E-2</v>
      </c>
      <c r="Q496">
        <v>1.2997145441279764E-3</v>
      </c>
      <c r="R496">
        <v>3.8218258875015675E-3</v>
      </c>
      <c r="S496">
        <v>0.47535480957781356</v>
      </c>
      <c r="T496">
        <v>3.9925718805504928</v>
      </c>
      <c r="U496">
        <v>0</v>
      </c>
      <c r="V496">
        <v>1.1304767209823822E-2</v>
      </c>
      <c r="W496">
        <v>0.19457696624985557</v>
      </c>
      <c r="X496">
        <v>2.4873153664956894E-2</v>
      </c>
      <c r="Y496">
        <v>1.0800771740682818E-2</v>
      </c>
    </row>
    <row r="497" spans="1:25" x14ac:dyDescent="0.25">
      <c r="A497" s="1093"/>
      <c r="B497" s="1452">
        <v>247</v>
      </c>
      <c r="C497" s="1097">
        <v>0.98091768315216865</v>
      </c>
      <c r="D497" s="1097">
        <v>1.0344701324520025</v>
      </c>
      <c r="E497" s="1097">
        <v>0.9786773681488693</v>
      </c>
      <c r="F497" s="1097">
        <v>0.97692167539311681</v>
      </c>
      <c r="G497" s="1097">
        <v>1.0113764921370834</v>
      </c>
      <c r="H497" s="1097">
        <v>0.99841312868465804</v>
      </c>
      <c r="I497" s="1097">
        <v>1.0432913648109099</v>
      </c>
      <c r="K497">
        <v>5.0823311021183741</v>
      </c>
      <c r="L497">
        <v>0</v>
      </c>
      <c r="M497">
        <v>3.7101315034464401E-3</v>
      </c>
      <c r="N497">
        <v>0.30213459240186541</v>
      </c>
      <c r="O497">
        <v>0.14637964335978354</v>
      </c>
      <c r="P497">
        <v>1.9673909487736091E-2</v>
      </c>
      <c r="Q497">
        <v>1.2871505137723484E-3</v>
      </c>
      <c r="R497">
        <v>3.7038199140750632E-3</v>
      </c>
      <c r="S497">
        <v>0.47881758144788394</v>
      </c>
      <c r="T497">
        <v>3.9057536871168548</v>
      </c>
      <c r="U497">
        <v>0</v>
      </c>
      <c r="V497">
        <v>1.1304767209823818E-2</v>
      </c>
      <c r="W497">
        <v>0.18260047609573812</v>
      </c>
      <c r="X497">
        <v>2.3918328223836261E-2</v>
      </c>
      <c r="Y497">
        <v>1.0467277850449644E-2</v>
      </c>
    </row>
    <row r="498" spans="1:25" x14ac:dyDescent="0.25">
      <c r="A498" s="1093"/>
      <c r="B498" s="1452">
        <v>248</v>
      </c>
      <c r="C498" s="1097">
        <v>1.0183188262709733</v>
      </c>
      <c r="D498" s="1097">
        <v>1.0267757857304205</v>
      </c>
      <c r="E498" s="1097">
        <v>1.0114843495462711</v>
      </c>
      <c r="F498" s="1097">
        <v>1.021177937929882</v>
      </c>
      <c r="G498" s="1097">
        <v>0.99842913877453976</v>
      </c>
      <c r="H498" s="1097">
        <v>0.99092639313737063</v>
      </c>
      <c r="I498" s="1097">
        <v>1.0034669829254566</v>
      </c>
      <c r="K498">
        <v>5.2502568338843192</v>
      </c>
      <c r="L498">
        <v>0</v>
      </c>
      <c r="M498">
        <v>3.4705151737457413E-3</v>
      </c>
      <c r="N498">
        <v>0.31150365713770189</v>
      </c>
      <c r="O498">
        <v>0.146925880405881</v>
      </c>
      <c r="P498">
        <v>2.0867877460295926E-2</v>
      </c>
      <c r="Q498">
        <v>1.2791590263685818E-3</v>
      </c>
      <c r="R498">
        <v>3.4648239906333229E-3</v>
      </c>
      <c r="S498">
        <v>0.45971810315711603</v>
      </c>
      <c r="T498">
        <v>4.0784752252214576</v>
      </c>
      <c r="U498">
        <v>0</v>
      </c>
      <c r="V498">
        <v>1.1304767209823808E-2</v>
      </c>
      <c r="W498">
        <v>0.184120579159746</v>
      </c>
      <c r="X498">
        <v>2.6275419164713262E-2</v>
      </c>
      <c r="Y498">
        <v>9.7918571243277002E-3</v>
      </c>
    </row>
    <row r="499" spans="1:25" x14ac:dyDescent="0.25">
      <c r="A499" s="1093"/>
      <c r="B499" s="1452">
        <v>249</v>
      </c>
      <c r="C499" s="1097">
        <v>1.0078652899018554</v>
      </c>
      <c r="D499" s="1097">
        <v>1.0156477922273215</v>
      </c>
      <c r="E499" s="1097">
        <v>1.0098289684155355</v>
      </c>
      <c r="F499" s="1097">
        <v>0.99481390799382219</v>
      </c>
      <c r="G499" s="1097">
        <v>1.0045997394178934</v>
      </c>
      <c r="H499" s="1097">
        <v>1.0200011491450829</v>
      </c>
      <c r="I499" s="1097">
        <v>1.002593076231159</v>
      </c>
      <c r="K499">
        <v>5.1514101537221952</v>
      </c>
      <c r="L499">
        <v>0</v>
      </c>
      <c r="M499">
        <v>3.5440766145704307E-3</v>
      </c>
      <c r="N499">
        <v>0.3165525677381581</v>
      </c>
      <c r="O499">
        <v>0.14529415826492964</v>
      </c>
      <c r="P499">
        <v>2.0363638034359741E-2</v>
      </c>
      <c r="Q499">
        <v>1.2962442413196077E-3</v>
      </c>
      <c r="R499">
        <v>3.5382810823970561E-3</v>
      </c>
      <c r="S499">
        <v>0.46030309316778772</v>
      </c>
      <c r="T499">
        <v>3.9733858375638347</v>
      </c>
      <c r="U499">
        <v>0</v>
      </c>
      <c r="V499">
        <v>1.1304767209823829E-2</v>
      </c>
      <c r="W499">
        <v>0.18731278825379793</v>
      </c>
      <c r="X499">
        <v>2.5603402306514009E-2</v>
      </c>
      <c r="Y499">
        <v>9.9994524738356658E-3</v>
      </c>
    </row>
    <row r="500" spans="1:25" x14ac:dyDescent="0.25">
      <c r="A500" s="1093"/>
      <c r="B500" s="1452">
        <v>250</v>
      </c>
      <c r="C500" s="1097">
        <v>0.96361990581178181</v>
      </c>
      <c r="D500" s="1097">
        <v>0.99397572807222578</v>
      </c>
      <c r="E500" s="1097">
        <v>1.0091205961228262</v>
      </c>
      <c r="F500" s="1097">
        <v>1.0341061909594893</v>
      </c>
      <c r="G500" s="1097">
        <v>1.0058641703171598</v>
      </c>
      <c r="H500" s="1097">
        <v>1.0195093030437514</v>
      </c>
      <c r="I500" s="1097">
        <v>1.0207178864708311</v>
      </c>
      <c r="K500">
        <v>5.4228558001517868</v>
      </c>
      <c r="L500">
        <v>0</v>
      </c>
      <c r="M500">
        <v>3.8902891465601498E-3</v>
      </c>
      <c r="N500">
        <v>0.34676909250407079</v>
      </c>
      <c r="O500">
        <v>0.15935765385478687</v>
      </c>
      <c r="P500">
        <v>2.1292388130569766E-2</v>
      </c>
      <c r="Q500">
        <v>1.3666850069841974E-3</v>
      </c>
      <c r="R500">
        <v>3.8841658427978005E-3</v>
      </c>
      <c r="S500">
        <v>0.50842864506227337</v>
      </c>
      <c r="T500">
        <v>4.1304146905422501</v>
      </c>
      <c r="U500">
        <v>0</v>
      </c>
      <c r="V500">
        <v>1.1304767209823829E-2</v>
      </c>
      <c r="W500">
        <v>0.20529036477372334</v>
      </c>
      <c r="X500">
        <v>2.7660687157280182E-2</v>
      </c>
      <c r="Y500">
        <v>1.097694921378041E-2</v>
      </c>
    </row>
    <row r="501" spans="1:25" x14ac:dyDescent="0.25">
      <c r="A501" s="1093"/>
      <c r="B501" s="1452">
        <v>251</v>
      </c>
      <c r="C501" s="1097">
        <v>1.0208748418702747</v>
      </c>
      <c r="D501" s="1097">
        <v>0.99950388477614294</v>
      </c>
      <c r="E501" s="1097">
        <v>1.0405417897816325</v>
      </c>
      <c r="F501" s="1097">
        <v>0.97928559257347381</v>
      </c>
      <c r="G501" s="1097">
        <v>0.9850424111090551</v>
      </c>
      <c r="H501" s="1097">
        <v>0.99040727804736395</v>
      </c>
      <c r="I501" s="1097">
        <v>1.0056922035517017</v>
      </c>
      <c r="K501">
        <v>5.0512669100553929</v>
      </c>
      <c r="L501">
        <v>0</v>
      </c>
      <c r="M501">
        <v>3.1543615019640828E-3</v>
      </c>
      <c r="N501">
        <v>0.30850981415648404</v>
      </c>
      <c r="O501">
        <v>0.14129103090895676</v>
      </c>
      <c r="P501">
        <v>2.0449494085970823E-2</v>
      </c>
      <c r="Q501">
        <v>1.321754117890714E-3</v>
      </c>
      <c r="R501">
        <v>3.1489650350626092E-3</v>
      </c>
      <c r="S501">
        <v>0.44595222862761691</v>
      </c>
      <c r="T501">
        <v>3.9076329172024273</v>
      </c>
      <c r="U501">
        <v>0</v>
      </c>
      <c r="V501">
        <v>1.1304767209823834E-2</v>
      </c>
      <c r="W501">
        <v>0.17886589299069341</v>
      </c>
      <c r="X501">
        <v>2.7045191621229838E-2</v>
      </c>
      <c r="Y501">
        <v>8.8992156011943827E-3</v>
      </c>
    </row>
    <row r="502" spans="1:25" x14ac:dyDescent="0.25">
      <c r="A502" s="1093"/>
      <c r="B502" s="1452">
        <v>252</v>
      </c>
      <c r="C502" s="1097">
        <v>1.0062860121206008</v>
      </c>
      <c r="D502" s="1097">
        <v>1.0126504202860636</v>
      </c>
      <c r="E502" s="1097">
        <v>1.0191709464420318</v>
      </c>
      <c r="F502" s="1097">
        <v>1.0044091232010075</v>
      </c>
      <c r="G502" s="1097">
        <v>1.011370058446714</v>
      </c>
      <c r="H502" s="1097">
        <v>1.0026607804569381</v>
      </c>
      <c r="I502" s="1097">
        <v>1.0368927385505216</v>
      </c>
      <c r="K502">
        <v>5.2089532351411014</v>
      </c>
      <c r="L502">
        <v>0</v>
      </c>
      <c r="M502">
        <v>3.4581969790034206E-3</v>
      </c>
      <c r="N502">
        <v>0.31753778496130924</v>
      </c>
      <c r="O502">
        <v>0.14684128268099647</v>
      </c>
      <c r="P502">
        <v>2.075529316813662E-2</v>
      </c>
      <c r="Q502">
        <v>1.3101667216720979E-3</v>
      </c>
      <c r="R502">
        <v>3.4524989494215969E-3</v>
      </c>
      <c r="S502">
        <v>0.47759264338198471</v>
      </c>
      <c r="T502">
        <v>4.0105400523055534</v>
      </c>
      <c r="U502">
        <v>0</v>
      </c>
      <c r="V502">
        <v>1.1304767209823825E-2</v>
      </c>
      <c r="W502">
        <v>0.18672465000114347</v>
      </c>
      <c r="X502">
        <v>2.6595267123168658E-2</v>
      </c>
      <c r="Y502">
        <v>9.7570256168909835E-3</v>
      </c>
    </row>
    <row r="503" spans="1:25" x14ac:dyDescent="0.25">
      <c r="A503" s="1093"/>
      <c r="B503" s="1452">
        <v>253</v>
      </c>
      <c r="C503" s="1097">
        <v>0.99287151277444763</v>
      </c>
      <c r="D503" s="1097">
        <v>1.0165975907417371</v>
      </c>
      <c r="E503" s="1097">
        <v>0.9757353908352131</v>
      </c>
      <c r="F503" s="1097">
        <v>1.0250828924716082</v>
      </c>
      <c r="G503" s="1097">
        <v>0.96324832293464246</v>
      </c>
      <c r="H503" s="1097">
        <v>0.95883447674528111</v>
      </c>
      <c r="I503" s="1097">
        <v>1.0039077777511913</v>
      </c>
      <c r="K503">
        <v>5.2732584419085704</v>
      </c>
      <c r="L503">
        <v>0</v>
      </c>
      <c r="M503">
        <v>3.7422723750127423E-3</v>
      </c>
      <c r="N503">
        <v>0.3021064561706579</v>
      </c>
      <c r="O503">
        <v>0.15289225691765315</v>
      </c>
      <c r="P503">
        <v>2.0442809783449967E-2</v>
      </c>
      <c r="Q503">
        <v>1.2772777577270806E-3</v>
      </c>
      <c r="R503">
        <v>3.7359542693322628E-3</v>
      </c>
      <c r="S503">
        <v>0.46793610709659239</v>
      </c>
      <c r="T503">
        <v>4.0986859429786096</v>
      </c>
      <c r="U503">
        <v>0</v>
      </c>
      <c r="V503">
        <v>1.1304767209823815E-2</v>
      </c>
      <c r="W503">
        <v>0.18295256904210722</v>
      </c>
      <c r="X503">
        <v>2.510848106587809E-2</v>
      </c>
      <c r="Y503">
        <v>1.0558091991748458E-2</v>
      </c>
    </row>
    <row r="504" spans="1:25" x14ac:dyDescent="0.25">
      <c r="A504" s="1093"/>
      <c r="B504" s="1452">
        <v>254</v>
      </c>
      <c r="C504" s="1097">
        <v>0.99375319574252563</v>
      </c>
      <c r="D504" s="1097">
        <v>0.96619264499915092</v>
      </c>
      <c r="E504" s="1097">
        <v>0.98867892257970402</v>
      </c>
      <c r="F504" s="1097">
        <v>0.99680725911465429</v>
      </c>
      <c r="G504" s="1097">
        <v>1.0200671589054962</v>
      </c>
      <c r="H504" s="1097">
        <v>1.0238069722516581</v>
      </c>
      <c r="I504" s="1097">
        <v>1.0287893147748897</v>
      </c>
      <c r="K504">
        <v>5.2070011191392984</v>
      </c>
      <c r="L504">
        <v>0</v>
      </c>
      <c r="M504">
        <v>3.8558980318496063E-3</v>
      </c>
      <c r="N504">
        <v>0.32348562215662652</v>
      </c>
      <c r="O504">
        <v>0.15122928273069314</v>
      </c>
      <c r="P504">
        <v>2.0205854511791542E-2</v>
      </c>
      <c r="Q504">
        <v>1.3170631709792625E-3</v>
      </c>
      <c r="R504">
        <v>3.84962856741494E-3</v>
      </c>
      <c r="S504">
        <v>0.48539601739873234</v>
      </c>
      <c r="T504">
        <v>3.9839953754492319</v>
      </c>
      <c r="U504">
        <v>0</v>
      </c>
      <c r="V504">
        <v>1.1304767209823808E-2</v>
      </c>
      <c r="W504">
        <v>0.19417259170723383</v>
      </c>
      <c r="X504">
        <v>2.5021470031868404E-2</v>
      </c>
      <c r="Y504">
        <v>1.0879344236752209E-2</v>
      </c>
    </row>
    <row r="505" spans="1:25" x14ac:dyDescent="0.25">
      <c r="A505" s="1093"/>
      <c r="B505" s="1452">
        <v>255</v>
      </c>
      <c r="C505" s="1097">
        <v>0.99096683761130389</v>
      </c>
      <c r="D505" s="1097">
        <v>0.98558183722011783</v>
      </c>
      <c r="E505" s="1097">
        <v>1.0077901594816316</v>
      </c>
      <c r="F505" s="1097">
        <v>1.0057160271579522</v>
      </c>
      <c r="G505" s="1097">
        <v>1.0079808493985583</v>
      </c>
      <c r="H505" s="1097">
        <v>0.95869158062924986</v>
      </c>
      <c r="I505" s="1097">
        <v>1.010424289025551</v>
      </c>
      <c r="K505">
        <v>5.1975230874273555</v>
      </c>
      <c r="L505">
        <v>0</v>
      </c>
      <c r="M505">
        <v>3.4812705620505084E-3</v>
      </c>
      <c r="N505">
        <v>0.30904476299413641</v>
      </c>
      <c r="O505">
        <v>0.15125565023540558</v>
      </c>
      <c r="P505">
        <v>2.056457760305045E-2</v>
      </c>
      <c r="Q505">
        <v>1.3319740631275655E-3</v>
      </c>
      <c r="R505">
        <v>3.4752792205515574E-3</v>
      </c>
      <c r="S505">
        <v>0.46713842461322264</v>
      </c>
      <c r="T505">
        <v>4.0171863608289859</v>
      </c>
      <c r="U505">
        <v>0</v>
      </c>
      <c r="V505">
        <v>1.1304767209823822E-2</v>
      </c>
      <c r="W505">
        <v>0.18312087816266129</v>
      </c>
      <c r="X505">
        <v>2.6760278656145296E-2</v>
      </c>
      <c r="Y505">
        <v>9.8214044022956748E-3</v>
      </c>
    </row>
    <row r="506" spans="1:25" x14ac:dyDescent="0.25">
      <c r="A506" s="1093"/>
      <c r="B506" s="1452">
        <v>256</v>
      </c>
      <c r="C506" s="1097">
        <v>0.99706811711535548</v>
      </c>
      <c r="D506" s="1097">
        <v>0.9824602792574475</v>
      </c>
      <c r="E506" s="1097">
        <v>0.99261213185924468</v>
      </c>
      <c r="F506" s="1097">
        <v>1.021768209580556</v>
      </c>
      <c r="G506" s="1097">
        <v>0.99375934826720846</v>
      </c>
      <c r="H506" s="1097">
        <v>0.98069292608288894</v>
      </c>
      <c r="I506" s="1097">
        <v>1.0081978785009986</v>
      </c>
      <c r="K506">
        <v>5.2847651520760097</v>
      </c>
      <c r="L506">
        <v>0</v>
      </c>
      <c r="M506">
        <v>3.7172791894878828E-3</v>
      </c>
      <c r="N506">
        <v>0.31550503453408213</v>
      </c>
      <c r="O506">
        <v>0.15335943451352163</v>
      </c>
      <c r="P506">
        <v>2.0663069027546634E-2</v>
      </c>
      <c r="Q506">
        <v>1.3083758219671652E-3</v>
      </c>
      <c r="R506">
        <v>3.7111232890080724E-3</v>
      </c>
      <c r="S506">
        <v>0.4740048525915358</v>
      </c>
      <c r="T506">
        <v>4.0832514107086366</v>
      </c>
      <c r="U506">
        <v>0</v>
      </c>
      <c r="V506">
        <v>1.1304767209823836E-2</v>
      </c>
      <c r="W506">
        <v>0.18887625777023956</v>
      </c>
      <c r="X506">
        <v>2.601018805353144E-2</v>
      </c>
      <c r="Y506">
        <v>1.0487917745596627E-2</v>
      </c>
    </row>
    <row r="507" spans="1:25" x14ac:dyDescent="0.25">
      <c r="A507" s="1093"/>
      <c r="B507" s="1452">
        <v>257</v>
      </c>
      <c r="C507" s="1097">
        <v>1.0253191701336695</v>
      </c>
      <c r="D507" s="1097">
        <v>0.98734122810120961</v>
      </c>
      <c r="E507" s="1097">
        <v>0.98480266578602538</v>
      </c>
      <c r="F507" s="1097">
        <v>0.96322181296481013</v>
      </c>
      <c r="G507" s="1097">
        <v>1.0024579115270345</v>
      </c>
      <c r="H507" s="1097">
        <v>0.98081044643786264</v>
      </c>
      <c r="I507" s="1097">
        <v>0.98667280248341727</v>
      </c>
      <c r="K507">
        <v>4.9442975558929056</v>
      </c>
      <c r="L507">
        <v>0</v>
      </c>
      <c r="M507">
        <v>3.4580301345606274E-3</v>
      </c>
      <c r="N507">
        <v>0.28675344386845009</v>
      </c>
      <c r="O507">
        <v>0.14051540737882842</v>
      </c>
      <c r="P507">
        <v>1.9291943815694833E-2</v>
      </c>
      <c r="Q507">
        <v>1.2612745997199473E-3</v>
      </c>
      <c r="R507">
        <v>3.4519568119354637E-3</v>
      </c>
      <c r="S507">
        <v>0.42903810808606535</v>
      </c>
      <c r="T507">
        <v>3.8502342366514632</v>
      </c>
      <c r="U507">
        <v>0</v>
      </c>
      <c r="V507">
        <v>1.1304767209823822E-2</v>
      </c>
      <c r="W507">
        <v>0.17257968779115571</v>
      </c>
      <c r="X507">
        <v>2.3569266319360002E-2</v>
      </c>
      <c r="Y507">
        <v>9.7554934949649324E-3</v>
      </c>
    </row>
    <row r="508" spans="1:25" x14ac:dyDescent="0.25">
      <c r="A508" s="1093"/>
      <c r="B508" s="1452">
        <v>258</v>
      </c>
      <c r="C508" s="1097">
        <v>1.0221278718754974</v>
      </c>
      <c r="D508" s="1097">
        <v>0.99111850737927043</v>
      </c>
      <c r="E508" s="1097">
        <v>1.0083110914325593</v>
      </c>
      <c r="F508" s="1097">
        <v>1.0138846262252561</v>
      </c>
      <c r="G508" s="1097">
        <v>0.9855908427303538</v>
      </c>
      <c r="H508" s="1097">
        <v>0.9670235667691236</v>
      </c>
      <c r="I508" s="1097">
        <v>1.004631021525491</v>
      </c>
      <c r="K508">
        <v>5.205126075824273</v>
      </c>
      <c r="L508">
        <v>0</v>
      </c>
      <c r="M508">
        <v>3.4206372160096969E-3</v>
      </c>
      <c r="N508">
        <v>0.30413960921117789</v>
      </c>
      <c r="O508">
        <v>0.14749014377609396</v>
      </c>
      <c r="P508">
        <v>2.0663309294850989E-2</v>
      </c>
      <c r="Q508">
        <v>1.2890489323435334E-3</v>
      </c>
      <c r="R508">
        <v>3.4148478930838056E-3</v>
      </c>
      <c r="S508">
        <v>0.45442329806748705</v>
      </c>
      <c r="T508">
        <v>4.0497485802135778</v>
      </c>
      <c r="U508">
        <v>0</v>
      </c>
      <c r="V508">
        <v>1.1304767209823815E-2</v>
      </c>
      <c r="W508">
        <v>0.18015129203249422</v>
      </c>
      <c r="X508">
        <v>2.6271195552193791E-2</v>
      </c>
      <c r="Y508">
        <v>9.6506208571582146E-3</v>
      </c>
    </row>
    <row r="509" spans="1:25" x14ac:dyDescent="0.25">
      <c r="A509" s="1093"/>
      <c r="B509" s="1452">
        <v>259</v>
      </c>
      <c r="C509" s="1097">
        <v>1.0231139150010518</v>
      </c>
      <c r="D509" s="1097">
        <v>1.0172678391613985</v>
      </c>
      <c r="E509" s="1097">
        <v>1.0051128237359999</v>
      </c>
      <c r="F509" s="1097">
        <v>1.0176328327642958</v>
      </c>
      <c r="G509" s="1097">
        <v>1.0102123821629196</v>
      </c>
      <c r="H509" s="1097">
        <v>1.0181848849976534</v>
      </c>
      <c r="I509" s="1097">
        <v>1.0104442735961128</v>
      </c>
      <c r="K509">
        <v>5.2510288577391</v>
      </c>
      <c r="L509">
        <v>0</v>
      </c>
      <c r="M509">
        <v>3.5981730782057319E-3</v>
      </c>
      <c r="N509">
        <v>0.31693784585069779</v>
      </c>
      <c r="O509">
        <v>0.1464481270428391</v>
      </c>
      <c r="P509">
        <v>2.0734325317806574E-2</v>
      </c>
      <c r="Q509">
        <v>1.2709878935338048E-3</v>
      </c>
      <c r="R509">
        <v>3.5924105473196014E-3</v>
      </c>
      <c r="S509">
        <v>0.46531323151504578</v>
      </c>
      <c r="T509">
        <v>4.0651273427500128</v>
      </c>
      <c r="U509">
        <v>0</v>
      </c>
      <c r="V509">
        <v>1.1304767209823815E-2</v>
      </c>
      <c r="W509">
        <v>0.18813648256984045</v>
      </c>
      <c r="X509">
        <v>2.5609083646087816E-2</v>
      </c>
      <c r="Y509">
        <v>1.0152426474295926E-2</v>
      </c>
    </row>
    <row r="510" spans="1:25" x14ac:dyDescent="0.25">
      <c r="A510" s="1093"/>
      <c r="B510" s="1452">
        <v>260</v>
      </c>
      <c r="C510" s="1097">
        <v>1.0097731129981602</v>
      </c>
      <c r="D510" s="1097">
        <v>0.98584057860128405</v>
      </c>
      <c r="E510" s="1097">
        <v>0.97730718451244525</v>
      </c>
      <c r="F510" s="1097">
        <v>1.0029150669458238</v>
      </c>
      <c r="G510" s="1097">
        <v>1.0442805804181492</v>
      </c>
      <c r="H510" s="1097">
        <v>1.0022866117048612</v>
      </c>
      <c r="I510" s="1097">
        <v>0.99596296813874097</v>
      </c>
      <c r="K510">
        <v>5.1794760135086664</v>
      </c>
      <c r="L510">
        <v>0</v>
      </c>
      <c r="M510">
        <v>3.7973300126064131E-3</v>
      </c>
      <c r="N510">
        <v>0.30799622688521588</v>
      </c>
      <c r="O510">
        <v>0.14885706783820768</v>
      </c>
      <c r="P510">
        <v>2.0029858069301323E-2</v>
      </c>
      <c r="Q510">
        <v>1.2731670955127134E-3</v>
      </c>
      <c r="R510">
        <v>3.7910615529242169E-3</v>
      </c>
      <c r="S510">
        <v>0.45892963291753303</v>
      </c>
      <c r="T510">
        <v>4.0098501323662585</v>
      </c>
      <c r="U510">
        <v>0</v>
      </c>
      <c r="V510">
        <v>1.1304767209823815E-2</v>
      </c>
      <c r="W510">
        <v>0.1863181250655267</v>
      </c>
      <c r="X510">
        <v>2.4209475138545589E-2</v>
      </c>
      <c r="Y510">
        <v>1.0713829382421391E-2</v>
      </c>
    </row>
    <row r="511" spans="1:25" x14ac:dyDescent="0.25">
      <c r="A511" s="1093"/>
      <c r="B511" s="1452">
        <v>261</v>
      </c>
      <c r="C511" s="1097">
        <v>1.0016636689067837</v>
      </c>
      <c r="D511" s="1097">
        <v>0.97387800497332555</v>
      </c>
      <c r="E511" s="1097">
        <v>1.0215269924528274</v>
      </c>
      <c r="F511" s="1097">
        <v>0.98552266406838385</v>
      </c>
      <c r="G511" s="1097">
        <v>0.98488079455557798</v>
      </c>
      <c r="H511" s="1097">
        <v>0.9811180184746382</v>
      </c>
      <c r="I511" s="1097">
        <v>0.96906058692787389</v>
      </c>
      <c r="K511">
        <v>5.0865476829871348</v>
      </c>
      <c r="L511">
        <v>0</v>
      </c>
      <c r="M511">
        <v>3.3713718439226355E-3</v>
      </c>
      <c r="N511">
        <v>0.31170931417070952</v>
      </c>
      <c r="O511">
        <v>0.14695789704859424</v>
      </c>
      <c r="P511">
        <v>2.0271646529675228E-2</v>
      </c>
      <c r="Q511">
        <v>1.3395957002136747E-3</v>
      </c>
      <c r="R511">
        <v>3.3655862934466804E-3</v>
      </c>
      <c r="S511">
        <v>0.44087979911852732</v>
      </c>
      <c r="T511">
        <v>3.9348389272716924</v>
      </c>
      <c r="U511">
        <v>0</v>
      </c>
      <c r="V511">
        <v>1.1304767209823824E-2</v>
      </c>
      <c r="W511">
        <v>0.18300961819611705</v>
      </c>
      <c r="X511">
        <v>2.673049947661332E-2</v>
      </c>
      <c r="Y511">
        <v>9.5114038156384837E-3</v>
      </c>
    </row>
    <row r="512" spans="1:25" x14ac:dyDescent="0.25">
      <c r="A512" s="1093"/>
      <c r="B512" s="1452">
        <v>262</v>
      </c>
      <c r="C512" s="1097">
        <v>0.99030461609715392</v>
      </c>
      <c r="D512" s="1097">
        <v>1.0075767482083291</v>
      </c>
      <c r="E512" s="1097">
        <v>1.0207575120691386</v>
      </c>
      <c r="F512" s="1097">
        <v>0.99803954842361176</v>
      </c>
      <c r="G512" s="1097">
        <v>0.96727505644665002</v>
      </c>
      <c r="H512" s="1097">
        <v>1.0112625460908193</v>
      </c>
      <c r="I512" s="1097">
        <v>1.0436516607954056</v>
      </c>
      <c r="K512">
        <v>5.2066129525137743</v>
      </c>
      <c r="L512">
        <v>0</v>
      </c>
      <c r="M512">
        <v>3.516989007079664E-3</v>
      </c>
      <c r="N512">
        <v>0.32445676895601289</v>
      </c>
      <c r="O512">
        <v>0.14851855025903951</v>
      </c>
      <c r="P512">
        <v>2.0709277395714435E-2</v>
      </c>
      <c r="Q512">
        <v>1.3357797246132284E-3</v>
      </c>
      <c r="R512">
        <v>3.5112067898014319E-3</v>
      </c>
      <c r="S512">
        <v>0.48802944296578449</v>
      </c>
      <c r="T512">
        <v>3.984909821340024</v>
      </c>
      <c r="U512">
        <v>0</v>
      </c>
      <c r="V512">
        <v>1.1304767209823818E-2</v>
      </c>
      <c r="W512">
        <v>0.19059154485328675</v>
      </c>
      <c r="X512">
        <v>2.6839843570815591E-2</v>
      </c>
      <c r="Y512">
        <v>9.9229384559359757E-3</v>
      </c>
    </row>
    <row r="513" spans="1:25" x14ac:dyDescent="0.25">
      <c r="A513" s="1093"/>
      <c r="B513" s="1452">
        <v>263</v>
      </c>
      <c r="C513" s="1097">
        <v>0.98743453398789816</v>
      </c>
      <c r="D513" s="1097">
        <v>0.99024017468052772</v>
      </c>
      <c r="E513" s="1097">
        <v>0.97831939958700098</v>
      </c>
      <c r="F513" s="1097">
        <v>1.0470988168519169</v>
      </c>
      <c r="G513" s="1097">
        <v>0.99298669111330284</v>
      </c>
      <c r="H513" s="1097">
        <v>1.0192239314409939</v>
      </c>
      <c r="I513" s="1097">
        <v>0.98991249187592556</v>
      </c>
      <c r="K513">
        <v>5.4383497708959885</v>
      </c>
      <c r="L513">
        <v>0</v>
      </c>
      <c r="M513">
        <v>4.1064697198831728E-3</v>
      </c>
      <c r="N513">
        <v>0.33410426667521831</v>
      </c>
      <c r="O513">
        <v>0.15861814024931906</v>
      </c>
      <c r="P513">
        <v>2.0958867669866921E-2</v>
      </c>
      <c r="Q513">
        <v>1.3007968454755289E-3</v>
      </c>
      <c r="R513">
        <v>4.1000844354892414E-3</v>
      </c>
      <c r="S513">
        <v>0.48659032661797907</v>
      </c>
      <c r="T513">
        <v>4.186370930009617</v>
      </c>
      <c r="U513">
        <v>0</v>
      </c>
      <c r="V513">
        <v>1.1304767209823799E-2</v>
      </c>
      <c r="W513">
        <v>0.20197150317547538</v>
      </c>
      <c r="X513">
        <v>2.554940608627889E-2</v>
      </c>
      <c r="Y513">
        <v>1.1587151641331152E-2</v>
      </c>
    </row>
    <row r="514" spans="1:25" x14ac:dyDescent="0.25">
      <c r="A514" s="1093"/>
      <c r="B514" s="1452">
        <v>264</v>
      </c>
      <c r="C514" s="1097">
        <v>1.0456394843635748</v>
      </c>
      <c r="D514" s="1097">
        <v>1.0161150541568325</v>
      </c>
      <c r="E514" s="1097">
        <v>0.98448589572275713</v>
      </c>
      <c r="F514" s="1097">
        <v>0.98854370242053824</v>
      </c>
      <c r="G514" s="1097">
        <v>1.0158086620830467</v>
      </c>
      <c r="H514" s="1097">
        <v>0.98729509492362599</v>
      </c>
      <c r="I514" s="1097">
        <v>0.97944443563271288</v>
      </c>
      <c r="K514">
        <v>5.0422339409222436</v>
      </c>
      <c r="L514">
        <v>0</v>
      </c>
      <c r="M514">
        <v>3.465109393312996E-3</v>
      </c>
      <c r="N514">
        <v>0.28708676034214803</v>
      </c>
      <c r="O514">
        <v>0.1397996522171385</v>
      </c>
      <c r="P514">
        <v>1.9726394636732199E-2</v>
      </c>
      <c r="Q514">
        <v>1.2222989673481518E-3</v>
      </c>
      <c r="R514">
        <v>3.4592182141503641E-3</v>
      </c>
      <c r="S514">
        <v>0.42545905456484467</v>
      </c>
      <c r="T514">
        <v>3.9514916491079224</v>
      </c>
      <c r="U514">
        <v>0</v>
      </c>
      <c r="V514">
        <v>1.130476720982382E-2</v>
      </c>
      <c r="W514">
        <v>0.17281767489424868</v>
      </c>
      <c r="X514">
        <v>2.3555565389191128E-2</v>
      </c>
      <c r="Y514">
        <v>9.7760147720060715E-3</v>
      </c>
    </row>
    <row r="515" spans="1:25" x14ac:dyDescent="0.25">
      <c r="A515" s="1093"/>
      <c r="B515" s="1452">
        <v>265</v>
      </c>
      <c r="C515" s="1097">
        <v>1.0387722292750314</v>
      </c>
      <c r="D515" s="1097">
        <v>1.0237616396235547</v>
      </c>
      <c r="E515" s="1097">
        <v>1.0221125698480305</v>
      </c>
      <c r="F515" s="1097">
        <v>0.97882731939496248</v>
      </c>
      <c r="G515" s="1097">
        <v>1.0133558521575552</v>
      </c>
      <c r="H515" s="1097">
        <v>1.0145986267656342</v>
      </c>
      <c r="I515" s="1097">
        <v>0.99851334350458887</v>
      </c>
      <c r="K515">
        <v>5.0308460800970085</v>
      </c>
      <c r="L515">
        <v>0</v>
      </c>
      <c r="M515">
        <v>3.2689679757178397E-3</v>
      </c>
      <c r="N515">
        <v>0.3027790346463014</v>
      </c>
      <c r="O515">
        <v>0.13794575976695664</v>
      </c>
      <c r="P515">
        <v>2.0139202466228769E-2</v>
      </c>
      <c r="Q515">
        <v>1.2668131813940414E-3</v>
      </c>
      <c r="R515">
        <v>3.2635062333369225E-3</v>
      </c>
      <c r="S515">
        <v>0.4371550133727225</v>
      </c>
      <c r="T515">
        <v>3.9080355914122169</v>
      </c>
      <c r="U515">
        <v>0</v>
      </c>
      <c r="V515">
        <v>1.1304767209823825E-2</v>
      </c>
      <c r="W515">
        <v>0.17769719437492415</v>
      </c>
      <c r="X515">
        <v>2.5305247636494839E-2</v>
      </c>
      <c r="Y515">
        <v>9.2229177723243943E-3</v>
      </c>
    </row>
    <row r="516" spans="1:25" x14ac:dyDescent="0.25">
      <c r="A516" s="1093"/>
      <c r="B516" s="1452">
        <v>266</v>
      </c>
      <c r="C516" s="1097">
        <v>1.002762321400547</v>
      </c>
      <c r="D516" s="1097">
        <v>0.98413531551350797</v>
      </c>
      <c r="E516" s="1097">
        <v>1.0046564311257338</v>
      </c>
      <c r="F516" s="1097">
        <v>1.0089434532553356</v>
      </c>
      <c r="G516" s="1097">
        <v>1.0012428788914198</v>
      </c>
      <c r="H516" s="1097">
        <v>0.97736131579601482</v>
      </c>
      <c r="I516" s="1097">
        <v>1.0150681259355538</v>
      </c>
      <c r="K516">
        <v>5.2156489473400596</v>
      </c>
      <c r="L516">
        <v>0</v>
      </c>
      <c r="M516">
        <v>3.5439556394647612E-3</v>
      </c>
      <c r="N516">
        <v>0.31171515429109226</v>
      </c>
      <c r="O516">
        <v>0.15013257664484994</v>
      </c>
      <c r="P516">
        <v>2.0584779739968483E-2</v>
      </c>
      <c r="Q516">
        <v>1.3135610226181474E-3</v>
      </c>
      <c r="R516">
        <v>3.5379920302333555E-3</v>
      </c>
      <c r="S516">
        <v>0.46873540632306776</v>
      </c>
      <c r="T516">
        <v>4.0304736493660061</v>
      </c>
      <c r="U516">
        <v>0</v>
      </c>
      <c r="V516">
        <v>1.130476720982382E-2</v>
      </c>
      <c r="W516">
        <v>0.18509315400977863</v>
      </c>
      <c r="X516">
        <v>2.6303226751730812E-2</v>
      </c>
      <c r="Y516">
        <v>9.9986355903529597E-3</v>
      </c>
    </row>
    <row r="517" spans="1:25" x14ac:dyDescent="0.25">
      <c r="A517" s="1093"/>
      <c r="B517" s="1452">
        <v>267</v>
      </c>
      <c r="C517" s="1097">
        <v>0.98259487769224263</v>
      </c>
      <c r="D517" s="1097">
        <v>0.99514368066660508</v>
      </c>
      <c r="E517" s="1097">
        <v>0.99668721168207086</v>
      </c>
      <c r="F517" s="1097">
        <v>0.97806310039970701</v>
      </c>
      <c r="G517" s="1097">
        <v>1.0292097523600741</v>
      </c>
      <c r="H517" s="1097">
        <v>0.99866738456893311</v>
      </c>
      <c r="I517" s="1097">
        <v>0.98892070944090249</v>
      </c>
      <c r="K517">
        <v>5.0787134316652915</v>
      </c>
      <c r="L517">
        <v>0</v>
      </c>
      <c r="M517">
        <v>3.6270795232726141E-3</v>
      </c>
      <c r="N517">
        <v>0.31157706635261567</v>
      </c>
      <c r="O517">
        <v>0.14808647725258531</v>
      </c>
      <c r="P517">
        <v>1.9854668136268155E-2</v>
      </c>
      <c r="Q517">
        <v>1.3254900272146311E-3</v>
      </c>
      <c r="R517">
        <v>3.6209179777839189E-3</v>
      </c>
      <c r="S517">
        <v>0.45704512522120239</v>
      </c>
      <c r="T517">
        <v>3.9080927586486225</v>
      </c>
      <c r="U517">
        <v>0</v>
      </c>
      <c r="V517">
        <v>1.1304767209823824E-2</v>
      </c>
      <c r="W517">
        <v>0.186009897747512</v>
      </c>
      <c r="X517">
        <v>2.5190351965704103E-2</v>
      </c>
      <c r="Y517">
        <v>1.0232990649227449E-2</v>
      </c>
    </row>
    <row r="518" spans="1:25" x14ac:dyDescent="0.25">
      <c r="A518" s="1093"/>
      <c r="B518" s="1452">
        <v>268</v>
      </c>
      <c r="C518" s="1097">
        <v>0.97952352784369634</v>
      </c>
      <c r="D518" s="1097">
        <v>0.9907252571661388</v>
      </c>
      <c r="E518" s="1097">
        <v>1.0063278743773905</v>
      </c>
      <c r="F518" s="1097">
        <v>0.9945745614181255</v>
      </c>
      <c r="G518" s="1097">
        <v>1.0073521689529013</v>
      </c>
      <c r="H518" s="1097">
        <v>1.0410249192127576</v>
      </c>
      <c r="I518" s="1097">
        <v>1.0063997897665238</v>
      </c>
      <c r="K518">
        <v>5.2085253868426111</v>
      </c>
      <c r="L518">
        <v>0</v>
      </c>
      <c r="M518">
        <v>3.7858977169805243E-3</v>
      </c>
      <c r="N518">
        <v>0.33467502583980963</v>
      </c>
      <c r="O518">
        <v>0.15105423656826514</v>
      </c>
      <c r="P518">
        <v>2.0406400741429159E-2</v>
      </c>
      <c r="Q518">
        <v>1.3430555296895597E-3</v>
      </c>
      <c r="R518">
        <v>3.7798303123517457E-3</v>
      </c>
      <c r="S518">
        <v>0.48171011512470152</v>
      </c>
      <c r="T518">
        <v>3.9728653879580049</v>
      </c>
      <c r="U518">
        <v>0</v>
      </c>
      <c r="V518">
        <v>1.1304767209823822E-2</v>
      </c>
      <c r="W518">
        <v>0.19850294419214157</v>
      </c>
      <c r="X518">
        <v>2.598743204427343E-2</v>
      </c>
      <c r="Y518">
        <v>1.0682089039098935E-2</v>
      </c>
    </row>
    <row r="519" spans="1:25" x14ac:dyDescent="0.25">
      <c r="A519" s="1093"/>
      <c r="B519" s="1452">
        <v>269</v>
      </c>
      <c r="C519" s="1097">
        <v>0.9740840382942062</v>
      </c>
      <c r="D519" s="1097">
        <v>1.0068462618907787</v>
      </c>
      <c r="E519" s="1097">
        <v>1.0159119519808117</v>
      </c>
      <c r="F519" s="1097">
        <v>0.99127830666835193</v>
      </c>
      <c r="G519" s="1097">
        <v>1.0045097990960126</v>
      </c>
      <c r="H519" s="1097">
        <v>1.0107753309774647</v>
      </c>
      <c r="I519" s="1097">
        <v>1.02335531913245</v>
      </c>
      <c r="K519">
        <v>5.1808110199553079</v>
      </c>
      <c r="L519">
        <v>0</v>
      </c>
      <c r="M519">
        <v>3.5872117280684552E-3</v>
      </c>
      <c r="N519">
        <v>0.32622017723584229</v>
      </c>
      <c r="O519">
        <v>0.15014923241640338</v>
      </c>
      <c r="P519">
        <v>2.0494473868358596E-2</v>
      </c>
      <c r="Q519">
        <v>1.3528528386543056E-3</v>
      </c>
      <c r="R519">
        <v>3.5812710376668358E-3</v>
      </c>
      <c r="S519">
        <v>0.48371631883019101</v>
      </c>
      <c r="T519">
        <v>3.9585118109545196</v>
      </c>
      <c r="U519">
        <v>0</v>
      </c>
      <c r="V519">
        <v>1.1304767209823803E-2</v>
      </c>
      <c r="W519">
        <v>0.19224824185577313</v>
      </c>
      <c r="X519">
        <v>2.669814006659061E-2</v>
      </c>
      <c r="Y519">
        <v>1.0120945369555885E-2</v>
      </c>
    </row>
    <row r="520" spans="1:25" x14ac:dyDescent="0.25">
      <c r="A520" s="1093"/>
      <c r="B520" s="1452">
        <v>270</v>
      </c>
      <c r="C520" s="1097">
        <v>1.0236785892549183</v>
      </c>
      <c r="D520" s="1097">
        <v>0.98298459315028486</v>
      </c>
      <c r="E520" s="1097">
        <v>0.9696054309422536</v>
      </c>
      <c r="F520" s="1097">
        <v>0.99610237600757945</v>
      </c>
      <c r="G520" s="1097">
        <v>1.0028549773969881</v>
      </c>
      <c r="H520" s="1097">
        <v>0.99438032929135556</v>
      </c>
      <c r="I520" s="1097">
        <v>1.0201899433881665</v>
      </c>
      <c r="K520">
        <v>5.134834953006882</v>
      </c>
      <c r="L520">
        <v>0</v>
      </c>
      <c r="M520">
        <v>3.7554535034169346E-3</v>
      </c>
      <c r="N520">
        <v>0.29770673675003889</v>
      </c>
      <c r="O520">
        <v>0.14621680958151309</v>
      </c>
      <c r="P520">
        <v>1.9799780102647692E-2</v>
      </c>
      <c r="Q520">
        <v>1.2489181985204203E-3</v>
      </c>
      <c r="R520">
        <v>3.749162215592715E-3</v>
      </c>
      <c r="S520">
        <v>0.4598563322744097</v>
      </c>
      <c r="T520">
        <v>3.9835868456810495</v>
      </c>
      <c r="U520">
        <v>0</v>
      </c>
      <c r="V520">
        <v>1.1304767209823817E-2</v>
      </c>
      <c r="W520">
        <v>0.18105073004636438</v>
      </c>
      <c r="X520">
        <v>2.3474905794076874E-2</v>
      </c>
      <c r="Y520">
        <v>1.0595418656259488E-2</v>
      </c>
    </row>
    <row r="521" spans="1:25" x14ac:dyDescent="0.25">
      <c r="A521" s="1093"/>
      <c r="B521" s="1452">
        <v>271</v>
      </c>
      <c r="C521" s="1097">
        <v>0.96838699326828215</v>
      </c>
      <c r="D521" s="1097">
        <v>1.0339868965144841</v>
      </c>
      <c r="E521" s="1097">
        <v>1.0042195778085141</v>
      </c>
      <c r="F521" s="1097">
        <v>0.99188537241367625</v>
      </c>
      <c r="G521" s="1097">
        <v>0.96677295588989121</v>
      </c>
      <c r="H521" s="1097">
        <v>1.0014993769043667</v>
      </c>
      <c r="I521" s="1097">
        <v>0.97856727549792077</v>
      </c>
      <c r="K521">
        <v>5.1506440664027693</v>
      </c>
      <c r="L521">
        <v>0</v>
      </c>
      <c r="M521">
        <v>3.6279019982350118E-3</v>
      </c>
      <c r="N521">
        <v>0.31869012522119755</v>
      </c>
      <c r="O521">
        <v>0.14985463822106512</v>
      </c>
      <c r="P521">
        <v>2.0233883257250684E-2</v>
      </c>
      <c r="Q521">
        <v>1.3330703991200914E-3</v>
      </c>
      <c r="R521">
        <v>3.6218419794882173E-3</v>
      </c>
      <c r="S521">
        <v>0.46137414470773103</v>
      </c>
      <c r="T521">
        <v>3.9623852247208604</v>
      </c>
      <c r="U521">
        <v>0</v>
      </c>
      <c r="V521">
        <v>1.130476720982382E-2</v>
      </c>
      <c r="W521">
        <v>0.18929053117595396</v>
      </c>
      <c r="X521">
        <v>2.5948139559920688E-2</v>
      </c>
      <c r="Y521">
        <v>1.023560194858799E-2</v>
      </c>
    </row>
    <row r="522" spans="1:25" x14ac:dyDescent="0.25">
      <c r="A522" s="1093"/>
      <c r="B522" s="1452">
        <v>272</v>
      </c>
      <c r="C522" s="1097">
        <v>1.0004070275937178</v>
      </c>
      <c r="D522" s="1097">
        <v>1.0253697107227215</v>
      </c>
      <c r="E522" s="1097">
        <v>1.0336297627523021</v>
      </c>
      <c r="F522" s="1097">
        <v>0.96753206204011033</v>
      </c>
      <c r="G522" s="1097">
        <v>0.9627032232170768</v>
      </c>
      <c r="H522" s="1097">
        <v>0.99001635368836793</v>
      </c>
      <c r="I522" s="1097">
        <v>1.030379860873665</v>
      </c>
      <c r="K522">
        <v>5.0145167031568603</v>
      </c>
      <c r="L522">
        <v>0</v>
      </c>
      <c r="M522">
        <v>3.1931507768254556E-3</v>
      </c>
      <c r="N522">
        <v>0.30598321527713701</v>
      </c>
      <c r="O522">
        <v>0.14118714163873522</v>
      </c>
      <c r="P522">
        <v>2.0194705125594372E-2</v>
      </c>
      <c r="Q522">
        <v>1.3273795733839749E-3</v>
      </c>
      <c r="R522">
        <v>3.1876195178224482E-3</v>
      </c>
      <c r="S522">
        <v>0.45918856013907244</v>
      </c>
      <c r="T522">
        <v>3.8615578495960987</v>
      </c>
      <c r="U522">
        <v>0</v>
      </c>
      <c r="V522">
        <v>1.1304767209823815E-2</v>
      </c>
      <c r="W522">
        <v>0.17821114077422789</v>
      </c>
      <c r="X522">
        <v>2.6559018961185343E-2</v>
      </c>
      <c r="Y522">
        <v>9.0084561206038374E-3</v>
      </c>
    </row>
    <row r="523" spans="1:25" x14ac:dyDescent="0.25">
      <c r="A523" s="1093"/>
      <c r="B523" s="1452">
        <v>273</v>
      </c>
      <c r="C523" s="1097">
        <v>1.0393926804705236</v>
      </c>
      <c r="D523" s="1097">
        <v>1.0206048632160774</v>
      </c>
      <c r="E523" s="1097">
        <v>0.99787489780390359</v>
      </c>
      <c r="F523" s="1097">
        <v>0.96635959866096166</v>
      </c>
      <c r="G523" s="1097">
        <v>0.99455136676048628</v>
      </c>
      <c r="H523" s="1097">
        <v>0.97089885872260173</v>
      </c>
      <c r="I523" s="1097">
        <v>1.0180258446337693</v>
      </c>
      <c r="K523">
        <v>4.9441766379423164</v>
      </c>
      <c r="L523">
        <v>0</v>
      </c>
      <c r="M523">
        <v>3.252455217215915E-3</v>
      </c>
      <c r="N523">
        <v>0.28036127376847231</v>
      </c>
      <c r="O523">
        <v>0.1368978719909992</v>
      </c>
      <c r="P523">
        <v>1.9551271021641673E-2</v>
      </c>
      <c r="Q523">
        <v>1.24172491625245E-3</v>
      </c>
      <c r="R523">
        <v>3.2467033351919845E-3</v>
      </c>
      <c r="S523">
        <v>0.4332592825810227</v>
      </c>
      <c r="T523">
        <v>3.8611842405623094</v>
      </c>
      <c r="U523">
        <v>0</v>
      </c>
      <c r="V523">
        <v>1.1304767209823825E-2</v>
      </c>
      <c r="W523">
        <v>0.16723968116279472</v>
      </c>
      <c r="X523">
        <v>2.3966845111693974E-2</v>
      </c>
      <c r="Y523">
        <v>9.1754314993262153E-3</v>
      </c>
    </row>
    <row r="524" spans="1:25" x14ac:dyDescent="0.25">
      <c r="A524" s="1093"/>
      <c r="B524" s="1452">
        <v>274</v>
      </c>
      <c r="C524" s="1097">
        <v>1.0205733165549982</v>
      </c>
      <c r="D524" s="1097">
        <v>1.0277002297241316</v>
      </c>
      <c r="E524" s="1097">
        <v>0.9867845311348078</v>
      </c>
      <c r="F524" s="1097">
        <v>0.98072632839401408</v>
      </c>
      <c r="G524" s="1097">
        <v>1.0056276305804597</v>
      </c>
      <c r="H524" s="1097">
        <v>1.0228466732475487</v>
      </c>
      <c r="I524" s="1097">
        <v>1.0061766378058083</v>
      </c>
      <c r="K524">
        <v>5.060482697932013</v>
      </c>
      <c r="L524">
        <v>0</v>
      </c>
      <c r="M524">
        <v>3.6150059310221675E-3</v>
      </c>
      <c r="N524">
        <v>0.30156871535447782</v>
      </c>
      <c r="O524">
        <v>0.14139683882724821</v>
      </c>
      <c r="P524">
        <v>1.9730280455701431E-2</v>
      </c>
      <c r="Q524">
        <v>1.2491345232472687E-3</v>
      </c>
      <c r="R524">
        <v>3.6090263195551549E-3</v>
      </c>
      <c r="S524">
        <v>0.45023435455897726</v>
      </c>
      <c r="T524">
        <v>3.9199584251903357</v>
      </c>
      <c r="U524">
        <v>0</v>
      </c>
      <c r="V524">
        <v>1.130476720982381E-2</v>
      </c>
      <c r="W524">
        <v>0.18125080491954199</v>
      </c>
      <c r="X524">
        <v>2.3595972588937034E-2</v>
      </c>
      <c r="Y524">
        <v>1.0199383915187805E-2</v>
      </c>
    </row>
    <row r="525" spans="1:25" x14ac:dyDescent="0.25">
      <c r="A525" s="1093"/>
      <c r="B525" s="1452">
        <v>275</v>
      </c>
      <c r="C525" s="1097">
        <v>1.0073462566617561</v>
      </c>
      <c r="D525" s="1097">
        <v>1.0321646249691314</v>
      </c>
      <c r="E525" s="1097">
        <v>1.025847573570603</v>
      </c>
      <c r="F525" s="1097">
        <v>0.98030330595604021</v>
      </c>
      <c r="G525" s="1097">
        <v>0.97724843017401108</v>
      </c>
      <c r="H525" s="1097">
        <v>0.99113224591714122</v>
      </c>
      <c r="I525" s="1097">
        <v>0.97266225429083331</v>
      </c>
      <c r="K525">
        <v>5.0426789058646078</v>
      </c>
      <c r="L525">
        <v>0</v>
      </c>
      <c r="M525">
        <v>3.2613265956220744E-3</v>
      </c>
      <c r="N525">
        <v>0.3054154553257139</v>
      </c>
      <c r="O525">
        <v>0.14189873348907212</v>
      </c>
      <c r="P525">
        <v>2.0208765133906442E-2</v>
      </c>
      <c r="Q525">
        <v>1.3061806996958899E-3</v>
      </c>
      <c r="R525">
        <v>3.2557569928102284E-3</v>
      </c>
      <c r="S525">
        <v>0.43486451233964607</v>
      </c>
      <c r="T525">
        <v>3.9134740699071195</v>
      </c>
      <c r="U525">
        <v>0</v>
      </c>
      <c r="V525">
        <v>1.1304767209823801E-2</v>
      </c>
      <c r="W525">
        <v>0.17879982614231885</v>
      </c>
      <c r="X525">
        <v>2.6211147393156543E-2</v>
      </c>
      <c r="Y525">
        <v>9.2010178269694293E-3</v>
      </c>
    </row>
    <row r="526" spans="1:25" x14ac:dyDescent="0.25">
      <c r="A526" s="1093"/>
      <c r="B526" s="1452">
        <v>276</v>
      </c>
      <c r="C526" s="1097">
        <v>1.0227541451649014</v>
      </c>
      <c r="D526" s="1097">
        <v>1.0177307179363093</v>
      </c>
      <c r="E526" s="1097">
        <v>1.0029843228876021</v>
      </c>
      <c r="F526" s="1097">
        <v>0.99657106410068286</v>
      </c>
      <c r="G526" s="1097">
        <v>1.027736577621285</v>
      </c>
      <c r="H526" s="1097">
        <v>0.97238160785486139</v>
      </c>
      <c r="I526" s="1097">
        <v>0.95266287247880266</v>
      </c>
      <c r="K526">
        <v>5.0873003095914671</v>
      </c>
      <c r="L526">
        <v>0</v>
      </c>
      <c r="M526">
        <v>3.3810058048780347E-3</v>
      </c>
      <c r="N526">
        <v>0.29590454062141675</v>
      </c>
      <c r="O526">
        <v>0.14349879048353781</v>
      </c>
      <c r="P526">
        <v>2.0127531707754647E-2</v>
      </c>
      <c r="Q526">
        <v>1.2688927930606742E-3</v>
      </c>
      <c r="R526">
        <v>3.3752163867917487E-3</v>
      </c>
      <c r="S526">
        <v>0.42325411681665742</v>
      </c>
      <c r="T526">
        <v>3.9812579292830121</v>
      </c>
      <c r="U526">
        <v>0</v>
      </c>
      <c r="V526">
        <v>1.1304767209823813E-2</v>
      </c>
      <c r="W526">
        <v>0.17590314741117752</v>
      </c>
      <c r="X526">
        <v>2.5247763488459304E-2</v>
      </c>
      <c r="Y526">
        <v>9.5386191946544904E-3</v>
      </c>
    </row>
    <row r="527" spans="1:25" x14ac:dyDescent="0.25">
      <c r="A527" s="1093"/>
      <c r="B527" s="1452">
        <v>277</v>
      </c>
      <c r="C527" s="1097">
        <v>1.0229624484123909</v>
      </c>
      <c r="D527" s="1097">
        <v>0.9883218974108694</v>
      </c>
      <c r="E527" s="1097">
        <v>1.0172677825415348</v>
      </c>
      <c r="F527" s="1097">
        <v>0.97838197590181375</v>
      </c>
      <c r="G527" s="1097">
        <v>0.98802256900758834</v>
      </c>
      <c r="H527" s="1097">
        <v>1.012684304507695</v>
      </c>
      <c r="I527" s="1097">
        <v>0.97262580663154552</v>
      </c>
      <c r="K527">
        <v>5.0439456234432329</v>
      </c>
      <c r="L527">
        <v>0</v>
      </c>
      <c r="M527">
        <v>3.3932693003441471E-3</v>
      </c>
      <c r="N527">
        <v>0.309817946963304</v>
      </c>
      <c r="O527">
        <v>0.14213065875216974</v>
      </c>
      <c r="P527">
        <v>2.0052169829700671E-2</v>
      </c>
      <c r="Q527">
        <v>1.2993092944325996E-3</v>
      </c>
      <c r="R527">
        <v>3.3875865788997607E-3</v>
      </c>
      <c r="S527">
        <v>0.43494071802308948</v>
      </c>
      <c r="T527">
        <v>3.9068471254826598</v>
      </c>
      <c r="U527">
        <v>0</v>
      </c>
      <c r="V527">
        <v>1.1304767209823818E-2</v>
      </c>
      <c r="W527">
        <v>0.18241670206814045</v>
      </c>
      <c r="X527">
        <v>2.5568330239381407E-2</v>
      </c>
      <c r="Y527">
        <v>9.5735783019712268E-3</v>
      </c>
    </row>
    <row r="528" spans="1:25" x14ac:dyDescent="0.25">
      <c r="A528" s="1093"/>
      <c r="B528" s="1452">
        <v>278</v>
      </c>
      <c r="C528" s="1097">
        <v>0.99450416862671498</v>
      </c>
      <c r="D528" s="1097">
        <v>0.99316412451454195</v>
      </c>
      <c r="E528" s="1097">
        <v>1.0374598653676397</v>
      </c>
      <c r="F528" s="1097">
        <v>1.004645040617584</v>
      </c>
      <c r="G528" s="1097">
        <v>1.0017009822732499</v>
      </c>
      <c r="H528" s="1097">
        <v>1.0259752619717777</v>
      </c>
      <c r="I528" s="1097">
        <v>0.98717962884144816</v>
      </c>
      <c r="K528">
        <v>5.2282310501771843</v>
      </c>
      <c r="L528">
        <v>0</v>
      </c>
      <c r="M528">
        <v>3.4723684896464865E-3</v>
      </c>
      <c r="N528">
        <v>0.33656801429146754</v>
      </c>
      <c r="O528">
        <v>0.14925955296464832</v>
      </c>
      <c r="P528">
        <v>2.0974069712108509E-2</v>
      </c>
      <c r="Q528">
        <v>1.3567594424935823E-3</v>
      </c>
      <c r="R528">
        <v>3.4667784345297119E-3</v>
      </c>
      <c r="S528">
        <v>0.46629530571931593</v>
      </c>
      <c r="T528">
        <v>4.0092060231673221</v>
      </c>
      <c r="U528">
        <v>0</v>
      </c>
      <c r="V528">
        <v>1.1304767209823806E-2</v>
      </c>
      <c r="W528">
        <v>0.19552960084472212</v>
      </c>
      <c r="X528">
        <v>2.7945166348408892E-2</v>
      </c>
      <c r="Y528">
        <v>9.7973805319936311E-3</v>
      </c>
    </row>
    <row r="529" spans="1:25" x14ac:dyDescent="0.25">
      <c r="A529" s="1093"/>
      <c r="B529" s="1452">
        <v>279</v>
      </c>
      <c r="C529" s="1097">
        <v>1.0236145720422489</v>
      </c>
      <c r="D529" s="1097">
        <v>1.0101767959691312</v>
      </c>
      <c r="E529" s="1097">
        <v>1.007207926732772</v>
      </c>
      <c r="F529" s="1097">
        <v>1.0015568240315393</v>
      </c>
      <c r="G529" s="1097">
        <v>0.99854929940069803</v>
      </c>
      <c r="H529" s="1097">
        <v>1.0347241770571609</v>
      </c>
      <c r="I529" s="1097">
        <v>1.0015295478158488</v>
      </c>
      <c r="K529">
        <v>5.1789500292173463</v>
      </c>
      <c r="L529">
        <v>0</v>
      </c>
      <c r="M529">
        <v>3.5913734230439069E-3</v>
      </c>
      <c r="N529">
        <v>0.31830796973736331</v>
      </c>
      <c r="O529">
        <v>0.14441094719355374</v>
      </c>
      <c r="P529">
        <v>2.0440542044577743E-2</v>
      </c>
      <c r="Q529">
        <v>1.2762062651228557E-3</v>
      </c>
      <c r="R529">
        <v>3.5856230240558528E-3</v>
      </c>
      <c r="S529">
        <v>0.45849253935881973</v>
      </c>
      <c r="T529">
        <v>4.0006459853087968</v>
      </c>
      <c r="U529">
        <v>0</v>
      </c>
      <c r="V529">
        <v>1.1304767209823813E-2</v>
      </c>
      <c r="W529">
        <v>0.1886835425932642</v>
      </c>
      <c r="X529">
        <v>2.5260035489659844E-2</v>
      </c>
      <c r="Y529">
        <v>1.0133244415349685E-2</v>
      </c>
    </row>
    <row r="530" spans="1:25" x14ac:dyDescent="0.25">
      <c r="A530" s="1093"/>
      <c r="B530" s="1452">
        <v>280</v>
      </c>
      <c r="C530" s="1097">
        <v>0.95451092213224198</v>
      </c>
      <c r="D530" s="1097">
        <v>1.0462000512062155</v>
      </c>
      <c r="E530" s="1097">
        <v>1.0026079652229531</v>
      </c>
      <c r="F530" s="1097">
        <v>0.99830903371848867</v>
      </c>
      <c r="G530" s="1097">
        <v>0.98561736801225575</v>
      </c>
      <c r="H530" s="1097">
        <v>0.99690465760874858</v>
      </c>
      <c r="I530" s="1097">
        <v>0.9841602175528984</v>
      </c>
      <c r="K530">
        <v>5.1950332170424005</v>
      </c>
      <c r="L530">
        <v>0</v>
      </c>
      <c r="M530">
        <v>3.6826482811545573E-3</v>
      </c>
      <c r="N530">
        <v>0.32195957591165902</v>
      </c>
      <c r="O530">
        <v>0.15234676978075057</v>
      </c>
      <c r="P530">
        <v>2.0373132758291789E-2</v>
      </c>
      <c r="Q530">
        <v>1.3442582248869464E-3</v>
      </c>
      <c r="R530">
        <v>3.6765081608365661E-3</v>
      </c>
      <c r="S530">
        <v>0.47138386712256308</v>
      </c>
      <c r="T530">
        <v>3.9882481529508214</v>
      </c>
      <c r="U530">
        <v>0</v>
      </c>
      <c r="V530">
        <v>1.1304767209823808E-2</v>
      </c>
      <c r="W530">
        <v>0.19144039862606246</v>
      </c>
      <c r="X530">
        <v>2.6248341827215443E-2</v>
      </c>
      <c r="Y530">
        <v>1.0390092750643931E-2</v>
      </c>
    </row>
    <row r="531" spans="1:25" x14ac:dyDescent="0.25">
      <c r="A531" s="1093"/>
      <c r="B531" s="1452">
        <v>281</v>
      </c>
      <c r="C531" s="1097">
        <v>1.0433684144357722</v>
      </c>
      <c r="D531" s="1097">
        <v>1.0047143859680503</v>
      </c>
      <c r="E531" s="1097">
        <v>0.9857803025691394</v>
      </c>
      <c r="F531" s="1097">
        <v>0.98049294428976119</v>
      </c>
      <c r="G531" s="1097">
        <v>0.95962968109289581</v>
      </c>
      <c r="H531" s="1097">
        <v>0.98712896710866993</v>
      </c>
      <c r="I531" s="1097">
        <v>0.99091384161421903</v>
      </c>
      <c r="K531">
        <v>5.0130118152459779</v>
      </c>
      <c r="L531">
        <v>0</v>
      </c>
      <c r="M531">
        <v>3.4500210019750613E-3</v>
      </c>
      <c r="N531">
        <v>0.28693216968965757</v>
      </c>
      <c r="O531">
        <v>0.1395577528603906</v>
      </c>
      <c r="P531">
        <v>1.9617720104264602E-2</v>
      </c>
      <c r="Q531">
        <v>1.2318794466963329E-3</v>
      </c>
      <c r="R531">
        <v>3.4441064000800101E-3</v>
      </c>
      <c r="S531">
        <v>0.42935658284419953</v>
      </c>
      <c r="T531">
        <v>3.9191500103385688</v>
      </c>
      <c r="U531">
        <v>0</v>
      </c>
      <c r="V531">
        <v>1.1304767209823804E-2</v>
      </c>
      <c r="W531">
        <v>0.17257203925741688</v>
      </c>
      <c r="X531">
        <v>2.3561500465146525E-2</v>
      </c>
      <c r="Y531">
        <v>9.7333076317108261E-3</v>
      </c>
    </row>
    <row r="532" spans="1:25" x14ac:dyDescent="0.25">
      <c r="A532" s="1093"/>
      <c r="B532" s="1452">
        <v>282</v>
      </c>
      <c r="C532" s="1097">
        <v>0.99893715091151403</v>
      </c>
      <c r="D532" s="1097">
        <v>0.99221896169496182</v>
      </c>
      <c r="E532" s="1097">
        <v>0.99636865941516395</v>
      </c>
      <c r="F532" s="1097">
        <v>0.95698770549486623</v>
      </c>
      <c r="G532" s="1097">
        <v>1.0394425758767638</v>
      </c>
      <c r="H532" s="1097">
        <v>0.96503860367780725</v>
      </c>
      <c r="I532" s="1097">
        <v>1.0195765183541317</v>
      </c>
      <c r="K532">
        <v>4.9452816141162836</v>
      </c>
      <c r="L532">
        <v>0</v>
      </c>
      <c r="M532">
        <v>3.3796788494649893E-3</v>
      </c>
      <c r="N532">
        <v>0.29002220786562366</v>
      </c>
      <c r="O532">
        <v>0.14270147280947329</v>
      </c>
      <c r="P532">
        <v>1.9432882666198255E-2</v>
      </c>
      <c r="Q532">
        <v>1.3049842598763192E-3</v>
      </c>
      <c r="R532">
        <v>3.3736068952794807E-3</v>
      </c>
      <c r="S532">
        <v>0.44926711201114899</v>
      </c>
      <c r="T532">
        <v>3.823919148791755</v>
      </c>
      <c r="U532">
        <v>0</v>
      </c>
      <c r="V532">
        <v>1.1304767209823817E-2</v>
      </c>
      <c r="W532">
        <v>0.17317912830631024</v>
      </c>
      <c r="X532">
        <v>2.4621911501496254E-2</v>
      </c>
      <c r="Y532">
        <v>9.5340706487619595E-3</v>
      </c>
    </row>
    <row r="533" spans="1:25" x14ac:dyDescent="0.25">
      <c r="A533" s="1093"/>
      <c r="B533" s="1452">
        <v>283</v>
      </c>
      <c r="C533" s="1097">
        <v>1.0140395783121001</v>
      </c>
      <c r="D533" s="1097">
        <v>1.0271212858197103</v>
      </c>
      <c r="E533" s="1097">
        <v>0.99168884431096493</v>
      </c>
      <c r="F533" s="1097">
        <v>0.97573396497061882</v>
      </c>
      <c r="G533" s="1097">
        <v>0.98470382993215466</v>
      </c>
      <c r="H533" s="1097">
        <v>1.0104399887822264</v>
      </c>
      <c r="I533" s="1097">
        <v>0.99251722781529683</v>
      </c>
      <c r="K533">
        <v>5.0291093008161116</v>
      </c>
      <c r="L533">
        <v>0</v>
      </c>
      <c r="M533">
        <v>3.54001913228069E-3</v>
      </c>
      <c r="N533">
        <v>0.29963064107512316</v>
      </c>
      <c r="O533">
        <v>0.1414854753637502</v>
      </c>
      <c r="P533">
        <v>1.9677312320404258E-2</v>
      </c>
      <c r="Q533">
        <v>1.2627994045341867E-3</v>
      </c>
      <c r="R533">
        <v>3.5340613829744189E-3</v>
      </c>
      <c r="S533">
        <v>0.44292736260959881</v>
      </c>
      <c r="T533">
        <v>3.8994001266790419</v>
      </c>
      <c r="U533">
        <v>0</v>
      </c>
      <c r="V533">
        <v>1.1304767209823806E-2</v>
      </c>
      <c r="W533">
        <v>0.17948566111983649</v>
      </c>
      <c r="X533">
        <v>2.3953585502198057E-2</v>
      </c>
      <c r="Y533">
        <v>9.9875272811084815E-3</v>
      </c>
    </row>
    <row r="534" spans="1:25" x14ac:dyDescent="0.25">
      <c r="A534" s="1093"/>
      <c r="B534" s="1452">
        <v>284</v>
      </c>
      <c r="C534" s="1097">
        <v>0.9875518658420096</v>
      </c>
      <c r="D534" s="1097">
        <v>0.95507302286701712</v>
      </c>
      <c r="E534" s="1097">
        <v>1.0148088755018352</v>
      </c>
      <c r="F534" s="1097">
        <v>1.0052902632874505</v>
      </c>
      <c r="G534" s="1097">
        <v>1.0128218689082791</v>
      </c>
      <c r="H534" s="1097">
        <v>0.9979323815688308</v>
      </c>
      <c r="I534" s="1097">
        <v>0.99037635019672798</v>
      </c>
      <c r="K534">
        <v>5.2311024423045733</v>
      </c>
      <c r="L534">
        <v>0</v>
      </c>
      <c r="M534">
        <v>3.6266665085007252E-3</v>
      </c>
      <c r="N534">
        <v>0.32873389738205883</v>
      </c>
      <c r="O534">
        <v>0.1534321170691432</v>
      </c>
      <c r="P534">
        <v>2.0671249216825064E-2</v>
      </c>
      <c r="Q534">
        <v>1.3616049506427164E-3</v>
      </c>
      <c r="R534">
        <v>3.620667833844468E-3</v>
      </c>
      <c r="S534">
        <v>0.46968917645779151</v>
      </c>
      <c r="T534">
        <v>4.0146045436545439</v>
      </c>
      <c r="U534">
        <v>0</v>
      </c>
      <c r="V534">
        <v>1.1304767209823808E-2</v>
      </c>
      <c r="W534">
        <v>0.19387262017579909</v>
      </c>
      <c r="X534">
        <v>2.7206181139246489E-2</v>
      </c>
      <c r="Y534">
        <v>1.0232283723356975E-2</v>
      </c>
    </row>
    <row r="535" spans="1:25" x14ac:dyDescent="0.25">
      <c r="A535" s="1093"/>
      <c r="B535" s="1452">
        <v>285</v>
      </c>
      <c r="C535" s="1097">
        <v>1.0255193066085815</v>
      </c>
      <c r="D535" s="1097">
        <v>0.98352901870980791</v>
      </c>
      <c r="E535" s="1097">
        <v>0.97787270291033823</v>
      </c>
      <c r="F535" s="1097">
        <v>0.96285190072428917</v>
      </c>
      <c r="G535" s="1097">
        <v>0.97192431605379859</v>
      </c>
      <c r="H535" s="1097">
        <v>1.0431787783234152</v>
      </c>
      <c r="I535" s="1097">
        <v>0.99099325841756403</v>
      </c>
      <c r="K535">
        <v>4.984474152499951</v>
      </c>
      <c r="L535">
        <v>0</v>
      </c>
      <c r="M535">
        <v>3.7354485232217694E-3</v>
      </c>
      <c r="N535">
        <v>0.30348569084684041</v>
      </c>
      <c r="O535">
        <v>0.14083374025870321</v>
      </c>
      <c r="P535">
        <v>1.9245883684596538E-2</v>
      </c>
      <c r="Q535">
        <v>1.2554131997535225E-3</v>
      </c>
      <c r="R535">
        <v>3.7292778406914817E-3</v>
      </c>
      <c r="S535">
        <v>0.44197488893234771</v>
      </c>
      <c r="T535">
        <v>3.8496006935836045</v>
      </c>
      <c r="U535">
        <v>0</v>
      </c>
      <c r="V535">
        <v>1.1304767209823822E-2</v>
      </c>
      <c r="W535">
        <v>0.18351830186013621</v>
      </c>
      <c r="X535">
        <v>2.2721719711982787E-2</v>
      </c>
      <c r="Y535">
        <v>1.0539223894688395E-2</v>
      </c>
    </row>
    <row r="536" spans="1:25" x14ac:dyDescent="0.25">
      <c r="A536" s="1093"/>
      <c r="B536" s="1452">
        <v>286</v>
      </c>
      <c r="C536" s="1097">
        <v>0.99935845830136005</v>
      </c>
      <c r="D536" s="1097">
        <v>0.96382594234867114</v>
      </c>
      <c r="E536" s="1097">
        <v>0.98196876217249951</v>
      </c>
      <c r="F536" s="1097">
        <v>0.97234011953812016</v>
      </c>
      <c r="G536" s="1097">
        <v>0.96918229841825576</v>
      </c>
      <c r="H536" s="1097">
        <v>0.97058257256297586</v>
      </c>
      <c r="I536" s="1097">
        <v>1.0264980568371871</v>
      </c>
      <c r="K536">
        <v>5.0370847667228427</v>
      </c>
      <c r="L536">
        <v>0</v>
      </c>
      <c r="M536">
        <v>3.5997425905159217E-3</v>
      </c>
      <c r="N536">
        <v>0.29600519675022458</v>
      </c>
      <c r="O536">
        <v>0.14701821410356058</v>
      </c>
      <c r="P536">
        <v>1.9562950844837328E-2</v>
      </c>
      <c r="Q536">
        <v>1.303373477711836E-3</v>
      </c>
      <c r="R536">
        <v>3.593413566581812E-3</v>
      </c>
      <c r="S536">
        <v>0.46184704964850226</v>
      </c>
      <c r="T536">
        <v>3.8870310081605082</v>
      </c>
      <c r="U536">
        <v>0</v>
      </c>
      <c r="V536">
        <v>1.1304767209823837E-2</v>
      </c>
      <c r="W536">
        <v>0.1784931910721792</v>
      </c>
      <c r="X536">
        <v>2.4370083396111998E-2</v>
      </c>
      <c r="Y536">
        <v>1.0155261083307837E-2</v>
      </c>
    </row>
    <row r="537" spans="1:25" x14ac:dyDescent="0.25">
      <c r="A537" s="1093"/>
      <c r="B537" s="1452">
        <v>287</v>
      </c>
      <c r="C537" s="1097">
        <v>0.99773327219204599</v>
      </c>
      <c r="D537" s="1097">
        <v>1.0171792024308608</v>
      </c>
      <c r="E537" s="1097">
        <v>1.0274195938135273</v>
      </c>
      <c r="F537" s="1097">
        <v>1.0165115136182541</v>
      </c>
      <c r="G537" s="1097">
        <v>0.96202001925584624</v>
      </c>
      <c r="H537" s="1097">
        <v>0.98204198084323924</v>
      </c>
      <c r="I537" s="1097">
        <v>0.97044597930897292</v>
      </c>
      <c r="K537">
        <v>5.2349035420624448</v>
      </c>
      <c r="L537">
        <v>0</v>
      </c>
      <c r="M537">
        <v>3.3914055479668075E-3</v>
      </c>
      <c r="N537">
        <v>0.31909141692146048</v>
      </c>
      <c r="O537">
        <v>0.14938484208604719</v>
      </c>
      <c r="P537">
        <v>2.0977577324056029E-2</v>
      </c>
      <c r="Q537">
        <v>1.3282612080321263E-3</v>
      </c>
      <c r="R537">
        <v>3.3857680608566651E-3</v>
      </c>
      <c r="S537">
        <v>0.45119456613821946</v>
      </c>
      <c r="T537">
        <v>4.0578229423645054</v>
      </c>
      <c r="U537">
        <v>0</v>
      </c>
      <c r="V537">
        <v>1.1304767209823808E-2</v>
      </c>
      <c r="W537">
        <v>0.18661132990860715</v>
      </c>
      <c r="X537">
        <v>2.7625037357661909E-2</v>
      </c>
      <c r="Y537">
        <v>9.5684390311441513E-3</v>
      </c>
    </row>
    <row r="538" spans="1:25" x14ac:dyDescent="0.25">
      <c r="A538" s="1093"/>
      <c r="B538" s="1452">
        <v>288</v>
      </c>
      <c r="C538" s="1097">
        <v>0.96048534489872095</v>
      </c>
      <c r="D538" s="1097">
        <v>0.98319363615013666</v>
      </c>
      <c r="E538" s="1097">
        <v>0.99982342429914117</v>
      </c>
      <c r="F538" s="1097">
        <v>1.0293257212323461</v>
      </c>
      <c r="G538" s="1097">
        <v>0.96650771375275168</v>
      </c>
      <c r="H538" s="1097">
        <v>1.0040864494400223</v>
      </c>
      <c r="I538" s="1097">
        <v>0.95880962471694853</v>
      </c>
      <c r="K538">
        <v>5.3620283995473432</v>
      </c>
      <c r="L538">
        <v>0</v>
      </c>
      <c r="M538">
        <v>3.9189654148918708E-3</v>
      </c>
      <c r="N538">
        <v>0.33982597065157355</v>
      </c>
      <c r="O538">
        <v>0.16011366622542353</v>
      </c>
      <c r="P538">
        <v>2.0913917980085177E-2</v>
      </c>
      <c r="Q538">
        <v>1.366241639582827E-3</v>
      </c>
      <c r="R538">
        <v>3.9126731859389632E-3</v>
      </c>
      <c r="S538">
        <v>0.4753204391888432</v>
      </c>
      <c r="T538">
        <v>4.1125195843992168</v>
      </c>
      <c r="U538">
        <v>0</v>
      </c>
      <c r="V538">
        <v>1.1304767209823818E-2</v>
      </c>
      <c r="W538">
        <v>0.20244426471700938</v>
      </c>
      <c r="X538">
        <v>2.7168326622805983E-2</v>
      </c>
      <c r="Y538">
        <v>1.1057513141930032E-2</v>
      </c>
    </row>
    <row r="539" spans="1:25" x14ac:dyDescent="0.25">
      <c r="A539" s="1093"/>
      <c r="B539" s="1452">
        <v>289</v>
      </c>
      <c r="C539" s="1097">
        <v>1.0335122345681609</v>
      </c>
      <c r="D539" s="1097">
        <v>0.97798855241478133</v>
      </c>
      <c r="E539" s="1097">
        <v>1.0206011717246042</v>
      </c>
      <c r="F539" s="1097">
        <v>0.97264126057596823</v>
      </c>
      <c r="G539" s="1097">
        <v>1.0279140485676437</v>
      </c>
      <c r="H539" s="1097">
        <v>0.98001853752825452</v>
      </c>
      <c r="I539" s="1097">
        <v>1.0277709065998368</v>
      </c>
      <c r="K539">
        <v>5.010633257978756</v>
      </c>
      <c r="L539">
        <v>0</v>
      </c>
      <c r="M539">
        <v>3.2221038819245005E-3</v>
      </c>
      <c r="N539">
        <v>0.29708618324982833</v>
      </c>
      <c r="O539">
        <v>0.14035547415408448</v>
      </c>
      <c r="P539">
        <v>2.0052323546180098E-2</v>
      </c>
      <c r="Q539">
        <v>1.2951150295153382E-3</v>
      </c>
      <c r="R539">
        <v>3.2164950971642924E-3</v>
      </c>
      <c r="S539">
        <v>0.44767179267954127</v>
      </c>
      <c r="T539">
        <v>3.8835200334798414</v>
      </c>
      <c r="U539">
        <v>0</v>
      </c>
      <c r="V539">
        <v>1.1304767209823804E-2</v>
      </c>
      <c r="W539">
        <v>0.1745317720331219</v>
      </c>
      <c r="X539">
        <v>2.5731344669213556E-2</v>
      </c>
      <c r="Y539">
        <v>9.0900607123700853E-3</v>
      </c>
    </row>
    <row r="540" spans="1:25" x14ac:dyDescent="0.25">
      <c r="A540" s="1093"/>
      <c r="B540" s="1452">
        <v>290</v>
      </c>
      <c r="C540" s="1097">
        <v>1.0363740477863335</v>
      </c>
      <c r="D540" s="1097">
        <v>1.0249171406947344</v>
      </c>
      <c r="E540" s="1097">
        <v>1.0127743145691057</v>
      </c>
      <c r="F540" s="1097">
        <v>0.98845182989891389</v>
      </c>
      <c r="G540" s="1097">
        <v>0.97765873104627954</v>
      </c>
      <c r="H540" s="1097">
        <v>1.0083707923811929</v>
      </c>
      <c r="I540" s="1097">
        <v>1.0123674431001422</v>
      </c>
      <c r="K540">
        <v>5.081869152208756</v>
      </c>
      <c r="L540">
        <v>0</v>
      </c>
      <c r="M540">
        <v>3.3523569658848061E-3</v>
      </c>
      <c r="N540">
        <v>0.30204181006857306</v>
      </c>
      <c r="O540">
        <v>0.13980703702526168</v>
      </c>
      <c r="P540">
        <v>2.0227114948387932E-2</v>
      </c>
      <c r="Q540">
        <v>1.2591659505384943E-3</v>
      </c>
      <c r="R540">
        <v>3.3467760875387927E-3</v>
      </c>
      <c r="S540">
        <v>0.44669222501766914</v>
      </c>
      <c r="T540">
        <v>3.9476114841312757</v>
      </c>
      <c r="U540">
        <v>0</v>
      </c>
      <c r="V540">
        <v>1.1304767209823811E-2</v>
      </c>
      <c r="W540">
        <v>0.17837365198946983</v>
      </c>
      <c r="X540">
        <v>2.5099232008447457E-2</v>
      </c>
      <c r="Y540">
        <v>9.4582447376515104E-3</v>
      </c>
    </row>
    <row r="541" spans="1:25" x14ac:dyDescent="0.25">
      <c r="A541" s="1093"/>
      <c r="B541" s="1452">
        <v>291</v>
      </c>
      <c r="C541" s="1097">
        <v>1.0005318560970853</v>
      </c>
      <c r="D541" s="1097">
        <v>1.0101801455987682</v>
      </c>
      <c r="E541" s="1097">
        <v>1.0054258972768702</v>
      </c>
      <c r="F541" s="1097">
        <v>1.0440302747218941</v>
      </c>
      <c r="G541" s="1097">
        <v>1.0122708684567026</v>
      </c>
      <c r="H541" s="1097">
        <v>0.98572752570253841</v>
      </c>
      <c r="I541" s="1097">
        <v>1.0312842622652705</v>
      </c>
      <c r="K541">
        <v>5.4007808720268082</v>
      </c>
      <c r="L541">
        <v>0</v>
      </c>
      <c r="M541">
        <v>3.6621612345044802E-3</v>
      </c>
      <c r="N541">
        <v>0.32286981508935503</v>
      </c>
      <c r="O541">
        <v>0.15405930592802713</v>
      </c>
      <c r="P541">
        <v>2.1335036413846389E-2</v>
      </c>
      <c r="Q541">
        <v>1.3036626290514552E-3</v>
      </c>
      <c r="R541">
        <v>3.6562560378759212E-3</v>
      </c>
      <c r="S541">
        <v>0.49039784280149518</v>
      </c>
      <c r="T541">
        <v>4.1705359946503755</v>
      </c>
      <c r="U541">
        <v>0</v>
      </c>
      <c r="V541">
        <v>1.130476720982381E-2</v>
      </c>
      <c r="W541">
        <v>0.19161733470390235</v>
      </c>
      <c r="X541">
        <v>2.7030159092581069E-2</v>
      </c>
      <c r="Y541">
        <v>1.0332858704980708E-2</v>
      </c>
    </row>
    <row r="542" spans="1:25" x14ac:dyDescent="0.25">
      <c r="A542" s="1093"/>
      <c r="B542" s="1452">
        <v>292</v>
      </c>
      <c r="C542" s="1097">
        <v>1.0178781527126386</v>
      </c>
      <c r="D542" s="1097">
        <v>0.99012795029755596</v>
      </c>
      <c r="E542" s="1097">
        <v>0.99911505857393423</v>
      </c>
      <c r="F542" s="1097">
        <v>0.99137478987390115</v>
      </c>
      <c r="G542" s="1097">
        <v>0.97438716372354317</v>
      </c>
      <c r="H542" s="1097">
        <v>1.0239562829384616</v>
      </c>
      <c r="I542" s="1097">
        <v>0.97849482839606761</v>
      </c>
      <c r="K542">
        <v>5.1213075467163485</v>
      </c>
      <c r="L542">
        <v>0</v>
      </c>
      <c r="M542">
        <v>3.627567032967158E-3</v>
      </c>
      <c r="N542">
        <v>0.31388922008428299</v>
      </c>
      <c r="O542">
        <v>0.14512598912642305</v>
      </c>
      <c r="P542">
        <v>2.0083056751384023E-2</v>
      </c>
      <c r="Q542">
        <v>1.2848067721384937E-3</v>
      </c>
      <c r="R542">
        <v>3.621637419606508E-3</v>
      </c>
      <c r="S542">
        <v>0.44648380111300101</v>
      </c>
      <c r="T542">
        <v>3.9609804101785779</v>
      </c>
      <c r="U542">
        <v>0</v>
      </c>
      <c r="V542">
        <v>1.1304767209823806E-2</v>
      </c>
      <c r="W542">
        <v>0.1870825638154964</v>
      </c>
      <c r="X542">
        <v>2.4843837431840446E-2</v>
      </c>
      <c r="Y542">
        <v>1.0235023846744866E-2</v>
      </c>
    </row>
    <row r="543" spans="1:25" x14ac:dyDescent="0.25">
      <c r="A543" s="1093"/>
      <c r="B543" s="1452">
        <v>293</v>
      </c>
      <c r="C543" s="1097">
        <v>0.98676540293627535</v>
      </c>
      <c r="D543" s="1097">
        <v>1.0153883762083051</v>
      </c>
      <c r="E543" s="1097">
        <v>0.97761148977460433</v>
      </c>
      <c r="F543" s="1097">
        <v>0.97242079029363671</v>
      </c>
      <c r="G543" s="1097">
        <v>0.99234786335479008</v>
      </c>
      <c r="H543" s="1097">
        <v>0.99889928057817823</v>
      </c>
      <c r="I543" s="1097">
        <v>1.0109278955098016</v>
      </c>
      <c r="K543">
        <v>5.0444902691744504</v>
      </c>
      <c r="L543">
        <v>0</v>
      </c>
      <c r="M543">
        <v>3.7087117811185296E-3</v>
      </c>
      <c r="N543">
        <v>0.30106299666893999</v>
      </c>
      <c r="O543">
        <v>0.14595351493053971</v>
      </c>
      <c r="P543">
        <v>1.9499285042662743E-2</v>
      </c>
      <c r="Q543">
        <v>1.2878936416334829E-3</v>
      </c>
      <c r="R543">
        <v>3.7023765393164139E-3</v>
      </c>
      <c r="S543">
        <v>0.46120087411337335</v>
      </c>
      <c r="T543">
        <v>3.8878905189221715</v>
      </c>
      <c r="U543">
        <v>0</v>
      </c>
      <c r="V543">
        <v>1.1304767209823827E-2</v>
      </c>
      <c r="W543">
        <v>0.18208592904931628</v>
      </c>
      <c r="X543">
        <v>2.3747626074603446E-2</v>
      </c>
      <c r="Y543">
        <v>1.0463198763185249E-2</v>
      </c>
    </row>
    <row r="544" spans="1:25" x14ac:dyDescent="0.25">
      <c r="A544" s="1093"/>
      <c r="B544" s="1452">
        <v>294</v>
      </c>
      <c r="C544" s="1097">
        <v>1.0092437686686364</v>
      </c>
      <c r="D544" s="1097">
        <v>1.0347006698527252</v>
      </c>
      <c r="E544" s="1097">
        <v>1.0410901372870673</v>
      </c>
      <c r="F544" s="1097">
        <v>0.98061398836489089</v>
      </c>
      <c r="G544" s="1097">
        <v>1.0114175436332875</v>
      </c>
      <c r="H544" s="1097">
        <v>0.9788928016995474</v>
      </c>
      <c r="I544" s="1097">
        <v>0.97841462327971174</v>
      </c>
      <c r="K544">
        <v>5.0386626925545119</v>
      </c>
      <c r="L544">
        <v>0</v>
      </c>
      <c r="M544">
        <v>3.1108582691840862E-3</v>
      </c>
      <c r="N544">
        <v>0.3047428291353248</v>
      </c>
      <c r="O544">
        <v>0.14113106315112428</v>
      </c>
      <c r="P544">
        <v>2.0427804080733879E-2</v>
      </c>
      <c r="Q544">
        <v>1.3192098501060509E-3</v>
      </c>
      <c r="R544">
        <v>3.1054809075389696E-3</v>
      </c>
      <c r="S544">
        <v>0.43437233293287936</v>
      </c>
      <c r="T544">
        <v>3.9128673928226978</v>
      </c>
      <c r="U544">
        <v>0</v>
      </c>
      <c r="V544">
        <v>1.130476720982381E-2</v>
      </c>
      <c r="W544">
        <v>0.17661820413581661</v>
      </c>
      <c r="X544">
        <v>2.7108140460696605E-2</v>
      </c>
      <c r="Y544">
        <v>8.7763261369564888E-3</v>
      </c>
    </row>
    <row r="545" spans="1:25" x14ac:dyDescent="0.25">
      <c r="A545" s="1093"/>
      <c r="B545" s="1452">
        <v>295</v>
      </c>
      <c r="C545" s="1097">
        <v>1.0074835068950037</v>
      </c>
      <c r="D545" s="1097">
        <v>1.0127435982176751</v>
      </c>
      <c r="E545" s="1097">
        <v>0.97697480024838457</v>
      </c>
      <c r="F545" s="1097">
        <v>0.96366332804522525</v>
      </c>
      <c r="G545" s="1097">
        <v>0.97071684333706088</v>
      </c>
      <c r="H545" s="1097">
        <v>1.0005001431465739</v>
      </c>
      <c r="I545" s="1097">
        <v>1.0106309721115523</v>
      </c>
      <c r="K545">
        <v>4.9786849047752533</v>
      </c>
      <c r="L545">
        <v>0</v>
      </c>
      <c r="M545">
        <v>3.6141456244344764E-3</v>
      </c>
      <c r="N545">
        <v>0.29282876133369895</v>
      </c>
      <c r="O545">
        <v>0.14182941546361777</v>
      </c>
      <c r="P545">
        <v>1.9277826409382377E-2</v>
      </c>
      <c r="Q545">
        <v>1.2620268806943155E-3</v>
      </c>
      <c r="R545">
        <v>3.6079258809576633E-3</v>
      </c>
      <c r="S545">
        <v>0.44870644513438707</v>
      </c>
      <c r="T545">
        <v>3.8529546674102062</v>
      </c>
      <c r="U545">
        <v>0</v>
      </c>
      <c r="V545">
        <v>1.1304767209823825E-2</v>
      </c>
      <c r="W545">
        <v>0.17718319679565886</v>
      </c>
      <c r="X545">
        <v>2.3147743889557881E-2</v>
      </c>
      <c r="Y545">
        <v>1.0196273991696779E-2</v>
      </c>
    </row>
    <row r="546" spans="1:25" x14ac:dyDescent="0.25">
      <c r="A546" s="1093"/>
      <c r="B546" s="1452">
        <v>296</v>
      </c>
      <c r="C546" s="1097">
        <v>0.9764448830013589</v>
      </c>
      <c r="D546" s="1097">
        <v>1.0137631137263394</v>
      </c>
      <c r="E546" s="1097">
        <v>1.0214992103031015</v>
      </c>
      <c r="F546" s="1097">
        <v>0.97889050627094965</v>
      </c>
      <c r="G546" s="1097">
        <v>1.03254056647978</v>
      </c>
      <c r="H546" s="1097">
        <v>1.0079299226496445</v>
      </c>
      <c r="I546" s="1097">
        <v>1.0140747814842623</v>
      </c>
      <c r="K546">
        <v>5.1066824423837867</v>
      </c>
      <c r="L546">
        <v>0</v>
      </c>
      <c r="M546">
        <v>3.4730825525273019E-3</v>
      </c>
      <c r="N546">
        <v>0.32109791175235358</v>
      </c>
      <c r="O546">
        <v>0.14735474285707353</v>
      </c>
      <c r="P546">
        <v>2.0292661200717672E-2</v>
      </c>
      <c r="Q546">
        <v>1.3522748203676472E-3</v>
      </c>
      <c r="R546">
        <v>3.4672417624630903E-3</v>
      </c>
      <c r="S546">
        <v>0.47198348233256193</v>
      </c>
      <c r="T546">
        <v>3.9083624770341023</v>
      </c>
      <c r="U546">
        <v>0</v>
      </c>
      <c r="V546">
        <v>1.1304767209823813E-2</v>
      </c>
      <c r="W546">
        <v>0.18852530563185574</v>
      </c>
      <c r="X546">
        <v>2.6615970402886796E-2</v>
      </c>
      <c r="Y546">
        <v>9.7986899321067713E-3</v>
      </c>
    </row>
    <row r="547" spans="1:25" x14ac:dyDescent="0.25">
      <c r="A547" s="1093"/>
      <c r="B547" s="1452">
        <v>297</v>
      </c>
      <c r="C547" s="1097">
        <v>1.0117257469158805</v>
      </c>
      <c r="D547" s="1097">
        <v>0.97725216428473261</v>
      </c>
      <c r="E547" s="1097">
        <v>1.0268979128994944</v>
      </c>
      <c r="F547" s="1097">
        <v>1.0022119489504415</v>
      </c>
      <c r="G547" s="1097">
        <v>0.97275246037048135</v>
      </c>
      <c r="H547" s="1097">
        <v>0.97375034713249742</v>
      </c>
      <c r="I547" s="1097">
        <v>0.99354634058342617</v>
      </c>
      <c r="K547">
        <v>5.165854461930409</v>
      </c>
      <c r="L547">
        <v>0</v>
      </c>
      <c r="M547">
        <v>3.3261495305256694E-3</v>
      </c>
      <c r="N547">
        <v>0.31245729542604755</v>
      </c>
      <c r="O547">
        <v>0.14760617287397382</v>
      </c>
      <c r="P547">
        <v>2.0709549296129576E-2</v>
      </c>
      <c r="Q547">
        <v>1.3304563190954461E-3</v>
      </c>
      <c r="R547">
        <v>3.3204940092090092E-3</v>
      </c>
      <c r="S547">
        <v>0.45214928762500778</v>
      </c>
      <c r="T547">
        <v>4.0008051620072269</v>
      </c>
      <c r="U547">
        <v>0</v>
      </c>
      <c r="V547">
        <v>1.1304767209823811E-2</v>
      </c>
      <c r="W547">
        <v>0.18279482496031066</v>
      </c>
      <c r="X547">
        <v>2.7318632156360514E-2</v>
      </c>
      <c r="Y547">
        <v>9.3839695777497793E-3</v>
      </c>
    </row>
    <row r="548" spans="1:25" x14ac:dyDescent="0.25">
      <c r="A548" s="1093"/>
      <c r="B548" s="1452">
        <v>298</v>
      </c>
      <c r="C548" s="1097">
        <v>0.99159202259060997</v>
      </c>
      <c r="D548" s="1097">
        <v>0.991805273232785</v>
      </c>
      <c r="E548" s="1097">
        <v>1.0100721827080457</v>
      </c>
      <c r="F548" s="1097">
        <v>1.0401067188840585</v>
      </c>
      <c r="G548" s="1097">
        <v>0.99998037930137951</v>
      </c>
      <c r="H548" s="1097">
        <v>0.96902440135417944</v>
      </c>
      <c r="I548" s="1097">
        <v>1.0105539201422526</v>
      </c>
      <c r="K548">
        <v>5.377179833554818</v>
      </c>
      <c r="L548">
        <v>0</v>
      </c>
      <c r="M548">
        <v>3.610065068167584E-3</v>
      </c>
      <c r="N548">
        <v>0.32267523770181489</v>
      </c>
      <c r="O548">
        <v>0.15586927100932207</v>
      </c>
      <c r="P548">
        <v>2.1294160947344053E-2</v>
      </c>
      <c r="Q548">
        <v>1.330371538959359E-3</v>
      </c>
      <c r="R548">
        <v>3.6041212339313644E-3</v>
      </c>
      <c r="S548">
        <v>0.48171079426374436</v>
      </c>
      <c r="T548">
        <v>4.1542582235832155</v>
      </c>
      <c r="U548">
        <v>0</v>
      </c>
      <c r="V548">
        <v>1.1304767209823817E-2</v>
      </c>
      <c r="W548">
        <v>0.19090456609508333</v>
      </c>
      <c r="X548">
        <v>2.7652863271013736E-2</v>
      </c>
      <c r="Y548">
        <v>1.0185521768729399E-2</v>
      </c>
    </row>
    <row r="549" spans="1:25" x14ac:dyDescent="0.25">
      <c r="A549" s="1093"/>
      <c r="B549" s="1452">
        <v>299</v>
      </c>
      <c r="C549" s="1097">
        <v>0.99509780215206711</v>
      </c>
      <c r="D549" s="1097">
        <v>0.98924349207565099</v>
      </c>
      <c r="E549" s="1097">
        <v>1.013542125274999</v>
      </c>
      <c r="F549" s="1097">
        <v>1.0029256323681897</v>
      </c>
      <c r="G549" s="1097">
        <v>1.0340775897434118</v>
      </c>
      <c r="H549" s="1097">
        <v>0.97926997155753859</v>
      </c>
      <c r="I549" s="1097">
        <v>0.99836259304892061</v>
      </c>
      <c r="K549">
        <v>5.1873462999558022</v>
      </c>
      <c r="L549">
        <v>0</v>
      </c>
      <c r="M549">
        <v>3.4836656571769929E-3</v>
      </c>
      <c r="N549">
        <v>0.31457887356358538</v>
      </c>
      <c r="O549">
        <v>0.14982508085698593</v>
      </c>
      <c r="P549">
        <v>2.0574673992070511E-2</v>
      </c>
      <c r="Q549">
        <v>1.3309794728954358E-3</v>
      </c>
      <c r="R549">
        <v>3.4777798790535824E-3</v>
      </c>
      <c r="S549">
        <v>0.46214736455675887</v>
      </c>
      <c r="T549">
        <v>4.0053198857041519</v>
      </c>
      <c r="U549">
        <v>0</v>
      </c>
      <c r="V549">
        <v>1.1304767209823827E-2</v>
      </c>
      <c r="W549">
        <v>0.1856820056258395</v>
      </c>
      <c r="X549">
        <v>2.6760083297670226E-2</v>
      </c>
      <c r="Y549">
        <v>9.8284714541386452E-3</v>
      </c>
    </row>
    <row r="550" spans="1:25" x14ac:dyDescent="0.25">
      <c r="A550" s="1093"/>
      <c r="B550" s="1452">
        <v>300</v>
      </c>
      <c r="C550" s="1097">
        <v>0.97580924978654249</v>
      </c>
      <c r="D550" s="1097">
        <v>0.95803365570578336</v>
      </c>
      <c r="E550" s="1097">
        <v>1.0111729372800298</v>
      </c>
      <c r="F550" s="1097">
        <v>0.9978025304310878</v>
      </c>
      <c r="G550" s="1097">
        <v>0.98911882226830228</v>
      </c>
      <c r="H550" s="1097">
        <v>0.9709847185298095</v>
      </c>
      <c r="I550" s="1097">
        <v>0.97616363993471678</v>
      </c>
      <c r="K550">
        <v>5.1787519959481303</v>
      </c>
      <c r="L550">
        <v>0</v>
      </c>
      <c r="M550">
        <v>3.5675227519392436E-3</v>
      </c>
      <c r="N550">
        <v>0.31989237374571294</v>
      </c>
      <c r="O550">
        <v>0.15403651695176193</v>
      </c>
      <c r="P550">
        <v>2.043731211512494E-2</v>
      </c>
      <c r="Q550">
        <v>1.372038334890868E-3</v>
      </c>
      <c r="R550">
        <v>3.5614127034897126E-3</v>
      </c>
      <c r="S550">
        <v>0.46018964651951139</v>
      </c>
      <c r="T550">
        <v>3.9851551578076654</v>
      </c>
      <c r="U550">
        <v>0</v>
      </c>
      <c r="V550">
        <v>1.1304767209823806E-2</v>
      </c>
      <c r="W550">
        <v>0.18911839722104856</v>
      </c>
      <c r="X550">
        <v>2.718707188998272E-2</v>
      </c>
      <c r="Y550">
        <v>1.006482420105924E-2</v>
      </c>
    </row>
    <row r="551" spans="1:25" x14ac:dyDescent="0.25">
      <c r="A551" s="1093"/>
      <c r="B551" s="1452">
        <v>301</v>
      </c>
      <c r="C551" s="1097">
        <v>1.0244143735071354</v>
      </c>
      <c r="D551" s="1097">
        <v>0.99614243433179761</v>
      </c>
      <c r="E551" s="1097">
        <v>1.01547126072174</v>
      </c>
      <c r="F551" s="1097">
        <v>0.98112959055623661</v>
      </c>
      <c r="G551" s="1097">
        <v>1.0347219368659517</v>
      </c>
      <c r="H551" s="1097">
        <v>1.0050813847944589</v>
      </c>
      <c r="I551" s="1097">
        <v>1.0273308302368169</v>
      </c>
      <c r="K551">
        <v>5.0726376165028091</v>
      </c>
      <c r="L551">
        <v>0</v>
      </c>
      <c r="M551">
        <v>3.3746083166054292E-3</v>
      </c>
      <c r="N551">
        <v>0.30647792291585357</v>
      </c>
      <c r="O551">
        <v>0.14192776205149116</v>
      </c>
      <c r="P551">
        <v>2.0181925813074444E-2</v>
      </c>
      <c r="Q551">
        <v>1.2914143541255803E-3</v>
      </c>
      <c r="R551">
        <v>3.3689300158142015E-3</v>
      </c>
      <c r="S551">
        <v>0.45769896859168729</v>
      </c>
      <c r="T551">
        <v>3.9180384161784976</v>
      </c>
      <c r="U551">
        <v>0</v>
      </c>
      <c r="V551">
        <v>1.130476720982381E-2</v>
      </c>
      <c r="W551">
        <v>0.18066696179516853</v>
      </c>
      <c r="X551">
        <v>2.5534302463547223E-2</v>
      </c>
      <c r="Y551">
        <v>9.5208534303302256E-3</v>
      </c>
    </row>
    <row r="552" spans="1:25" x14ac:dyDescent="0.25">
      <c r="A552" s="1093"/>
      <c r="B552" s="1452">
        <v>302</v>
      </c>
      <c r="C552" s="1097">
        <v>0.976819885438163</v>
      </c>
      <c r="D552" s="1097">
        <v>0.96456159064334901</v>
      </c>
      <c r="E552" s="1097">
        <v>0.95526470216227999</v>
      </c>
      <c r="F552" s="1097">
        <v>1.0130020424501307</v>
      </c>
      <c r="G552" s="1097">
        <v>0.98548640210478977</v>
      </c>
      <c r="H552" s="1097">
        <v>1.027163297890721</v>
      </c>
      <c r="I552" s="1097">
        <v>1.0018369636470268</v>
      </c>
      <c r="K552">
        <v>5.293503278975872</v>
      </c>
      <c r="L552">
        <v>0</v>
      </c>
      <c r="M552">
        <v>4.292568843288898E-3</v>
      </c>
      <c r="N552">
        <v>0.32611699278208423</v>
      </c>
      <c r="O552">
        <v>0.15743387563068298</v>
      </c>
      <c r="P552">
        <v>2.0011931521606182E-2</v>
      </c>
      <c r="Q552">
        <v>1.3022744141452315E-3</v>
      </c>
      <c r="R552">
        <v>4.2857232169461251E-3</v>
      </c>
      <c r="S552">
        <v>0.48823341599780762</v>
      </c>
      <c r="T552">
        <v>4.0530275002474081</v>
      </c>
      <c r="U552">
        <v>0</v>
      </c>
      <c r="V552">
        <v>1.1304767209823824E-2</v>
      </c>
      <c r="W552">
        <v>0.20031047731234775</v>
      </c>
      <c r="X552">
        <v>2.3657108475727058E-2</v>
      </c>
      <c r="Y552">
        <v>1.2111781010578807E-2</v>
      </c>
    </row>
    <row r="553" spans="1:25" x14ac:dyDescent="0.25">
      <c r="A553" s="1093"/>
      <c r="B553" s="1452">
        <v>303</v>
      </c>
      <c r="C553" s="1097">
        <v>0.9854813682497896</v>
      </c>
      <c r="D553" s="1097">
        <v>1.0034308491754613</v>
      </c>
      <c r="E553" s="1097">
        <v>1.0344502485784139</v>
      </c>
      <c r="F553" s="1097">
        <v>1.0302576071905798</v>
      </c>
      <c r="G553" s="1097">
        <v>0.97987101277166433</v>
      </c>
      <c r="H553" s="1097">
        <v>0.99333503417963243</v>
      </c>
      <c r="I553" s="1097">
        <v>1.0038635626420362</v>
      </c>
      <c r="K553">
        <v>5.3497999835838073</v>
      </c>
      <c r="L553">
        <v>0</v>
      </c>
      <c r="M553">
        <v>3.4868974902180355E-3</v>
      </c>
      <c r="N553">
        <v>0.33497984113467399</v>
      </c>
      <c r="O553">
        <v>0.15391957363222514</v>
      </c>
      <c r="P553">
        <v>2.1477373289781106E-2</v>
      </c>
      <c r="Q553">
        <v>1.3601272045737972E-3</v>
      </c>
      <c r="R553">
        <v>3.481243497463597E-3</v>
      </c>
      <c r="S553">
        <v>0.48136544960664512</v>
      </c>
      <c r="T553">
        <v>4.1117999839869697</v>
      </c>
      <c r="U553">
        <v>0</v>
      </c>
      <c r="V553">
        <v>1.130476720982382E-2</v>
      </c>
      <c r="W553">
        <v>0.19499369015481516</v>
      </c>
      <c r="X553">
        <v>2.8766571452851095E-2</v>
      </c>
      <c r="Y553">
        <v>9.8382599042001005E-3</v>
      </c>
    </row>
    <row r="554" spans="1:25" x14ac:dyDescent="0.25">
      <c r="A554" s="1093"/>
      <c r="B554" s="1452">
        <v>304</v>
      </c>
      <c r="C554" s="1097">
        <v>1.0048896109353436</v>
      </c>
      <c r="D554" s="1097">
        <v>1.0220956057988593</v>
      </c>
      <c r="E554" s="1097">
        <v>1.0121044871678659</v>
      </c>
      <c r="F554" s="1097">
        <v>0.9977887850692303</v>
      </c>
      <c r="G554" s="1097">
        <v>1.005643171221261</v>
      </c>
      <c r="H554" s="1097">
        <v>1.0232950319709184</v>
      </c>
      <c r="I554" s="1097">
        <v>0.99316019451260029</v>
      </c>
      <c r="K554">
        <v>5.1659895604334194</v>
      </c>
      <c r="L554">
        <v>0</v>
      </c>
      <c r="M554">
        <v>3.5505694198125141E-3</v>
      </c>
      <c r="N554">
        <v>0.31927940454297499</v>
      </c>
      <c r="O554">
        <v>0.14572830443058601</v>
      </c>
      <c r="P554">
        <v>2.0442854829069941E-2</v>
      </c>
      <c r="Q554">
        <v>1.2993097249987973E-3</v>
      </c>
      <c r="R554">
        <v>3.5447991859797316E-3</v>
      </c>
      <c r="S554">
        <v>0.4585066477556648</v>
      </c>
      <c r="T554">
        <v>3.9849841996034172</v>
      </c>
      <c r="U554">
        <v>0</v>
      </c>
      <c r="V554">
        <v>1.1304767209823822E-2</v>
      </c>
      <c r="W554">
        <v>0.18863814110696642</v>
      </c>
      <c r="X554">
        <v>2.5793828331551659E-2</v>
      </c>
      <c r="Y554">
        <v>1.0017873132193976E-2</v>
      </c>
    </row>
    <row r="555" spans="1:25" x14ac:dyDescent="0.25">
      <c r="A555" s="1093"/>
      <c r="B555" s="1452">
        <v>305</v>
      </c>
      <c r="C555" s="1097">
        <v>1.0085054709950803</v>
      </c>
      <c r="D555" s="1097">
        <v>0.97107644164274121</v>
      </c>
      <c r="E555" s="1097">
        <v>1.0191265458357572</v>
      </c>
      <c r="F555" s="1097">
        <v>1.016637531147198</v>
      </c>
      <c r="G555" s="1097">
        <v>0.98988569342266142</v>
      </c>
      <c r="H555" s="1097">
        <v>1.0165053935324764</v>
      </c>
      <c r="I555" s="1097">
        <v>1.0015936081590016</v>
      </c>
      <c r="K555">
        <v>5.2775661525415218</v>
      </c>
      <c r="L555">
        <v>0</v>
      </c>
      <c r="M555">
        <v>3.6009625314459225E-3</v>
      </c>
      <c r="N555">
        <v>0.33061723127340936</v>
      </c>
      <c r="O555">
        <v>0.15081096505089189</v>
      </c>
      <c r="P555">
        <v>2.09518342525261E-2</v>
      </c>
      <c r="Q555">
        <v>1.3293393687996897E-3</v>
      </c>
      <c r="R555">
        <v>3.5951803587860615E-3</v>
      </c>
      <c r="S555">
        <v>0.47151823879473775</v>
      </c>
      <c r="T555">
        <v>4.059372903033271</v>
      </c>
      <c r="U555">
        <v>0</v>
      </c>
      <c r="V555">
        <v>1.1304767209823822E-2</v>
      </c>
      <c r="W555">
        <v>0.19442163574943722</v>
      </c>
      <c r="X555">
        <v>2.7084765808315335E-2</v>
      </c>
      <c r="Y555">
        <v>1.0160254172965249E-2</v>
      </c>
    </row>
    <row r="556" spans="1:25" x14ac:dyDescent="0.25">
      <c r="A556" s="1093"/>
      <c r="B556" s="1452">
        <v>306</v>
      </c>
      <c r="C556" s="1097">
        <v>0.99986140891708908</v>
      </c>
      <c r="D556" s="1097">
        <v>0.98498142519854703</v>
      </c>
      <c r="E556" s="1097">
        <v>0.99818143872373488</v>
      </c>
      <c r="F556" s="1097">
        <v>1.0200915233115886</v>
      </c>
      <c r="G556" s="1097">
        <v>1.0039441873338495</v>
      </c>
      <c r="H556" s="1097">
        <v>0.99750834727908411</v>
      </c>
      <c r="I556" s="1097">
        <v>1.0120896496534584</v>
      </c>
      <c r="K556">
        <v>5.2869846231268713</v>
      </c>
      <c r="L556">
        <v>0</v>
      </c>
      <c r="M556">
        <v>3.7166047480086894E-3</v>
      </c>
      <c r="N556">
        <v>0.3207063007937726</v>
      </c>
      <c r="O556">
        <v>0.15236450116637279</v>
      </c>
      <c r="P556">
        <v>2.0728828480567497E-2</v>
      </c>
      <c r="Q556">
        <v>1.3096381553972234E-3</v>
      </c>
      <c r="R556">
        <v>3.7105437885442544E-3</v>
      </c>
      <c r="S556">
        <v>0.4768884534952354</v>
      </c>
      <c r="T556">
        <v>4.0758361011322553</v>
      </c>
      <c r="U556">
        <v>0</v>
      </c>
      <c r="V556">
        <v>1.1304767209823827E-2</v>
      </c>
      <c r="W556">
        <v>0.19126640714391099</v>
      </c>
      <c r="X556">
        <v>2.6099406475952974E-2</v>
      </c>
      <c r="Y556">
        <v>1.0486280033043111E-2</v>
      </c>
    </row>
    <row r="557" spans="1:25" x14ac:dyDescent="0.25">
      <c r="A557" s="1093"/>
      <c r="B557" s="1452">
        <v>307</v>
      </c>
      <c r="C557" s="1097">
        <v>1.0443035761189463</v>
      </c>
      <c r="D557" s="1097">
        <v>1.0062814583405117</v>
      </c>
      <c r="E557" s="1097">
        <v>0.9887400026816483</v>
      </c>
      <c r="F557" s="1097">
        <v>1.0053982509130701</v>
      </c>
      <c r="G557" s="1097">
        <v>0.98919103249709206</v>
      </c>
      <c r="H557" s="1097">
        <v>0.96748153811363435</v>
      </c>
      <c r="I557" s="1097">
        <v>0.97931018336757247</v>
      </c>
      <c r="K557">
        <v>5.1191573026139592</v>
      </c>
      <c r="L557">
        <v>0</v>
      </c>
      <c r="M557">
        <v>3.4403657104375221E-3</v>
      </c>
      <c r="N557">
        <v>0.28865422742942431</v>
      </c>
      <c r="O557">
        <v>0.14280629023557606</v>
      </c>
      <c r="P557">
        <v>2.0108738938908601E-2</v>
      </c>
      <c r="Q557">
        <v>1.233158724459623E-3</v>
      </c>
      <c r="R557">
        <v>3.4344967098417752E-3</v>
      </c>
      <c r="S557">
        <v>0.42934513963949628</v>
      </c>
      <c r="T557">
        <v>4.0183237222463601</v>
      </c>
      <c r="U557">
        <v>0</v>
      </c>
      <c r="V557">
        <v>1.1304767209823808E-2</v>
      </c>
      <c r="W557">
        <v>0.1732578019158949</v>
      </c>
      <c r="X557">
        <v>2.4423175361176972E-2</v>
      </c>
      <c r="Y557">
        <v>9.7061499134324328E-3</v>
      </c>
    </row>
    <row r="558" spans="1:25" x14ac:dyDescent="0.25">
      <c r="A558" s="1093"/>
      <c r="B558" s="1452">
        <v>308</v>
      </c>
      <c r="C558" s="1097">
        <v>1.0069496832544012</v>
      </c>
      <c r="D558" s="1097">
        <v>0.99316806074115749</v>
      </c>
      <c r="E558" s="1097">
        <v>1.0197345367374817</v>
      </c>
      <c r="F558" s="1097">
        <v>0.98446553057412212</v>
      </c>
      <c r="G558" s="1097">
        <v>0.96449268713968639</v>
      </c>
      <c r="H558" s="1097">
        <v>0.98958394497531843</v>
      </c>
      <c r="I558" s="1097">
        <v>0.98478959600045779</v>
      </c>
      <c r="K558">
        <v>5.0809553589039584</v>
      </c>
      <c r="L558">
        <v>0</v>
      </c>
      <c r="M558">
        <v>3.365302741434813E-3</v>
      </c>
      <c r="N558">
        <v>0.30950655193101045</v>
      </c>
      <c r="O558">
        <v>0.1449373546483666</v>
      </c>
      <c r="P558">
        <v>2.0246018662860032E-2</v>
      </c>
      <c r="Q558">
        <v>1.3201465537483036E-3</v>
      </c>
      <c r="R558">
        <v>3.3595708745203321E-3</v>
      </c>
      <c r="S558">
        <v>0.44508634394702834</v>
      </c>
      <c r="T558">
        <v>3.9308375671767863</v>
      </c>
      <c r="U558">
        <v>0</v>
      </c>
      <c r="V558">
        <v>1.1304767209823811E-2</v>
      </c>
      <c r="W558">
        <v>0.18193356274319775</v>
      </c>
      <c r="X558">
        <v>2.6294374115552591E-2</v>
      </c>
      <c r="Y558">
        <v>9.4944037824971142E-3</v>
      </c>
    </row>
    <row r="559" spans="1:25" x14ac:dyDescent="0.25">
      <c r="A559" s="1093"/>
      <c r="B559" s="1452">
        <v>309</v>
      </c>
      <c r="C559" s="1097">
        <v>0.98054934187137555</v>
      </c>
      <c r="D559" s="1097">
        <v>1.0271670907694295</v>
      </c>
      <c r="E559" s="1097">
        <v>0.9767369934004495</v>
      </c>
      <c r="F559" s="1097">
        <v>1.0100399342860271</v>
      </c>
      <c r="G559" s="1097">
        <v>1.0126730380677802</v>
      </c>
      <c r="H559" s="1097">
        <v>0.98701577573899557</v>
      </c>
      <c r="I559" s="1097">
        <v>1.0267715510200335</v>
      </c>
      <c r="K559">
        <v>5.238317573466909</v>
      </c>
      <c r="L559">
        <v>0</v>
      </c>
      <c r="M559">
        <v>3.8196188359199156E-3</v>
      </c>
      <c r="N559">
        <v>0.30927593881284715</v>
      </c>
      <c r="O559">
        <v>0.15188352201486338</v>
      </c>
      <c r="P559">
        <v>2.0257390747164917E-2</v>
      </c>
      <c r="Q559">
        <v>1.2891119463716385E-3</v>
      </c>
      <c r="R559">
        <v>3.8132611212074782E-3</v>
      </c>
      <c r="S559">
        <v>0.48322286346893972</v>
      </c>
      <c r="T559">
        <v>4.0384098287090966</v>
      </c>
      <c r="U559">
        <v>0</v>
      </c>
      <c r="V559">
        <v>1.1304767209823818E-2</v>
      </c>
      <c r="W559">
        <v>0.18716552106437551</v>
      </c>
      <c r="X559">
        <v>2.4738420150888805E-2</v>
      </c>
      <c r="Y559">
        <v>1.0776567057246748E-2</v>
      </c>
    </row>
    <row r="560" spans="1:25" x14ac:dyDescent="0.25">
      <c r="A560" s="1093"/>
      <c r="B560" s="1452">
        <v>310</v>
      </c>
      <c r="C560" s="1097">
        <v>0.97267038292848051</v>
      </c>
      <c r="D560" s="1097">
        <v>0.95559017832910031</v>
      </c>
      <c r="E560" s="1097">
        <v>1.0246093338986209</v>
      </c>
      <c r="F560" s="1097">
        <v>0.99586804582550881</v>
      </c>
      <c r="G560" s="1097">
        <v>1.0021343168280012</v>
      </c>
      <c r="H560" s="1097">
        <v>0.98542101757994249</v>
      </c>
      <c r="I560" s="1097">
        <v>1.0244845033198682</v>
      </c>
      <c r="K560">
        <v>5.2099677111856355</v>
      </c>
      <c r="L560">
        <v>0</v>
      </c>
      <c r="M560">
        <v>3.5274038640334807E-3</v>
      </c>
      <c r="N560">
        <v>0.32913105769848056</v>
      </c>
      <c r="O560">
        <v>0.15400159953902248</v>
      </c>
      <c r="P560">
        <v>2.0719976894375446E-2</v>
      </c>
      <c r="Q560">
        <v>1.3936499632337838E-3</v>
      </c>
      <c r="R560">
        <v>3.5214394873545976E-3</v>
      </c>
      <c r="S560">
        <v>0.48688344785658766</v>
      </c>
      <c r="T560">
        <v>3.975763129069231</v>
      </c>
      <c r="U560">
        <v>0</v>
      </c>
      <c r="V560">
        <v>1.130476720982382E-2</v>
      </c>
      <c r="W560">
        <v>0.19284227949275987</v>
      </c>
      <c r="X560">
        <v>2.7981910998346331E-2</v>
      </c>
      <c r="Y560">
        <v>9.9518568404507249E-3</v>
      </c>
    </row>
    <row r="561" spans="1:25" x14ac:dyDescent="0.25">
      <c r="A561" s="1093"/>
      <c r="B561" s="1452">
        <v>311</v>
      </c>
      <c r="C561" s="1097">
        <v>1.0112926914685028</v>
      </c>
      <c r="D561" s="1097">
        <v>1.0304708472495416</v>
      </c>
      <c r="E561" s="1097">
        <v>1.0207090681082649</v>
      </c>
      <c r="F561" s="1097">
        <v>0.98884554617390674</v>
      </c>
      <c r="G561" s="1097">
        <v>1.0089718321793466</v>
      </c>
      <c r="H561" s="1097">
        <v>0.99255010957613832</v>
      </c>
      <c r="I561" s="1097">
        <v>1.0026762579768547</v>
      </c>
      <c r="K561">
        <v>5.0956672049937444</v>
      </c>
      <c r="L561">
        <v>0</v>
      </c>
      <c r="M561">
        <v>3.3195583461593028E-3</v>
      </c>
      <c r="N561">
        <v>0.30618481262258956</v>
      </c>
      <c r="O561">
        <v>0.14280857331338215</v>
      </c>
      <c r="P561">
        <v>2.036426603626007E-2</v>
      </c>
      <c r="Q561">
        <v>1.2963013028796724E-3</v>
      </c>
      <c r="R561">
        <v>3.3139462156812887E-3</v>
      </c>
      <c r="S561">
        <v>0.45019219639551517</v>
      </c>
      <c r="T561">
        <v>3.9482065403906024</v>
      </c>
      <c r="U561">
        <v>0</v>
      </c>
      <c r="V561">
        <v>1.1304767209823817E-2</v>
      </c>
      <c r="W561">
        <v>0.17986408711841323</v>
      </c>
      <c r="X561">
        <v>2.6085807721415107E-2</v>
      </c>
      <c r="Y561">
        <v>9.3654650133400564E-3</v>
      </c>
    </row>
    <row r="562" spans="1:25" x14ac:dyDescent="0.25">
      <c r="A562" s="1093"/>
      <c r="B562" s="1452">
        <v>312</v>
      </c>
      <c r="C562" s="1097">
        <v>0.98182370597094304</v>
      </c>
      <c r="D562" s="1097">
        <v>0.98225191458356864</v>
      </c>
      <c r="E562" s="1097">
        <v>0.96725403406763755</v>
      </c>
      <c r="F562" s="1097">
        <v>1.0378940848257174</v>
      </c>
      <c r="G562" s="1097">
        <v>0.98239300521760886</v>
      </c>
      <c r="H562" s="1097">
        <v>0.97897116117357608</v>
      </c>
      <c r="I562" s="1097">
        <v>1.0393265140721157</v>
      </c>
      <c r="K562">
        <v>5.3938090393518952</v>
      </c>
      <c r="L562">
        <v>0</v>
      </c>
      <c r="M562">
        <v>4.0373758449133591E-3</v>
      </c>
      <c r="N562">
        <v>0.31784169964084497</v>
      </c>
      <c r="O562">
        <v>0.15896307368887458</v>
      </c>
      <c r="P562">
        <v>2.0695994383905795E-2</v>
      </c>
      <c r="Q562">
        <v>1.2998720800988526E-3</v>
      </c>
      <c r="R562">
        <v>4.0307819952297144E-3</v>
      </c>
      <c r="S562">
        <v>0.50245322993417518</v>
      </c>
      <c r="T562">
        <v>4.151030103837023</v>
      </c>
      <c r="U562">
        <v>0</v>
      </c>
      <c r="V562">
        <v>1.1304767209823829E-2</v>
      </c>
      <c r="W562">
        <v>0.19360996123452545</v>
      </c>
      <c r="X562">
        <v>2.5225633538133986E-2</v>
      </c>
      <c r="Y562">
        <v>1.139129765416671E-2</v>
      </c>
    </row>
    <row r="563" spans="1:25" x14ac:dyDescent="0.25">
      <c r="A563" s="1093"/>
      <c r="B563" s="1452">
        <v>313</v>
      </c>
      <c r="C563" s="1097">
        <v>1.0071579710001726</v>
      </c>
      <c r="D563" s="1097">
        <v>0.97962781673137145</v>
      </c>
      <c r="E563" s="1097">
        <v>1.0286065051553475</v>
      </c>
      <c r="F563" s="1097">
        <v>1.0255737756050631</v>
      </c>
      <c r="G563" s="1097">
        <v>0.99702649823608747</v>
      </c>
      <c r="H563" s="1097">
        <v>0.98568716141564083</v>
      </c>
      <c r="I563" s="1097">
        <v>0.9946305001168837</v>
      </c>
      <c r="K563">
        <v>5.2979944433294959</v>
      </c>
      <c r="L563">
        <v>0</v>
      </c>
      <c r="M563">
        <v>3.4450724254012342E-3</v>
      </c>
      <c r="N563">
        <v>0.3252871710672931</v>
      </c>
      <c r="O563">
        <v>0.15153582383898426</v>
      </c>
      <c r="P563">
        <v>2.122995840852657E-2</v>
      </c>
      <c r="Q563">
        <v>1.337115384209477E-3</v>
      </c>
      <c r="R563">
        <v>3.4394172405503042E-3</v>
      </c>
      <c r="S563">
        <v>0.46560349069524981</v>
      </c>
      <c r="T563">
        <v>4.0938478719501727</v>
      </c>
      <c r="U563">
        <v>0</v>
      </c>
      <c r="V563">
        <v>1.1304767209823822E-2</v>
      </c>
      <c r="W563">
        <v>0.19008505174300153</v>
      </c>
      <c r="X563">
        <v>2.8048792508200755E-2</v>
      </c>
      <c r="Y563">
        <v>9.7200557088794812E-3</v>
      </c>
    </row>
    <row r="564" spans="1:25" x14ac:dyDescent="0.25">
      <c r="A564" s="1093"/>
      <c r="B564" s="1452">
        <v>314</v>
      </c>
      <c r="C564" s="1097">
        <v>1.0051829036829742</v>
      </c>
      <c r="D564" s="1097">
        <v>0.98089387018558272</v>
      </c>
      <c r="E564" s="1097">
        <v>0.99571455320744084</v>
      </c>
      <c r="F564" s="1097">
        <v>0.98285291206522785</v>
      </c>
      <c r="G564" s="1097">
        <v>1.0013610809257014</v>
      </c>
      <c r="H564" s="1097">
        <v>0.99761676531810417</v>
      </c>
      <c r="I564" s="1097">
        <v>0.99289259841316269</v>
      </c>
      <c r="K564">
        <v>5.0835686092138648</v>
      </c>
      <c r="L564">
        <v>0</v>
      </c>
      <c r="M564">
        <v>3.5870876403856894E-3</v>
      </c>
      <c r="N564">
        <v>0.307256618837289</v>
      </c>
      <c r="O564">
        <v>0.14633598677024001</v>
      </c>
      <c r="P564">
        <v>1.9902419707400101E-2</v>
      </c>
      <c r="Q564">
        <v>1.302112387808143E-3</v>
      </c>
      <c r="R564">
        <v>3.5810172917706265E-3</v>
      </c>
      <c r="S564">
        <v>0.45150739249181204</v>
      </c>
      <c r="T564">
        <v>3.9273518750921728</v>
      </c>
      <c r="U564">
        <v>0</v>
      </c>
      <c r="V564">
        <v>1.1304767209823827E-2</v>
      </c>
      <c r="W564">
        <v>0.18355155049778552</v>
      </c>
      <c r="X564">
        <v>2.4941728303860922E-2</v>
      </c>
      <c r="Y564">
        <v>1.0120228264280617E-2</v>
      </c>
    </row>
    <row r="565" spans="1:25" x14ac:dyDescent="0.25">
      <c r="A565" s="1093"/>
      <c r="B565" s="1452">
        <v>315</v>
      </c>
      <c r="C565" s="1097">
        <v>0.98512478684696547</v>
      </c>
      <c r="D565" s="1097">
        <v>1.0129830940463607</v>
      </c>
      <c r="E565" s="1097">
        <v>1.0159496684132565</v>
      </c>
      <c r="F565" s="1097">
        <v>1.0237826445423945</v>
      </c>
      <c r="G565" s="1097">
        <v>1.0231711704826472</v>
      </c>
      <c r="H565" s="1097">
        <v>1.0320617141798407</v>
      </c>
      <c r="I565" s="1097">
        <v>0.97188171315104543</v>
      </c>
      <c r="K565">
        <v>5.322058778220236</v>
      </c>
      <c r="L565">
        <v>0</v>
      </c>
      <c r="M565">
        <v>3.7308871301307911E-3</v>
      </c>
      <c r="N565">
        <v>0.33935294081343409</v>
      </c>
      <c r="O565">
        <v>0.15296136870517119</v>
      </c>
      <c r="P565">
        <v>2.103001128937446E-2</v>
      </c>
      <c r="Q565">
        <v>1.3344859947771247E-3</v>
      </c>
      <c r="R565">
        <v>3.7250277468628239E-3</v>
      </c>
      <c r="S565">
        <v>0.47017659420004104</v>
      </c>
      <c r="T565">
        <v>4.0883078882728059</v>
      </c>
      <c r="U565">
        <v>0</v>
      </c>
      <c r="V565">
        <v>1.1304767209823806E-2</v>
      </c>
      <c r="W565">
        <v>0.19998260557654091</v>
      </c>
      <c r="X565">
        <v>2.708676273648862E-2</v>
      </c>
      <c r="Y565">
        <v>1.0527212805049294E-2</v>
      </c>
    </row>
    <row r="566" spans="1:25" x14ac:dyDescent="0.25">
      <c r="A566" s="1093"/>
      <c r="B566" s="1452">
        <v>316</v>
      </c>
      <c r="C566" s="1097">
        <v>0.98472547693015022</v>
      </c>
      <c r="D566" s="1097">
        <v>0.97105823989949913</v>
      </c>
      <c r="E566" s="1097">
        <v>0.99254291947937345</v>
      </c>
      <c r="F566" s="1097">
        <v>1.0255275215120327</v>
      </c>
      <c r="G566" s="1097">
        <v>1.0244197437787415</v>
      </c>
      <c r="H566" s="1097">
        <v>1.0413693177281369</v>
      </c>
      <c r="I566" s="1097">
        <v>0.97112138826674999</v>
      </c>
      <c r="K566">
        <v>5.3488200819363563</v>
      </c>
      <c r="L566">
        <v>0</v>
      </c>
      <c r="M566">
        <v>4.0307887328643408E-3</v>
      </c>
      <c r="N566">
        <v>0.34207906222988382</v>
      </c>
      <c r="O566">
        <v>0.15658444085602666</v>
      </c>
      <c r="P566">
        <v>2.0740882486516798E-2</v>
      </c>
      <c r="Q566">
        <v>1.3308961572801518E-3</v>
      </c>
      <c r="R566">
        <v>4.0245255893596324E-3</v>
      </c>
      <c r="S566">
        <v>0.47641515854429933</v>
      </c>
      <c r="T566">
        <v>4.0982835412843928</v>
      </c>
      <c r="U566">
        <v>0</v>
      </c>
      <c r="V566">
        <v>1.1304767209823818E-2</v>
      </c>
      <c r="W566">
        <v>0.20479435768074772</v>
      </c>
      <c r="X566">
        <v>2.5919622057365789E-2</v>
      </c>
      <c r="Y566">
        <v>1.1373616573523869E-2</v>
      </c>
    </row>
    <row r="567" spans="1:25" x14ac:dyDescent="0.25">
      <c r="A567" s="1093"/>
      <c r="B567" s="1452">
        <v>317</v>
      </c>
      <c r="C567" s="1097">
        <v>0.96195086187366663</v>
      </c>
      <c r="D567" s="1097">
        <v>1.0082653268506081</v>
      </c>
      <c r="E567" s="1097">
        <v>1.0421570612133904</v>
      </c>
      <c r="F567" s="1097">
        <v>0.96359065327199878</v>
      </c>
      <c r="G567" s="1097">
        <v>1.0010366979569978</v>
      </c>
      <c r="H567" s="1097">
        <v>0.9965111621988223</v>
      </c>
      <c r="I567" s="1097">
        <v>0.97177913043623088</v>
      </c>
      <c r="K567">
        <v>5.0241307873756051</v>
      </c>
      <c r="L567">
        <v>0</v>
      </c>
      <c r="M567">
        <v>3.291485631289612E-3</v>
      </c>
      <c r="N567">
        <v>0.32345524445164536</v>
      </c>
      <c r="O567">
        <v>0.1469835164254579</v>
      </c>
      <c r="P567">
        <v>2.0204750338162554E-2</v>
      </c>
      <c r="Q567">
        <v>1.3997156233730085E-3</v>
      </c>
      <c r="R567">
        <v>3.2857980649685496E-3</v>
      </c>
      <c r="S567">
        <v>0.45152316623108629</v>
      </c>
      <c r="T567">
        <v>3.8448139731248623</v>
      </c>
      <c r="U567">
        <v>0</v>
      </c>
      <c r="V567">
        <v>1.1304767209823822E-2</v>
      </c>
      <c r="W567">
        <v>0.18733187062942611</v>
      </c>
      <c r="X567">
        <v>2.7833554717671492E-2</v>
      </c>
      <c r="Y567">
        <v>9.2859161904162105E-3</v>
      </c>
    </row>
    <row r="568" spans="1:25" x14ac:dyDescent="0.25">
      <c r="A568" s="1093"/>
      <c r="B568" s="1452">
        <v>318</v>
      </c>
      <c r="C568" s="1097">
        <v>1.0206827798593536</v>
      </c>
      <c r="D568" s="1097">
        <v>0.99078970942219236</v>
      </c>
      <c r="E568" s="1097">
        <v>0.98420332820459011</v>
      </c>
      <c r="F568" s="1097">
        <v>0.98017337398113413</v>
      </c>
      <c r="G568" s="1097">
        <v>0.98652984688476586</v>
      </c>
      <c r="H568" s="1097">
        <v>1.0212672820913169</v>
      </c>
      <c r="I568" s="1097">
        <v>1.0012561717836843</v>
      </c>
      <c r="K568">
        <v>5.0666867013471579</v>
      </c>
      <c r="L568">
        <v>0</v>
      </c>
      <c r="M568">
        <v>3.6800709329978735E-3</v>
      </c>
      <c r="N568">
        <v>0.30465399816853106</v>
      </c>
      <c r="O568">
        <v>0.14345371746418953</v>
      </c>
      <c r="P568">
        <v>1.9685699437825041E-2</v>
      </c>
      <c r="Q568">
        <v>1.2645819055669336E-3</v>
      </c>
      <c r="R568">
        <v>3.6739708495119473E-3</v>
      </c>
      <c r="S568">
        <v>0.45075661917228993</v>
      </c>
      <c r="T568">
        <v>3.9180680837881368</v>
      </c>
      <c r="U568">
        <v>0</v>
      </c>
      <c r="V568">
        <v>1.1304767209823803E-2</v>
      </c>
      <c r="W568">
        <v>0.18342803110776362</v>
      </c>
      <c r="X568">
        <v>2.369438106139389E-2</v>
      </c>
      <c r="Y568">
        <v>1.0382922115126002E-2</v>
      </c>
    </row>
    <row r="569" spans="1:25" x14ac:dyDescent="0.25">
      <c r="A569" s="1093"/>
      <c r="B569" s="1452">
        <v>319</v>
      </c>
      <c r="C569" s="1097">
        <v>0.99212047019158733</v>
      </c>
      <c r="D569" s="1097">
        <v>0.98923237817420517</v>
      </c>
      <c r="E569" s="1097">
        <v>0.9792658630351575</v>
      </c>
      <c r="F569" s="1097">
        <v>0.99031203260272127</v>
      </c>
      <c r="G569" s="1097">
        <v>1.0255426732579493</v>
      </c>
      <c r="H569" s="1097">
        <v>1.0210870530484804</v>
      </c>
      <c r="I569" s="1097">
        <v>1.0089444620269281</v>
      </c>
      <c r="K569">
        <v>5.1536011571915559</v>
      </c>
      <c r="L569">
        <v>0</v>
      </c>
      <c r="M569">
        <v>3.8667284501880559E-3</v>
      </c>
      <c r="N569">
        <v>0.3154564992275215</v>
      </c>
      <c r="O569">
        <v>0.14934176330051685</v>
      </c>
      <c r="P569">
        <v>1.9889067629730171E-2</v>
      </c>
      <c r="Q569">
        <v>1.2962457277381878E-3</v>
      </c>
      <c r="R569">
        <v>3.8603833529199292E-3</v>
      </c>
      <c r="S569">
        <v>0.47144826219472769</v>
      </c>
      <c r="T569">
        <v>3.9592147280310055</v>
      </c>
      <c r="U569">
        <v>0</v>
      </c>
      <c r="V569">
        <v>1.1304767209823806E-2</v>
      </c>
      <c r="W569">
        <v>0.19057490156678469</v>
      </c>
      <c r="X569">
        <v>2.417152931929973E-2</v>
      </c>
      <c r="Y569">
        <v>1.0909738081678335E-2</v>
      </c>
    </row>
    <row r="570" spans="1:25" x14ac:dyDescent="0.25">
      <c r="A570" s="1093"/>
      <c r="B570" s="1452">
        <v>320</v>
      </c>
      <c r="C570" s="1097">
        <v>0.97996750437930802</v>
      </c>
      <c r="D570" s="1097">
        <v>1.0076190827824949</v>
      </c>
      <c r="E570" s="1097">
        <v>1.0200413985876009</v>
      </c>
      <c r="F570" s="1097">
        <v>0.98349428716763276</v>
      </c>
      <c r="G570" s="1097">
        <v>1.0226941326766827</v>
      </c>
      <c r="H570" s="1097">
        <v>0.99250208760165215</v>
      </c>
      <c r="I570" s="1097">
        <v>1.0031198437981579</v>
      </c>
      <c r="K570">
        <v>5.1120732236201816</v>
      </c>
      <c r="L570">
        <v>0</v>
      </c>
      <c r="M570">
        <v>3.442548835238719E-3</v>
      </c>
      <c r="N570">
        <v>0.31689950164079828</v>
      </c>
      <c r="O570">
        <v>0.14791533395035397</v>
      </c>
      <c r="P570">
        <v>2.0323037241493903E-2</v>
      </c>
      <c r="Q570">
        <v>1.3490298743371021E-3</v>
      </c>
      <c r="R570">
        <v>3.4366968768331243E-3</v>
      </c>
      <c r="S570">
        <v>0.46469597125444928</v>
      </c>
      <c r="T570">
        <v>3.9269219878366464</v>
      </c>
      <c r="U570">
        <v>0</v>
      </c>
      <c r="V570">
        <v>1.1304767209823822E-2</v>
      </c>
      <c r="W570">
        <v>0.18624115875599714</v>
      </c>
      <c r="X570">
        <v>2.6715920061360393E-2</v>
      </c>
      <c r="Y570">
        <v>9.7123677533247892E-3</v>
      </c>
    </row>
    <row r="571" spans="1:25" x14ac:dyDescent="0.25">
      <c r="A571" s="1093"/>
      <c r="B571" s="1452">
        <v>321</v>
      </c>
      <c r="C571" s="1097">
        <v>0.97482191491004211</v>
      </c>
      <c r="D571" s="1097">
        <v>0.97774898648264441</v>
      </c>
      <c r="E571" s="1097">
        <v>1.0123080516709335</v>
      </c>
      <c r="F571" s="1097">
        <v>1.0423918048168699</v>
      </c>
      <c r="G571" s="1097">
        <v>1.0349810269212067</v>
      </c>
      <c r="H571" s="1097">
        <v>0.99219618893477612</v>
      </c>
      <c r="I571" s="1097">
        <v>0.99877146743045508</v>
      </c>
      <c r="K571">
        <v>5.4268002774370432</v>
      </c>
      <c r="L571">
        <v>0</v>
      </c>
      <c r="M571">
        <v>3.7719711760273817E-3</v>
      </c>
      <c r="N571">
        <v>0.33940009660384768</v>
      </c>
      <c r="O571">
        <v>0.15974173187270044</v>
      </c>
      <c r="P571">
        <v>2.1413406040800779E-2</v>
      </c>
      <c r="Q571">
        <v>1.3635987738715356E-3</v>
      </c>
      <c r="R571">
        <v>3.7659190827073574E-3</v>
      </c>
      <c r="S571">
        <v>0.49119024589590315</v>
      </c>
      <c r="T571">
        <v>4.1630939377130645</v>
      </c>
      <c r="U571">
        <v>0</v>
      </c>
      <c r="V571">
        <v>1.1304767209823813E-2</v>
      </c>
      <c r="W571">
        <v>0.20049858178124047</v>
      </c>
      <c r="X571">
        <v>2.8157188797062895E-2</v>
      </c>
      <c r="Y571">
        <v>1.0642774842051752E-2</v>
      </c>
    </row>
    <row r="572" spans="1:25" x14ac:dyDescent="0.25">
      <c r="A572" s="1093"/>
      <c r="B572" s="1452">
        <v>322</v>
      </c>
      <c r="C572" s="1097">
        <v>1.0309071025627856</v>
      </c>
      <c r="D572" s="1097">
        <v>0.9957980940345702</v>
      </c>
      <c r="E572" s="1097">
        <v>0.98982811404731508</v>
      </c>
      <c r="F572" s="1097">
        <v>0.9894161131489605</v>
      </c>
      <c r="G572" s="1097">
        <v>1.0040303898092453</v>
      </c>
      <c r="H572" s="1097">
        <v>1.003258933194721</v>
      </c>
      <c r="I572" s="1097">
        <v>0.98466651714290676</v>
      </c>
      <c r="K572">
        <v>5.0824404041181594</v>
      </c>
      <c r="L572">
        <v>0</v>
      </c>
      <c r="M572">
        <v>3.5633655535823659E-3</v>
      </c>
      <c r="N572">
        <v>0.29995071803091233</v>
      </c>
      <c r="O572">
        <v>0.1429309411497213</v>
      </c>
      <c r="P572">
        <v>1.9878594268258741E-2</v>
      </c>
      <c r="Q572">
        <v>1.255605642138721E-3</v>
      </c>
      <c r="R572">
        <v>3.5574089713742282E-3</v>
      </c>
      <c r="S572">
        <v>0.43871030133414007</v>
      </c>
      <c r="T572">
        <v>3.9543112908617384</v>
      </c>
      <c r="U572">
        <v>0</v>
      </c>
      <c r="V572">
        <v>1.1304767209823813E-2</v>
      </c>
      <c r="W572">
        <v>0.17990492741575825</v>
      </c>
      <c r="X572">
        <v>2.4145705439444796E-2</v>
      </c>
      <c r="Y572">
        <v>1.0053509348430398E-2</v>
      </c>
    </row>
    <row r="573" spans="1:25" x14ac:dyDescent="0.25">
      <c r="A573" s="1093"/>
      <c r="B573" s="1452">
        <v>323</v>
      </c>
      <c r="C573" s="1097">
        <v>0.96204515595847673</v>
      </c>
      <c r="D573" s="1097">
        <v>0.98231638380555941</v>
      </c>
      <c r="E573" s="1097">
        <v>1.0182531774262416</v>
      </c>
      <c r="F573" s="1097">
        <v>0.97475566833158933</v>
      </c>
      <c r="G573" s="1097">
        <v>0.97130348624797425</v>
      </c>
      <c r="H573" s="1097">
        <v>0.99520099632942782</v>
      </c>
      <c r="I573" s="1097">
        <v>0.99993062692464274</v>
      </c>
      <c r="K573">
        <v>5.0981530975351497</v>
      </c>
      <c r="L573">
        <v>0</v>
      </c>
      <c r="M573">
        <v>3.5339831832337221E-3</v>
      </c>
      <c r="N573">
        <v>0.32359627136860003</v>
      </c>
      <c r="O573">
        <v>0.15090984725775911</v>
      </c>
      <c r="P573">
        <v>2.0166729837200501E-2</v>
      </c>
      <c r="Q573">
        <v>1.3861117502383319E-3</v>
      </c>
      <c r="R573">
        <v>3.5279384696204558E-3</v>
      </c>
      <c r="S573">
        <v>0.47123461687199253</v>
      </c>
      <c r="T573">
        <v>3.8922470712999511</v>
      </c>
      <c r="U573">
        <v>0</v>
      </c>
      <c r="V573">
        <v>1.1304767209823824E-2</v>
      </c>
      <c r="W573">
        <v>0.19040386175812629</v>
      </c>
      <c r="X573">
        <v>2.69396414345589E-2</v>
      </c>
      <c r="Y573">
        <v>9.9702234605078665E-3</v>
      </c>
    </row>
    <row r="574" spans="1:25" x14ac:dyDescent="0.25">
      <c r="A574" s="1093"/>
      <c r="B574" s="1452">
        <v>324</v>
      </c>
      <c r="C574" s="1097">
        <v>0.98740846524438697</v>
      </c>
      <c r="D574" s="1097">
        <v>0.9589388071828262</v>
      </c>
      <c r="E574" s="1097">
        <v>0.98911203115831003</v>
      </c>
      <c r="F574" s="1097">
        <v>0.99056149411225358</v>
      </c>
      <c r="G574" s="1097">
        <v>1.0024027233116086</v>
      </c>
      <c r="H574" s="1097">
        <v>0.99329414458759469</v>
      </c>
      <c r="I574" s="1097">
        <v>1.0108326600056137</v>
      </c>
      <c r="K574">
        <v>5.1554460286050539</v>
      </c>
      <c r="L574">
        <v>0</v>
      </c>
      <c r="M574">
        <v>3.7493461127246341E-3</v>
      </c>
      <c r="N574">
        <v>0.31493174577905336</v>
      </c>
      <c r="O574">
        <v>0.15169168190643065</v>
      </c>
      <c r="P574">
        <v>2.0040571567726501E-2</v>
      </c>
      <c r="Q574">
        <v>1.3300249256684761E-3</v>
      </c>
      <c r="R574">
        <v>3.7430230740946816E-3</v>
      </c>
      <c r="S574">
        <v>0.47231483818249193</v>
      </c>
      <c r="T574">
        <v>3.9589784311266376</v>
      </c>
      <c r="U574">
        <v>0</v>
      </c>
      <c r="V574">
        <v>1.1304767209823824E-2</v>
      </c>
      <c r="W574">
        <v>0.18898237080982444</v>
      </c>
      <c r="X574">
        <v>2.5299851162340219E-2</v>
      </c>
      <c r="Y574">
        <v>1.0578068973684763E-2</v>
      </c>
    </row>
    <row r="575" spans="1:25" x14ac:dyDescent="0.25">
      <c r="A575" s="1093"/>
      <c r="B575" s="1452">
        <v>325</v>
      </c>
      <c r="C575" s="1097">
        <v>1.0197432165593419</v>
      </c>
      <c r="D575" s="1097">
        <v>1.0175566356140122</v>
      </c>
      <c r="E575" s="1097">
        <v>1.0135298412848743</v>
      </c>
      <c r="F575" s="1097">
        <v>1.0238462913428334</v>
      </c>
      <c r="G575" s="1097">
        <v>0.99173757814713182</v>
      </c>
      <c r="H575" s="1097">
        <v>1.0098466944425926</v>
      </c>
      <c r="I575" s="1097">
        <v>0.99709255614448211</v>
      </c>
      <c r="K575">
        <v>5.275990309320914</v>
      </c>
      <c r="L575">
        <v>0</v>
      </c>
      <c r="M575">
        <v>3.5385462025840503E-3</v>
      </c>
      <c r="N575">
        <v>0.31955010049293853</v>
      </c>
      <c r="O575">
        <v>0.14757892454142454</v>
      </c>
      <c r="P575">
        <v>2.0955199601892547E-2</v>
      </c>
      <c r="Q575">
        <v>1.2842205378064053E-3</v>
      </c>
      <c r="R575">
        <v>3.5328669925419804E-3</v>
      </c>
      <c r="S575">
        <v>0.46147488502637907</v>
      </c>
      <c r="T575">
        <v>4.0888709510004517</v>
      </c>
      <c r="U575">
        <v>0</v>
      </c>
      <c r="V575">
        <v>1.1304767209823813E-2</v>
      </c>
      <c r="W575">
        <v>0.18861785285688695</v>
      </c>
      <c r="X575">
        <v>2.6374935420790113E-2</v>
      </c>
      <c r="Y575">
        <v>9.9841518425590157E-3</v>
      </c>
    </row>
    <row r="576" spans="1:25" x14ac:dyDescent="0.25">
      <c r="A576" s="1093"/>
      <c r="B576" s="1452">
        <v>326</v>
      </c>
      <c r="C576" s="1097">
        <v>0.98350049492644065</v>
      </c>
      <c r="D576" s="1097">
        <v>0.98333275284201527</v>
      </c>
      <c r="E576" s="1097">
        <v>1.0114299719124176</v>
      </c>
      <c r="F576" s="1097">
        <v>0.96127670579572033</v>
      </c>
      <c r="G576" s="1097">
        <v>0.99807873971736294</v>
      </c>
      <c r="H576" s="1097">
        <v>0.97721481935086352</v>
      </c>
      <c r="I576" s="1097">
        <v>0.98113156380347488</v>
      </c>
      <c r="K576">
        <v>4.9810967633964118</v>
      </c>
      <c r="L576">
        <v>0</v>
      </c>
      <c r="M576">
        <v>3.3947095465779579E-3</v>
      </c>
      <c r="N576">
        <v>0.30461192370713625</v>
      </c>
      <c r="O576">
        <v>0.145703160467789</v>
      </c>
      <c r="P576">
        <v>1.9696466656176061E-2</v>
      </c>
      <c r="Q576">
        <v>1.3474842029571575E-3</v>
      </c>
      <c r="R576">
        <v>3.3887134086318009E-3</v>
      </c>
      <c r="S576">
        <v>0.44373515145031445</v>
      </c>
      <c r="T576">
        <v>3.8392426522866328</v>
      </c>
      <c r="U576">
        <v>0</v>
      </c>
      <c r="V576">
        <v>1.130476720982383E-2</v>
      </c>
      <c r="W576">
        <v>0.1800536459120865</v>
      </c>
      <c r="X576">
        <v>2.5830744832613349E-2</v>
      </c>
      <c r="Y576">
        <v>9.5767628088233494E-3</v>
      </c>
    </row>
    <row r="577" spans="1:25" x14ac:dyDescent="0.25">
      <c r="A577" s="1093"/>
      <c r="B577" s="1452">
        <v>327</v>
      </c>
      <c r="C577" s="1097">
        <v>0.9508241832351042</v>
      </c>
      <c r="D577" s="1097">
        <v>1.0094312322699852</v>
      </c>
      <c r="E577" s="1097">
        <v>0.99848286399246167</v>
      </c>
      <c r="F577" s="1097">
        <v>0.98676499226587666</v>
      </c>
      <c r="G577" s="1097">
        <v>0.97094759142743836</v>
      </c>
      <c r="H577" s="1097">
        <v>0.96732848252856429</v>
      </c>
      <c r="I577" s="1097">
        <v>1.0071045180822527</v>
      </c>
      <c r="K577">
        <v>5.1427009592244692</v>
      </c>
      <c r="L577">
        <v>0</v>
      </c>
      <c r="M577">
        <v>3.6283298893589337E-3</v>
      </c>
      <c r="N577">
        <v>0.3133350679933764</v>
      </c>
      <c r="O577">
        <v>0.15346662794789853</v>
      </c>
      <c r="P577">
        <v>2.012938376766563E-2</v>
      </c>
      <c r="Q577">
        <v>1.3640922415257013E-3</v>
      </c>
      <c r="R577">
        <v>3.6220225546618164E-3</v>
      </c>
      <c r="S577">
        <v>0.47709725014836696</v>
      </c>
      <c r="T577">
        <v>3.942640599154998</v>
      </c>
      <c r="U577">
        <v>0</v>
      </c>
      <c r="V577">
        <v>1.1304767209823808E-2</v>
      </c>
      <c r="W577">
        <v>0.18683215947957929</v>
      </c>
      <c r="X577">
        <v>2.6301206348118025E-2</v>
      </c>
      <c r="Y577">
        <v>1.0236112267814842E-2</v>
      </c>
    </row>
    <row r="578" spans="1:25" x14ac:dyDescent="0.25">
      <c r="A578" s="1093"/>
      <c r="B578" s="1452">
        <v>328</v>
      </c>
      <c r="C578" s="1097">
        <v>0.96711275007502662</v>
      </c>
      <c r="D578" s="1097">
        <v>0.99545802748223022</v>
      </c>
      <c r="E578" s="1097">
        <v>1.0302542734612441</v>
      </c>
      <c r="F578" s="1097">
        <v>1.0204480593166738</v>
      </c>
      <c r="G578" s="1097">
        <v>0.99709639821255502</v>
      </c>
      <c r="H578" s="1097">
        <v>0.97005913566703283</v>
      </c>
      <c r="I578" s="1097">
        <v>0.99557054274319989</v>
      </c>
      <c r="K578">
        <v>5.3031442395574198</v>
      </c>
      <c r="L578">
        <v>0</v>
      </c>
      <c r="M578">
        <v>3.4786198287432386E-3</v>
      </c>
      <c r="N578">
        <v>0.33004726453337691</v>
      </c>
      <c r="O578">
        <v>0.15596962952512874</v>
      </c>
      <c r="P578">
        <v>2.1220264278485494E-2</v>
      </c>
      <c r="Q578">
        <v>1.3855002038516587E-3</v>
      </c>
      <c r="R578">
        <v>3.4727884831532115E-3</v>
      </c>
      <c r="S578">
        <v>0.47871595997395339</v>
      </c>
      <c r="T578">
        <v>4.0731790482902932</v>
      </c>
      <c r="U578">
        <v>0</v>
      </c>
      <c r="V578">
        <v>1.1304767209823834E-2</v>
      </c>
      <c r="W578">
        <v>0.19265621691499121</v>
      </c>
      <c r="X578">
        <v>2.8857054584850241E-2</v>
      </c>
      <c r="Y578">
        <v>9.8143653882491466E-3</v>
      </c>
    </row>
    <row r="579" spans="1:25" x14ac:dyDescent="0.25">
      <c r="A579" s="1093"/>
      <c r="B579" s="1452">
        <v>329</v>
      </c>
      <c r="C579" s="1097">
        <v>1.0184388798856125</v>
      </c>
      <c r="D579" s="1097">
        <v>0.97841756312156436</v>
      </c>
      <c r="E579" s="1097">
        <v>0.97259643662904538</v>
      </c>
      <c r="F579" s="1097">
        <v>1.0367088680396834</v>
      </c>
      <c r="G579" s="1097">
        <v>0.99634830394190255</v>
      </c>
      <c r="H579" s="1097">
        <v>1.0393675810012324</v>
      </c>
      <c r="I579" s="1097">
        <v>1.0060823470912568</v>
      </c>
      <c r="K579">
        <v>5.3737655034134191</v>
      </c>
      <c r="L579">
        <v>0</v>
      </c>
      <c r="M579">
        <v>4.0880676697864042E-3</v>
      </c>
      <c r="N579">
        <v>0.32700939679665414</v>
      </c>
      <c r="O579">
        <v>0.1531600967404004</v>
      </c>
      <c r="P579">
        <v>2.0658758615717282E-2</v>
      </c>
      <c r="Q579">
        <v>1.2609725056930109E-3</v>
      </c>
      <c r="R579">
        <v>4.0817718237407931E-3</v>
      </c>
      <c r="S579">
        <v>0.48049109816904412</v>
      </c>
      <c r="T579">
        <v>4.1455846968015946</v>
      </c>
      <c r="U579">
        <v>0</v>
      </c>
      <c r="V579">
        <v>1.1304767209823825E-2</v>
      </c>
      <c r="W579">
        <v>0.19846158561860114</v>
      </c>
      <c r="X579">
        <v>2.4305027999502685E-2</v>
      </c>
      <c r="Y579">
        <v>1.153539880242827E-2</v>
      </c>
    </row>
    <row r="580" spans="1:25" x14ac:dyDescent="0.25">
      <c r="A580" s="1093"/>
      <c r="B580" s="1452">
        <v>330</v>
      </c>
      <c r="C580" s="1097">
        <v>0.99714062055168118</v>
      </c>
      <c r="D580" s="1097">
        <v>1.0152710578354045</v>
      </c>
      <c r="E580" s="1097">
        <v>0.98931111526467819</v>
      </c>
      <c r="F580" s="1097">
        <v>1.0063205966186335</v>
      </c>
      <c r="G580" s="1097">
        <v>0.99424553894689138</v>
      </c>
      <c r="H580" s="1097">
        <v>1.0175761665213119</v>
      </c>
      <c r="I580" s="1097">
        <v>1.0165813420165313</v>
      </c>
      <c r="K580">
        <v>5.2231579342946457</v>
      </c>
      <c r="L580">
        <v>0</v>
      </c>
      <c r="M580">
        <v>3.775116245890778E-3</v>
      </c>
      <c r="N580">
        <v>0.31730456835406862</v>
      </c>
      <c r="O580">
        <v>0.14915042598871234</v>
      </c>
      <c r="P580">
        <v>2.0343791904591825E-2</v>
      </c>
      <c r="Q580">
        <v>1.2875330444288824E-3</v>
      </c>
      <c r="R580">
        <v>3.7689988293501042E-3</v>
      </c>
      <c r="S580">
        <v>0.47589899057714979</v>
      </c>
      <c r="T580">
        <v>4.0219375758965645</v>
      </c>
      <c r="U580">
        <v>0</v>
      </c>
      <c r="V580">
        <v>1.130476720982383E-2</v>
      </c>
      <c r="W580">
        <v>0.19038043307621927</v>
      </c>
      <c r="X580">
        <v>2.4904487218426901E-2</v>
      </c>
      <c r="Y580">
        <v>1.0651478441191686E-2</v>
      </c>
    </row>
    <row r="581" spans="1:25" x14ac:dyDescent="0.25">
      <c r="A581" s="1093"/>
      <c r="B581" s="1452">
        <v>331</v>
      </c>
      <c r="C581" s="1097">
        <v>1.0030280178205522</v>
      </c>
      <c r="D581" s="1097">
        <v>1.0126617559167446</v>
      </c>
      <c r="E581" s="1097">
        <v>1.0043069412433521</v>
      </c>
      <c r="F581" s="1097">
        <v>1.026852385227194</v>
      </c>
      <c r="G581" s="1097">
        <v>0.992415611428769</v>
      </c>
      <c r="H581" s="1097">
        <v>1.0304149188413125</v>
      </c>
      <c r="I581" s="1097">
        <v>1.034008051277449</v>
      </c>
      <c r="K581">
        <v>5.3425140412910679</v>
      </c>
      <c r="L581">
        <v>0</v>
      </c>
      <c r="M581">
        <v>3.7611007747561541E-3</v>
      </c>
      <c r="N581">
        <v>0.33051015984582666</v>
      </c>
      <c r="O581">
        <v>0.15103087227325923</v>
      </c>
      <c r="P581">
        <v>2.1013373351204286E-2</v>
      </c>
      <c r="Q581">
        <v>1.2979012410115082E-3</v>
      </c>
      <c r="R581">
        <v>3.7552021584546383E-3</v>
      </c>
      <c r="S581">
        <v>0.49225245332973255</v>
      </c>
      <c r="T581">
        <v>4.1020602610877761</v>
      </c>
      <c r="U581">
        <v>0</v>
      </c>
      <c r="V581">
        <v>1.1304767209823813E-2</v>
      </c>
      <c r="W581">
        <v>0.19629965108147851</v>
      </c>
      <c r="X581">
        <v>2.6138012491342826E-2</v>
      </c>
      <c r="Y581">
        <v>1.0612487995915108E-2</v>
      </c>
    </row>
    <row r="582" spans="1:25" x14ac:dyDescent="0.25">
      <c r="A582" s="1093"/>
      <c r="B582" s="1452">
        <v>332</v>
      </c>
      <c r="C582" s="1097">
        <v>1.008143771470289</v>
      </c>
      <c r="D582" s="1097">
        <v>1.0112750470488312</v>
      </c>
      <c r="E582" s="1097">
        <v>0.98058208356762178</v>
      </c>
      <c r="F582" s="1097">
        <v>1.0099753511971534</v>
      </c>
      <c r="G582" s="1097">
        <v>1.0210042385679889</v>
      </c>
      <c r="H582" s="1097">
        <v>1.025262773256391</v>
      </c>
      <c r="I582" s="1097">
        <v>0.98447568114131923</v>
      </c>
      <c r="K582">
        <v>5.2189336201519527</v>
      </c>
      <c r="L582">
        <v>0</v>
      </c>
      <c r="M582">
        <v>3.8517152817879883E-3</v>
      </c>
      <c r="N582">
        <v>0.31547354098923003</v>
      </c>
      <c r="O582">
        <v>0.14853430817994936</v>
      </c>
      <c r="P582">
        <v>2.020470930880958E-2</v>
      </c>
      <c r="Q582">
        <v>1.2658933063212055E-3</v>
      </c>
      <c r="R582">
        <v>3.8455429137112577E-3</v>
      </c>
      <c r="S582">
        <v>0.45899798304428385</v>
      </c>
      <c r="T582">
        <v>4.0376591530345634</v>
      </c>
      <c r="U582">
        <v>0</v>
      </c>
      <c r="V582">
        <v>1.1304767209823834E-2</v>
      </c>
      <c r="W582">
        <v>0.19041339867968851</v>
      </c>
      <c r="X582">
        <v>2.4218240899891316E-2</v>
      </c>
      <c r="Y582">
        <v>1.0867797867460697E-2</v>
      </c>
    </row>
    <row r="583" spans="1:25" x14ac:dyDescent="0.25">
      <c r="A583" s="1093"/>
      <c r="B583" s="1452">
        <v>333</v>
      </c>
      <c r="C583" s="1097">
        <v>0.98767592300619433</v>
      </c>
      <c r="D583" s="1097">
        <v>1.0419556685131153</v>
      </c>
      <c r="E583" s="1097">
        <v>0.97410877537550089</v>
      </c>
      <c r="F583" s="1097">
        <v>0.97218782928382896</v>
      </c>
      <c r="G583" s="1097">
        <v>0.9557241552667407</v>
      </c>
      <c r="H583" s="1097">
        <v>0.96226991596683364</v>
      </c>
      <c r="I583" s="1097">
        <v>1.0146369766001042</v>
      </c>
      <c r="K583">
        <v>5.0098482105100812</v>
      </c>
      <c r="L583">
        <v>0</v>
      </c>
      <c r="M583">
        <v>3.5579385828989805E-3</v>
      </c>
      <c r="N583">
        <v>0.28581756065382102</v>
      </c>
      <c r="O583">
        <v>0.14437998861432397</v>
      </c>
      <c r="P583">
        <v>1.9409861407461457E-2</v>
      </c>
      <c r="Q583">
        <v>1.2696051357984383E-3</v>
      </c>
      <c r="R583">
        <v>3.55162803265792E-3</v>
      </c>
      <c r="S583">
        <v>0.45330666959786764</v>
      </c>
      <c r="T583">
        <v>3.8873914844644029</v>
      </c>
      <c r="U583">
        <v>0</v>
      </c>
      <c r="V583">
        <v>1.1304767209823822E-2</v>
      </c>
      <c r="W583">
        <v>0.17328185632351209</v>
      </c>
      <c r="X583">
        <v>2.3655555679045131E-2</v>
      </c>
      <c r="Y583">
        <v>1.0037171974264316E-2</v>
      </c>
    </row>
    <row r="584" spans="1:25" x14ac:dyDescent="0.25">
      <c r="A584" s="1093"/>
      <c r="B584" s="1452">
        <v>334</v>
      </c>
      <c r="C584" s="1097">
        <v>0.9745328414936576</v>
      </c>
      <c r="D584" s="1097">
        <v>1.0216530435860984</v>
      </c>
      <c r="E584" s="1097">
        <v>1.0008199594484402</v>
      </c>
      <c r="F584" s="1097">
        <v>0.99458610830865191</v>
      </c>
      <c r="G584" s="1097">
        <v>1.0262881038608764</v>
      </c>
      <c r="H584" s="1097">
        <v>1.0180991920239069</v>
      </c>
      <c r="I584" s="1097">
        <v>0.96427271734007414</v>
      </c>
      <c r="K584">
        <v>5.1655663478247078</v>
      </c>
      <c r="L584">
        <v>0</v>
      </c>
      <c r="M584">
        <v>3.7189597535999459E-3</v>
      </c>
      <c r="N584">
        <v>0.32342569245421354</v>
      </c>
      <c r="O584">
        <v>0.1501292421558077</v>
      </c>
      <c r="P584">
        <v>2.0213377436558381E-2</v>
      </c>
      <c r="Q584">
        <v>1.3271709575709315E-3</v>
      </c>
      <c r="R584">
        <v>3.7128654854491822E-3</v>
      </c>
      <c r="S584">
        <v>0.45688725564688071</v>
      </c>
      <c r="T584">
        <v>3.9735981467167645</v>
      </c>
      <c r="U584">
        <v>0</v>
      </c>
      <c r="V584">
        <v>1.1304767209823822E-2</v>
      </c>
      <c r="W584">
        <v>0.19254443928194126</v>
      </c>
      <c r="X584">
        <v>2.5649508907541183E-2</v>
      </c>
      <c r="Y584">
        <v>1.0492841325749609E-2</v>
      </c>
    </row>
    <row r="585" spans="1:25" x14ac:dyDescent="0.25">
      <c r="A585" s="1093"/>
      <c r="B585" s="1452">
        <v>335</v>
      </c>
      <c r="C585" s="1097">
        <v>0.98803452625623489</v>
      </c>
      <c r="D585" s="1097">
        <v>1.0271928382889923</v>
      </c>
      <c r="E585" s="1097">
        <v>0.98355092527724008</v>
      </c>
      <c r="F585" s="1097">
        <v>1.012369335628134</v>
      </c>
      <c r="G585" s="1097">
        <v>0.97226026419996003</v>
      </c>
      <c r="H585" s="1097">
        <v>0.99198234826000442</v>
      </c>
      <c r="I585" s="1097">
        <v>0.99853592622916698</v>
      </c>
      <c r="K585">
        <v>5.2328497674531995</v>
      </c>
      <c r="L585">
        <v>0</v>
      </c>
      <c r="M585">
        <v>3.7642552334295949E-3</v>
      </c>
      <c r="N585">
        <v>0.31102229617876909</v>
      </c>
      <c r="O585">
        <v>0.15088682605582796</v>
      </c>
      <c r="P585">
        <v>2.0332926962945339E-2</v>
      </c>
      <c r="Q585">
        <v>1.2869216195813668E-3</v>
      </c>
      <c r="R585">
        <v>3.7580353617180616E-3</v>
      </c>
      <c r="S585">
        <v>0.46821833860586715</v>
      </c>
      <c r="T585">
        <v>4.0468492444672082</v>
      </c>
      <c r="U585">
        <v>0</v>
      </c>
      <c r="V585">
        <v>1.130476720982382E-2</v>
      </c>
      <c r="W585">
        <v>0.18734579736798296</v>
      </c>
      <c r="X585">
        <v>2.4988374012257904E-2</v>
      </c>
      <c r="Y585">
        <v>1.0620494844642376E-2</v>
      </c>
    </row>
    <row r="586" spans="1:25" x14ac:dyDescent="0.25">
      <c r="A586" s="1093"/>
      <c r="B586" s="1452">
        <v>336</v>
      </c>
      <c r="C586" s="1097">
        <v>0.99418552280285755</v>
      </c>
      <c r="D586" s="1097">
        <v>0.97889343374251558</v>
      </c>
      <c r="E586" s="1097">
        <v>0.96692130022266909</v>
      </c>
      <c r="F586" s="1097">
        <v>0.96376601542779139</v>
      </c>
      <c r="G586" s="1097">
        <v>0.99373070320837387</v>
      </c>
      <c r="H586" s="1097">
        <v>0.98185053821101143</v>
      </c>
      <c r="I586" s="1097">
        <v>1.0113597242677459</v>
      </c>
      <c r="K586">
        <v>4.99171621347016</v>
      </c>
      <c r="L586">
        <v>0</v>
      </c>
      <c r="M586">
        <v>3.7214350196695277E-3</v>
      </c>
      <c r="N586">
        <v>0.29264466852728921</v>
      </c>
      <c r="O586">
        <v>0.14598317423229334</v>
      </c>
      <c r="P586">
        <v>1.9164197160114988E-2</v>
      </c>
      <c r="Q586">
        <v>1.285094922772958E-3</v>
      </c>
      <c r="R586">
        <v>3.714909684220532E-3</v>
      </c>
      <c r="S586">
        <v>0.45473280934890398</v>
      </c>
      <c r="T586">
        <v>3.8545977210605296</v>
      </c>
      <c r="U586">
        <v>0</v>
      </c>
      <c r="V586">
        <v>1.1304767209823815E-2</v>
      </c>
      <c r="W586">
        <v>0.17830245445898366</v>
      </c>
      <c r="X586">
        <v>2.320923349735492E-2</v>
      </c>
      <c r="Y586">
        <v>1.0498618387544638E-2</v>
      </c>
    </row>
    <row r="587" spans="1:25" x14ac:dyDescent="0.25">
      <c r="A587" s="1093"/>
      <c r="B587" s="1452">
        <v>337</v>
      </c>
      <c r="C587" s="1097">
        <v>1.0184060088525129</v>
      </c>
      <c r="D587" s="1097">
        <v>1.0215985379889543</v>
      </c>
      <c r="E587" s="1097">
        <v>1.0243997717133917</v>
      </c>
      <c r="F587" s="1097">
        <v>1.0108921453699802</v>
      </c>
      <c r="G587" s="1097">
        <v>1.0306872653306254</v>
      </c>
      <c r="H587" s="1097">
        <v>1.0143014552945908</v>
      </c>
      <c r="I587" s="1097">
        <v>0.9649716595625758</v>
      </c>
      <c r="K587">
        <v>5.2008314535510207</v>
      </c>
      <c r="L587">
        <v>0</v>
      </c>
      <c r="M587">
        <v>3.4286753750124781E-3</v>
      </c>
      <c r="N587">
        <v>0.31974401090748289</v>
      </c>
      <c r="O587">
        <v>0.14537399204532372</v>
      </c>
      <c r="P587">
        <v>2.0790830758149182E-2</v>
      </c>
      <c r="Q587">
        <v>1.2957410464072812E-3</v>
      </c>
      <c r="R587">
        <v>3.4231265791453617E-3</v>
      </c>
      <c r="S587">
        <v>0.44287713257508654</v>
      </c>
      <c r="T587">
        <v>4.0357695150984334</v>
      </c>
      <c r="U587">
        <v>0</v>
      </c>
      <c r="V587">
        <v>1.1304767209823808E-2</v>
      </c>
      <c r="W587">
        <v>0.18736838383314311</v>
      </c>
      <c r="X587">
        <v>2.6638611817023029E-2</v>
      </c>
      <c r="Y587">
        <v>9.6740170560159558E-3</v>
      </c>
    </row>
    <row r="588" spans="1:25" x14ac:dyDescent="0.25">
      <c r="A588" s="1093"/>
      <c r="B588" s="1452">
        <v>338</v>
      </c>
      <c r="C588" s="1097">
        <v>0.98629205249610041</v>
      </c>
      <c r="D588" s="1097">
        <v>0.98956416874346342</v>
      </c>
      <c r="E588" s="1097">
        <v>0.99571256831158728</v>
      </c>
      <c r="F588" s="1097">
        <v>0.98531836147761032</v>
      </c>
      <c r="G588" s="1097">
        <v>0.99810011651017849</v>
      </c>
      <c r="H588" s="1097">
        <v>0.98375021191785728</v>
      </c>
      <c r="I588" s="1097">
        <v>1.0037031956109437</v>
      </c>
      <c r="K588">
        <v>5.1098267048377313</v>
      </c>
      <c r="L588">
        <v>0</v>
      </c>
      <c r="M588">
        <v>3.6013215326159069E-3</v>
      </c>
      <c r="N588">
        <v>0.30846798037579193</v>
      </c>
      <c r="O588">
        <v>0.14898760287190277</v>
      </c>
      <c r="P588">
        <v>1.9997824584843314E-2</v>
      </c>
      <c r="Q588">
        <v>1.3223868237500634E-3</v>
      </c>
      <c r="R588">
        <v>3.5951566298589323E-3</v>
      </c>
      <c r="S588">
        <v>0.46270390412053003</v>
      </c>
      <c r="T588">
        <v>3.9372037349996321</v>
      </c>
      <c r="U588">
        <v>0</v>
      </c>
      <c r="V588">
        <v>1.1304767209823806E-2</v>
      </c>
      <c r="W588">
        <v>0.18427545180396496</v>
      </c>
      <c r="X588">
        <v>2.5409029837045148E-2</v>
      </c>
      <c r="Y588">
        <v>1.0160187113205561E-2</v>
      </c>
    </row>
    <row r="589" spans="1:25" x14ac:dyDescent="0.25">
      <c r="A589" s="1093"/>
      <c r="B589" s="1452">
        <v>339</v>
      </c>
      <c r="C589" s="1097">
        <v>0.99964682166854146</v>
      </c>
      <c r="D589" s="1097">
        <v>1.0045998719893099</v>
      </c>
      <c r="E589" s="1097">
        <v>0.99609483800426846</v>
      </c>
      <c r="F589" s="1097">
        <v>1.0003708963083902</v>
      </c>
      <c r="G589" s="1097">
        <v>0.96807353123252504</v>
      </c>
      <c r="H589" s="1097">
        <v>0.99924495398830793</v>
      </c>
      <c r="I589" s="1097">
        <v>0.98209544063515641</v>
      </c>
      <c r="K589">
        <v>5.1664193509241532</v>
      </c>
      <c r="L589">
        <v>0</v>
      </c>
      <c r="M589">
        <v>3.6392540314428238E-3</v>
      </c>
      <c r="N589">
        <v>0.31208664072009679</v>
      </c>
      <c r="O589">
        <v>0.14833470478301983</v>
      </c>
      <c r="P589">
        <v>2.0236139996795181E-2</v>
      </c>
      <c r="Q589">
        <v>1.2973000903867479E-3</v>
      </c>
      <c r="R589">
        <v>3.6332129302256745E-3</v>
      </c>
      <c r="S589">
        <v>0.45390081389895126</v>
      </c>
      <c r="T589">
        <v>3.9973035967008266</v>
      </c>
      <c r="U589">
        <v>0</v>
      </c>
      <c r="V589">
        <v>1.1304767209823817E-2</v>
      </c>
      <c r="W589">
        <v>0.18638890359143648</v>
      </c>
      <c r="X589">
        <v>2.5304787910527527E-2</v>
      </c>
      <c r="Y589">
        <v>1.0267737123503061E-2</v>
      </c>
    </row>
    <row r="590" spans="1:25" x14ac:dyDescent="0.25">
      <c r="A590" s="1093"/>
      <c r="B590" s="1452">
        <v>340</v>
      </c>
      <c r="C590" s="1097">
        <v>1.016800691534071</v>
      </c>
      <c r="D590" s="1097">
        <v>1.0072598008913844</v>
      </c>
      <c r="E590" s="1097">
        <v>0.96832078220602802</v>
      </c>
      <c r="F590" s="1097">
        <v>1.0291737122480398</v>
      </c>
      <c r="G590" s="1097">
        <v>0.99399921878007425</v>
      </c>
      <c r="H590" s="1097">
        <v>0.99076676237126104</v>
      </c>
      <c r="I590" s="1097">
        <v>1.0055656669547726</v>
      </c>
      <c r="K590">
        <v>5.2917059430926452</v>
      </c>
      <c r="L590">
        <v>0</v>
      </c>
      <c r="M590">
        <v>3.8645755304030117E-3</v>
      </c>
      <c r="N590">
        <v>0.30520524067888394</v>
      </c>
      <c r="O590">
        <v>0.15065232402756476</v>
      </c>
      <c r="P590">
        <v>2.0395936017991674E-2</v>
      </c>
      <c r="Q590">
        <v>1.2437587423523532E-3</v>
      </c>
      <c r="R590">
        <v>3.8582862841427239E-3</v>
      </c>
      <c r="S590">
        <v>0.46608490672088998</v>
      </c>
      <c r="T590">
        <v>4.116013285237762</v>
      </c>
      <c r="U590">
        <v>0</v>
      </c>
      <c r="V590">
        <v>1.1304767209823804E-2</v>
      </c>
      <c r="W590">
        <v>0.18577562971650452</v>
      </c>
      <c r="X590">
        <v>2.4132572381925496E-2</v>
      </c>
      <c r="Y590">
        <v>1.0903811605210327E-2</v>
      </c>
    </row>
    <row r="591" spans="1:25" x14ac:dyDescent="0.25">
      <c r="A591" s="1093"/>
      <c r="B591" s="1452">
        <v>341</v>
      </c>
      <c r="C591" s="1097">
        <v>0.99757994988731946</v>
      </c>
      <c r="D591" s="1097">
        <v>0.99913305091634608</v>
      </c>
      <c r="E591" s="1097">
        <v>1.0206157178082986</v>
      </c>
      <c r="F591" s="1097">
        <v>1.0083829442587291</v>
      </c>
      <c r="G591" s="1097">
        <v>1.0254875505204639</v>
      </c>
      <c r="H591" s="1097">
        <v>1.0146822742375945</v>
      </c>
      <c r="I591" s="1097">
        <v>0.98364008970676675</v>
      </c>
      <c r="K591">
        <v>5.2281044476060403</v>
      </c>
      <c r="L591">
        <v>0</v>
      </c>
      <c r="M591">
        <v>3.5523897288881482E-3</v>
      </c>
      <c r="N591">
        <v>0.32759250873457912</v>
      </c>
      <c r="O591">
        <v>0.14946966356049984</v>
      </c>
      <c r="P591">
        <v>2.0777591173642081E-2</v>
      </c>
      <c r="Q591">
        <v>1.3303495763832471E-3</v>
      </c>
      <c r="R591">
        <v>3.5466286009855153E-3</v>
      </c>
      <c r="S591">
        <v>0.46198129458246356</v>
      </c>
      <c r="T591">
        <v>4.0262260613117524</v>
      </c>
      <c r="U591">
        <v>0</v>
      </c>
      <c r="V591">
        <v>1.1304767209823818E-2</v>
      </c>
      <c r="W591">
        <v>0.19245171925518903</v>
      </c>
      <c r="X591">
        <v>2.6953210130937943E-2</v>
      </c>
      <c r="Y591">
        <v>1.0023043198669552E-2</v>
      </c>
    </row>
    <row r="592" spans="1:25" x14ac:dyDescent="0.25">
      <c r="A592" s="1093"/>
      <c r="B592" s="1452">
        <v>342</v>
      </c>
      <c r="C592" s="1097">
        <v>0.97675240335217872</v>
      </c>
      <c r="D592" s="1097">
        <v>1.015657163682574</v>
      </c>
      <c r="E592" s="1097">
        <v>0.99562696298708619</v>
      </c>
      <c r="F592" s="1097">
        <v>1.0312114911653718</v>
      </c>
      <c r="G592" s="1097">
        <v>0.98199938506030904</v>
      </c>
      <c r="H592" s="1097">
        <v>0.98653075715458782</v>
      </c>
      <c r="I592" s="1097">
        <v>0.99396738037011589</v>
      </c>
      <c r="K592">
        <v>5.3426968447444105</v>
      </c>
      <c r="L592">
        <v>0</v>
      </c>
      <c r="M592">
        <v>3.7774986992017423E-3</v>
      </c>
      <c r="N592">
        <v>0.32350233349365598</v>
      </c>
      <c r="O592">
        <v>0.15582173772976562</v>
      </c>
      <c r="P592">
        <v>2.0900881718160232E-2</v>
      </c>
      <c r="Q592">
        <v>1.3213757671371165E-3</v>
      </c>
      <c r="R592">
        <v>3.7713369467379369E-3</v>
      </c>
      <c r="S592">
        <v>0.4788075521606423</v>
      </c>
      <c r="T592">
        <v>4.1205978050337784</v>
      </c>
      <c r="U592">
        <v>0</v>
      </c>
      <c r="V592">
        <v>1.1304767209823818E-2</v>
      </c>
      <c r="W592">
        <v>0.19326802734090651</v>
      </c>
      <c r="X592">
        <v>2.6520439903562874E-2</v>
      </c>
      <c r="Y592">
        <v>1.0658086139436519E-2</v>
      </c>
    </row>
    <row r="593" spans="1:25" x14ac:dyDescent="0.25">
      <c r="A593" s="1093"/>
      <c r="B593" s="1452">
        <v>343</v>
      </c>
      <c r="C593" s="1097">
        <v>1.0361758255051314</v>
      </c>
      <c r="D593" s="1097">
        <v>1.0122251520121639</v>
      </c>
      <c r="E593" s="1097">
        <v>1.0017541946087762</v>
      </c>
      <c r="F593" s="1097">
        <v>0.99957482414357779</v>
      </c>
      <c r="G593" s="1097">
        <v>0.98074304729382034</v>
      </c>
      <c r="H593" s="1097">
        <v>1.0146119275473355</v>
      </c>
      <c r="I593" s="1097">
        <v>0.99272514269780232</v>
      </c>
      <c r="K593">
        <v>5.1358690952955861</v>
      </c>
      <c r="L593">
        <v>0</v>
      </c>
      <c r="M593">
        <v>3.5092926249185013E-3</v>
      </c>
      <c r="N593">
        <v>0.30603830894624007</v>
      </c>
      <c r="O593">
        <v>0.14240840841467503</v>
      </c>
      <c r="P593">
        <v>2.0260947442416383E-2</v>
      </c>
      <c r="Q593">
        <v>1.2538565637131385E-3</v>
      </c>
      <c r="R593">
        <v>3.5035509250133396E-3</v>
      </c>
      <c r="S593">
        <v>0.44443449455751877</v>
      </c>
      <c r="T593">
        <v>3.9934120281354222</v>
      </c>
      <c r="U593">
        <v>0</v>
      </c>
      <c r="V593">
        <v>1.1304767209823827E-2</v>
      </c>
      <c r="W593">
        <v>0.18207833454267131</v>
      </c>
      <c r="X593">
        <v>2.4782388785458305E-2</v>
      </c>
      <c r="Y593">
        <v>9.9013023975472025E-3</v>
      </c>
    </row>
    <row r="594" spans="1:25" x14ac:dyDescent="0.25">
      <c r="A594" s="1093"/>
      <c r="B594" s="1452">
        <v>344</v>
      </c>
      <c r="C594" s="1097">
        <v>1.0160562132501458</v>
      </c>
      <c r="D594" s="1097">
        <v>1.0210972043631277</v>
      </c>
      <c r="E594" s="1097">
        <v>1.0109056346347296</v>
      </c>
      <c r="F594" s="1097">
        <v>0.97996607345254327</v>
      </c>
      <c r="G594" s="1097">
        <v>1.0358499399215513</v>
      </c>
      <c r="H594" s="1097">
        <v>1.0071067776398606</v>
      </c>
      <c r="I594" s="1097">
        <v>1.0247252955966881</v>
      </c>
      <c r="K594">
        <v>5.0664256774011243</v>
      </c>
      <c r="L594">
        <v>0</v>
      </c>
      <c r="M594">
        <v>3.4042936473743794E-3</v>
      </c>
      <c r="N594">
        <v>0.30502408775646689</v>
      </c>
      <c r="O594">
        <v>0.14163957670183125</v>
      </c>
      <c r="P594">
        <v>2.0096631690702433E-2</v>
      </c>
      <c r="Q594">
        <v>1.2842220324898789E-3</v>
      </c>
      <c r="R594">
        <v>3.3985701405057881E-3</v>
      </c>
      <c r="S594">
        <v>0.45796734386909482</v>
      </c>
      <c r="T594">
        <v>3.9139502840579077</v>
      </c>
      <c r="U594">
        <v>0</v>
      </c>
      <c r="V594">
        <v>1.1304767209823822E-2</v>
      </c>
      <c r="W594">
        <v>0.18036069707654825</v>
      </c>
      <c r="X594">
        <v>2.5199171827498174E-2</v>
      </c>
      <c r="Y594">
        <v>9.6046186856251145E-3</v>
      </c>
    </row>
    <row r="595" spans="1:25" x14ac:dyDescent="0.25">
      <c r="A595" s="1093"/>
      <c r="B595" s="1452">
        <v>345</v>
      </c>
      <c r="C595" s="1097">
        <v>0.9796706806569736</v>
      </c>
      <c r="D595" s="1097">
        <v>0.9949921243995935</v>
      </c>
      <c r="E595" s="1097">
        <v>0.98231530514485221</v>
      </c>
      <c r="F595" s="1097">
        <v>1.0087352203695401</v>
      </c>
      <c r="G595" s="1097">
        <v>0.98210020249434404</v>
      </c>
      <c r="H595" s="1097">
        <v>0.97167617628229808</v>
      </c>
      <c r="I595" s="1097">
        <v>1.0004811807855856</v>
      </c>
      <c r="K595">
        <v>5.222131065239541</v>
      </c>
      <c r="L595">
        <v>0</v>
      </c>
      <c r="M595">
        <v>3.7626122082149707E-3</v>
      </c>
      <c r="N595">
        <v>0.30973640465523289</v>
      </c>
      <c r="O595">
        <v>0.15360832982731468</v>
      </c>
      <c r="P595">
        <v>2.0260552744365889E-2</v>
      </c>
      <c r="Q595">
        <v>1.3131432627672382E-3</v>
      </c>
      <c r="R595">
        <v>3.7562422960055082E-3</v>
      </c>
      <c r="S595">
        <v>0.47069649602848107</v>
      </c>
      <c r="T595">
        <v>4.0324799612792139</v>
      </c>
      <c r="U595">
        <v>0</v>
      </c>
      <c r="V595">
        <v>1.1304767209823825E-2</v>
      </c>
      <c r="W595">
        <v>0.18672892971957608</v>
      </c>
      <c r="X595">
        <v>2.5393422920922479E-2</v>
      </c>
      <c r="Y595">
        <v>1.061542750404461E-2</v>
      </c>
    </row>
    <row r="596" spans="1:25" x14ac:dyDescent="0.25">
      <c r="A596" s="1093"/>
      <c r="B596" s="1452">
        <v>346</v>
      </c>
      <c r="C596" s="1097">
        <v>1.0169160789295828</v>
      </c>
      <c r="D596" s="1097">
        <v>1.0290976236357352</v>
      </c>
      <c r="E596" s="1097">
        <v>1.0315269331137145</v>
      </c>
      <c r="F596" s="1097">
        <v>0.99327491578246097</v>
      </c>
      <c r="G596" s="1097">
        <v>1.0045605792163879</v>
      </c>
      <c r="H596" s="1097">
        <v>0.98951416669225145</v>
      </c>
      <c r="I596" s="1097">
        <v>1.0154257156142581</v>
      </c>
      <c r="K596">
        <v>5.1181925566447424</v>
      </c>
      <c r="L596">
        <v>0</v>
      </c>
      <c r="M596">
        <v>3.2327921565555961E-3</v>
      </c>
      <c r="N596">
        <v>0.30787589234537133</v>
      </c>
      <c r="O596">
        <v>0.14244028687994606</v>
      </c>
      <c r="P596">
        <v>2.0622287224594377E-2</v>
      </c>
      <c r="Q596">
        <v>1.3016362570200727E-3</v>
      </c>
      <c r="R596">
        <v>3.2273343529253193E-3</v>
      </c>
      <c r="S596">
        <v>0.45465760637857</v>
      </c>
      <c r="T596">
        <v>3.9645594369614297</v>
      </c>
      <c r="U596">
        <v>0</v>
      </c>
      <c r="V596">
        <v>1.1304767209823824E-2</v>
      </c>
      <c r="W596">
        <v>0.17956294957293856</v>
      </c>
      <c r="X596">
        <v>2.6752458341986769E-2</v>
      </c>
      <c r="Y596">
        <v>9.1206932766887752E-3</v>
      </c>
    </row>
    <row r="597" spans="1:25" x14ac:dyDescent="0.25">
      <c r="A597" s="1093"/>
      <c r="B597" s="1452">
        <v>347</v>
      </c>
      <c r="C597" s="1097">
        <v>0.9780828002244194</v>
      </c>
      <c r="D597" s="1097">
        <v>0.97897581143740109</v>
      </c>
      <c r="E597" s="1097">
        <v>1.0265638882478474</v>
      </c>
      <c r="F597" s="1097">
        <v>0.97069021916046305</v>
      </c>
      <c r="G597" s="1097">
        <v>1.0167659972947836</v>
      </c>
      <c r="H597" s="1097">
        <v>0.96882734834890638</v>
      </c>
      <c r="I597" s="1097">
        <v>0.9733564103790151</v>
      </c>
      <c r="K597">
        <v>5.0304008637399633</v>
      </c>
      <c r="L597">
        <v>0</v>
      </c>
      <c r="M597">
        <v>3.3156810853993773E-3</v>
      </c>
      <c r="N597">
        <v>0.31114642658648067</v>
      </c>
      <c r="O597">
        <v>0.14778624191328488</v>
      </c>
      <c r="P597">
        <v>2.0088499252411521E-2</v>
      </c>
      <c r="Q597">
        <v>1.3748630451920049E-3</v>
      </c>
      <c r="R597">
        <v>3.3098310238570293E-3</v>
      </c>
      <c r="S597">
        <v>0.44511736366679278</v>
      </c>
      <c r="T597">
        <v>3.8750113956927907</v>
      </c>
      <c r="U597">
        <v>0</v>
      </c>
      <c r="V597">
        <v>1.1304767209823824E-2</v>
      </c>
      <c r="W597">
        <v>0.18206829872227756</v>
      </c>
      <c r="X597">
        <v>2.7155022545382605E-2</v>
      </c>
      <c r="Y597">
        <v>9.3538351670646672E-3</v>
      </c>
    </row>
    <row r="598" spans="1:25" x14ac:dyDescent="0.25">
      <c r="A598" s="1093"/>
      <c r="B598" s="1452">
        <v>348</v>
      </c>
      <c r="C598" s="1097">
        <v>0.97733744938232603</v>
      </c>
      <c r="D598" s="1097">
        <v>1.0330944463310354</v>
      </c>
      <c r="E598" s="1097">
        <v>0.98317963248323992</v>
      </c>
      <c r="F598" s="1097">
        <v>1.0116788779172399</v>
      </c>
      <c r="G598" s="1097">
        <v>1.0031134127776391</v>
      </c>
      <c r="H598" s="1097">
        <v>0.99117226023065819</v>
      </c>
      <c r="I598" s="1097">
        <v>0.98436807167532347</v>
      </c>
      <c r="K598">
        <v>5.232444331137331</v>
      </c>
      <c r="L598">
        <v>0</v>
      </c>
      <c r="M598">
        <v>3.7940190405649555E-3</v>
      </c>
      <c r="N598">
        <v>0.3131356545235941</v>
      </c>
      <c r="O598">
        <v>0.15209590720260016</v>
      </c>
      <c r="P598">
        <v>2.0303706847684379E-2</v>
      </c>
      <c r="Q598">
        <v>1.2976118121049381E-3</v>
      </c>
      <c r="R598">
        <v>3.7877405898557072E-3</v>
      </c>
      <c r="S598">
        <v>0.46569708502061496</v>
      </c>
      <c r="T598">
        <v>4.044136735413395</v>
      </c>
      <c r="U598">
        <v>0</v>
      </c>
      <c r="V598">
        <v>1.1304767209823837E-2</v>
      </c>
      <c r="W598">
        <v>0.18866666691485773</v>
      </c>
      <c r="X598">
        <v>2.5108030556109315E-2</v>
      </c>
      <c r="Y598">
        <v>1.0704444087246247E-2</v>
      </c>
    </row>
    <row r="599" spans="1:25" x14ac:dyDescent="0.25">
      <c r="A599" s="1093"/>
      <c r="B599" s="1452">
        <v>349</v>
      </c>
      <c r="C599" s="1097">
        <v>0.99985092680182397</v>
      </c>
      <c r="D599" s="1097">
        <v>1.0252477287188317</v>
      </c>
      <c r="E599" s="1097">
        <v>0.99633248752555004</v>
      </c>
      <c r="F599" s="1097">
        <v>1.0142383195818347</v>
      </c>
      <c r="G599" s="1097">
        <v>1.0181406782976785</v>
      </c>
      <c r="H599" s="1097">
        <v>1.0086621608950057</v>
      </c>
      <c r="I599" s="1097">
        <v>0.97893398849605429</v>
      </c>
      <c r="K599">
        <v>5.2342949098725811</v>
      </c>
      <c r="L599">
        <v>0</v>
      </c>
      <c r="M599">
        <v>3.6916038097931417E-3</v>
      </c>
      <c r="N599">
        <v>0.31681102888123064</v>
      </c>
      <c r="O599">
        <v>0.14913495603677193</v>
      </c>
      <c r="P599">
        <v>2.0507439300338971E-2</v>
      </c>
      <c r="Q599">
        <v>1.2867855428734629E-3</v>
      </c>
      <c r="R599">
        <v>3.6856158904190932E-3</v>
      </c>
      <c r="S599">
        <v>0.45754366337589852</v>
      </c>
      <c r="T599">
        <v>4.0526850292984067</v>
      </c>
      <c r="U599">
        <v>0</v>
      </c>
      <c r="V599">
        <v>1.1304767209823815E-2</v>
      </c>
      <c r="W599">
        <v>0.18918000413973224</v>
      </c>
      <c r="X599">
        <v>2.543139211709107E-2</v>
      </c>
      <c r="Y599">
        <v>1.041583188978641E-2</v>
      </c>
    </row>
    <row r="600" spans="1:25" x14ac:dyDescent="0.25">
      <c r="A600" s="1093"/>
      <c r="B600" s="1452">
        <v>350</v>
      </c>
      <c r="C600" s="1097">
        <v>1.0062790081539927</v>
      </c>
      <c r="D600" s="1097">
        <v>0.99343187742730188</v>
      </c>
      <c r="E600" s="1097">
        <v>1.0283093111995338</v>
      </c>
      <c r="F600" s="1097">
        <v>0.99657889030958435</v>
      </c>
      <c r="G600" s="1097">
        <v>1.0056862509850393</v>
      </c>
      <c r="H600" s="1097">
        <v>0.98358578020404375</v>
      </c>
      <c r="I600" s="1097">
        <v>0.99907876177553223</v>
      </c>
      <c r="K600">
        <v>5.1471754917620709</v>
      </c>
      <c r="L600">
        <v>0</v>
      </c>
      <c r="M600">
        <v>3.3270405462603502E-3</v>
      </c>
      <c r="N600">
        <v>0.31385043638098814</v>
      </c>
      <c r="O600">
        <v>0.14656586194070714</v>
      </c>
      <c r="P600">
        <v>2.0640444168160368E-2</v>
      </c>
      <c r="Q600">
        <v>1.3304808751732249E-3</v>
      </c>
      <c r="R600">
        <v>3.3214084744940539E-3</v>
      </c>
      <c r="S600">
        <v>0.45534590456298207</v>
      </c>
      <c r="T600">
        <v>3.9781438357416183</v>
      </c>
      <c r="U600">
        <v>0</v>
      </c>
      <c r="V600">
        <v>1.1304767209823801E-2</v>
      </c>
      <c r="W600">
        <v>0.18343801370623877</v>
      </c>
      <c r="X600">
        <v>2.7174825321686084E-2</v>
      </c>
      <c r="Y600">
        <v>9.3865539264614377E-3</v>
      </c>
    </row>
    <row r="601" spans="1:25" x14ac:dyDescent="0.25">
      <c r="A601" s="1093"/>
      <c r="B601" s="1452">
        <v>351</v>
      </c>
      <c r="C601" s="1097">
        <v>0.96830425781149287</v>
      </c>
      <c r="D601" s="1097">
        <v>1.0096028350085007</v>
      </c>
      <c r="E601" s="1097">
        <v>0.98614254093174258</v>
      </c>
      <c r="F601" s="1097">
        <v>1.0045454556080313</v>
      </c>
      <c r="G601" s="1097">
        <v>0.99140369225070935</v>
      </c>
      <c r="H601" s="1097">
        <v>0.96210631750046693</v>
      </c>
      <c r="I601" s="1097">
        <v>0.99696361949692147</v>
      </c>
      <c r="K601">
        <v>5.2012708595696235</v>
      </c>
      <c r="L601">
        <v>0</v>
      </c>
      <c r="M601">
        <v>3.7019497895361491E-3</v>
      </c>
      <c r="N601">
        <v>0.30821483256793769</v>
      </c>
      <c r="O601">
        <v>0.15375609261039067</v>
      </c>
      <c r="P601">
        <v>2.0237310462423032E-2</v>
      </c>
      <c r="Q601">
        <v>1.3252167450707062E-3</v>
      </c>
      <c r="R601">
        <v>3.6955938814134592E-3</v>
      </c>
      <c r="S601">
        <v>0.4697194812110691</v>
      </c>
      <c r="T601">
        <v>4.0152448468929398</v>
      </c>
      <c r="U601">
        <v>0</v>
      </c>
      <c r="V601">
        <v>1.130476720982382E-2</v>
      </c>
      <c r="W601">
        <v>0.18532643730735274</v>
      </c>
      <c r="X601">
        <v>2.5704200016614918E-2</v>
      </c>
      <c r="Y601">
        <v>1.0444030454120068E-2</v>
      </c>
    </row>
    <row r="602" spans="1:25" x14ac:dyDescent="0.25">
      <c r="A602" s="1093"/>
      <c r="B602" s="1452">
        <v>352</v>
      </c>
      <c r="C602" s="1097">
        <v>0.99469795218954837</v>
      </c>
      <c r="D602" s="1097">
        <v>0.9765835562781725</v>
      </c>
      <c r="E602" s="1097">
        <v>1.046862477574974</v>
      </c>
      <c r="F602" s="1097">
        <v>1.0225591096345359</v>
      </c>
      <c r="G602" s="1097">
        <v>1.0087428062977675</v>
      </c>
      <c r="H602" s="1097">
        <v>1.0216777126590018</v>
      </c>
      <c r="I602" s="1097">
        <v>1.0123752538311455</v>
      </c>
      <c r="K602">
        <v>5.3373227454285752</v>
      </c>
      <c r="L602">
        <v>0</v>
      </c>
      <c r="M602">
        <v>3.4725773548383186E-3</v>
      </c>
      <c r="N602">
        <v>0.34607475114902819</v>
      </c>
      <c r="O602">
        <v>0.15264608544118069</v>
      </c>
      <c r="P602">
        <v>2.1540033257907133E-2</v>
      </c>
      <c r="Q602">
        <v>1.3764179659687499E-3</v>
      </c>
      <c r="R602">
        <v>3.467061637887959E-3</v>
      </c>
      <c r="S602">
        <v>0.48604067257093164</v>
      </c>
      <c r="T602">
        <v>4.0795120782171637</v>
      </c>
      <c r="U602">
        <v>0</v>
      </c>
      <c r="V602">
        <v>1.130476720982383E-2</v>
      </c>
      <c r="W602">
        <v>0.19981453421529902</v>
      </c>
      <c r="X602">
        <v>2.9220740231912835E-2</v>
      </c>
      <c r="Y602">
        <v>9.7981808863055915E-3</v>
      </c>
    </row>
    <row r="603" spans="1:25" x14ac:dyDescent="0.25">
      <c r="A603" s="1093"/>
      <c r="B603" s="1452">
        <v>353</v>
      </c>
      <c r="C603" s="1097">
        <v>1.0429589091211351</v>
      </c>
      <c r="D603" s="1097">
        <v>0.99464597689292866</v>
      </c>
      <c r="E603" s="1097">
        <v>0.96062305328547115</v>
      </c>
      <c r="F603" s="1097">
        <v>0.96422000823228105</v>
      </c>
      <c r="G603" s="1097">
        <v>0.97929229599539991</v>
      </c>
      <c r="H603" s="1097">
        <v>1.016487896760204</v>
      </c>
      <c r="I603" s="1097">
        <v>0.97873939939154342</v>
      </c>
      <c r="K603">
        <v>4.9437075223736597</v>
      </c>
      <c r="L603">
        <v>0</v>
      </c>
      <c r="M603">
        <v>3.6993525343078613E-3</v>
      </c>
      <c r="N603">
        <v>0.28553270136814607</v>
      </c>
      <c r="O603">
        <v>0.13849795869940254</v>
      </c>
      <c r="P603">
        <v>1.8948024278077649E-2</v>
      </c>
      <c r="Q603">
        <v>1.2104952704614202E-3</v>
      </c>
      <c r="R603">
        <v>3.6930898991212719E-3</v>
      </c>
      <c r="S603">
        <v>0.42419702880906229</v>
      </c>
      <c r="T603">
        <v>3.8571888537828718</v>
      </c>
      <c r="U603">
        <v>0</v>
      </c>
      <c r="V603">
        <v>1.1304767209823822E-2</v>
      </c>
      <c r="W603">
        <v>0.17473000613723866</v>
      </c>
      <c r="X603">
        <v>2.1666995444765923E-2</v>
      </c>
      <c r="Y603">
        <v>1.043695400899234E-2</v>
      </c>
    </row>
    <row r="604" spans="1:25" x14ac:dyDescent="0.25">
      <c r="A604" s="1093"/>
      <c r="B604" s="1452">
        <v>354</v>
      </c>
      <c r="C604" s="1097">
        <v>0.97983550791640528</v>
      </c>
      <c r="D604" s="1097">
        <v>0.968722479840049</v>
      </c>
      <c r="E604" s="1097">
        <v>1.0045247433922133</v>
      </c>
      <c r="F604" s="1097">
        <v>1.016300153957713</v>
      </c>
      <c r="G604" s="1097">
        <v>1.0140998499827258</v>
      </c>
      <c r="H604" s="1097">
        <v>0.9545570164068008</v>
      </c>
      <c r="I604" s="1097">
        <v>0.9921827177649587</v>
      </c>
      <c r="K604">
        <v>5.2584189083637458</v>
      </c>
      <c r="L604">
        <v>0</v>
      </c>
      <c r="M604">
        <v>3.5916378128011553E-3</v>
      </c>
      <c r="N604">
        <v>0.31577715282988361</v>
      </c>
      <c r="O604">
        <v>0.1557499262758191</v>
      </c>
      <c r="P604">
        <v>2.0717048644784134E-2</v>
      </c>
      <c r="Q604">
        <v>1.3526591986172736E-3</v>
      </c>
      <c r="R604">
        <v>3.5854943007654605E-3</v>
      </c>
      <c r="S604">
        <v>0.46875802247744763</v>
      </c>
      <c r="T604">
        <v>4.0598785730688771</v>
      </c>
      <c r="U604">
        <v>0</v>
      </c>
      <c r="V604">
        <v>1.1304767209823817E-2</v>
      </c>
      <c r="W604">
        <v>0.18752176331688564</v>
      </c>
      <c r="X604">
        <v>2.7232258220138604E-2</v>
      </c>
      <c r="Y604">
        <v>1.0132880633503483E-2</v>
      </c>
    </row>
    <row r="605" spans="1:25" x14ac:dyDescent="0.25">
      <c r="A605" s="1093"/>
      <c r="B605" s="1452">
        <v>355</v>
      </c>
      <c r="C605" s="1097">
        <v>0.97868736065733508</v>
      </c>
      <c r="D605" s="1097">
        <v>0.99487736597209053</v>
      </c>
      <c r="E605" s="1097">
        <v>1.0044993636335739</v>
      </c>
      <c r="F605" s="1097">
        <v>1.017082245941404</v>
      </c>
      <c r="G605" s="1097">
        <v>1.0172778393356796</v>
      </c>
      <c r="H605" s="1097">
        <v>0.98477303494668433</v>
      </c>
      <c r="I605" s="1097">
        <v>0.99174825126331956</v>
      </c>
      <c r="K605">
        <v>5.2755720787656646</v>
      </c>
      <c r="L605">
        <v>0</v>
      </c>
      <c r="M605">
        <v>3.67337020655248E-3</v>
      </c>
      <c r="N605">
        <v>0.32295618529023168</v>
      </c>
      <c r="O605">
        <v>0.15439922860591515</v>
      </c>
      <c r="P605">
        <v>2.0749539840329283E-2</v>
      </c>
      <c r="Q605">
        <v>1.3398620791285484E-3</v>
      </c>
      <c r="R605">
        <v>3.6672843590352562E-3</v>
      </c>
      <c r="S605">
        <v>0.47283524846497177</v>
      </c>
      <c r="T605">
        <v>4.0630060794888259</v>
      </c>
      <c r="U605">
        <v>0</v>
      </c>
      <c r="V605">
        <v>1.130476720982383E-2</v>
      </c>
      <c r="W605">
        <v>0.19178825469815752</v>
      </c>
      <c r="X605">
        <v>2.6834973353242642E-2</v>
      </c>
      <c r="Y605">
        <v>1.0364025582549476E-2</v>
      </c>
    </row>
    <row r="606" spans="1:25" x14ac:dyDescent="0.25">
      <c r="A606" s="1093"/>
      <c r="B606" s="1452">
        <v>356</v>
      </c>
      <c r="C606" s="1097">
        <v>0.97785683326285777</v>
      </c>
      <c r="D606" s="1097">
        <v>0.97306659548456942</v>
      </c>
      <c r="E606" s="1097">
        <v>0.99134254740319661</v>
      </c>
      <c r="F606" s="1097">
        <v>1.0238061757774992</v>
      </c>
      <c r="G606" s="1097">
        <v>0.96692957209837549</v>
      </c>
      <c r="H606" s="1097">
        <v>1.0094388719387153</v>
      </c>
      <c r="I606" s="1097">
        <v>1.0085439651211496</v>
      </c>
      <c r="K606">
        <v>5.3426217861778662</v>
      </c>
      <c r="L606">
        <v>0</v>
      </c>
      <c r="M606">
        <v>3.9347247058635461E-3</v>
      </c>
      <c r="N606">
        <v>0.33272290555153972</v>
      </c>
      <c r="O606">
        <v>0.15732496302764751</v>
      </c>
      <c r="P606">
        <v>2.0757518595454116E-2</v>
      </c>
      <c r="Q606">
        <v>1.3377534335544756E-3</v>
      </c>
      <c r="R606">
        <v>3.9284068483765745E-3</v>
      </c>
      <c r="S606">
        <v>0.49095240344942204</v>
      </c>
      <c r="T606">
        <v>4.0915594633964298</v>
      </c>
      <c r="U606">
        <v>0</v>
      </c>
      <c r="V606">
        <v>1.1304767209823815E-2</v>
      </c>
      <c r="W606">
        <v>0.19935561434703294</v>
      </c>
      <c r="X606">
        <v>2.6210737351262135E-2</v>
      </c>
      <c r="Y606">
        <v>1.1101977673187021E-2</v>
      </c>
    </row>
    <row r="607" spans="1:25" x14ac:dyDescent="0.25">
      <c r="A607" s="1093"/>
      <c r="B607" s="1452">
        <v>357</v>
      </c>
      <c r="C607" s="1097">
        <v>0.98076675286137605</v>
      </c>
      <c r="D607" s="1097">
        <v>0.97902594460124914</v>
      </c>
      <c r="E607" s="1097">
        <v>1.0212202503966363</v>
      </c>
      <c r="F607" s="1097">
        <v>1.0246480222211793</v>
      </c>
      <c r="G607" s="1097">
        <v>1.0046134398350177</v>
      </c>
      <c r="H607" s="1097">
        <v>0.98713548795681871</v>
      </c>
      <c r="I607" s="1097">
        <v>0.97783203677016528</v>
      </c>
      <c r="K607">
        <v>5.316249686793606</v>
      </c>
      <c r="L607">
        <v>0</v>
      </c>
      <c r="M607">
        <v>3.5963680120494803E-3</v>
      </c>
      <c r="N607">
        <v>0.33223546966321021</v>
      </c>
      <c r="O607">
        <v>0.15572790584410609</v>
      </c>
      <c r="P607">
        <v>2.1123668056318802E-2</v>
      </c>
      <c r="Q607">
        <v>1.3649019131384632E-3</v>
      </c>
      <c r="R607">
        <v>3.5904678155467169E-3</v>
      </c>
      <c r="S607">
        <v>0.4700373827550125</v>
      </c>
      <c r="T607">
        <v>4.091091529020825</v>
      </c>
      <c r="U607">
        <v>0</v>
      </c>
      <c r="V607">
        <v>1.1304767209823825E-2</v>
      </c>
      <c r="W607">
        <v>0.19510072180862406</v>
      </c>
      <c r="X607">
        <v>2.8122304553060626E-2</v>
      </c>
      <c r="Y607">
        <v>1.0146936165985204E-2</v>
      </c>
    </row>
    <row r="608" spans="1:25" x14ac:dyDescent="0.25">
      <c r="A608" s="1093"/>
      <c r="B608" s="1452">
        <v>358</v>
      </c>
      <c r="C608" s="1097">
        <v>1.0153074198841729</v>
      </c>
      <c r="D608" s="1097">
        <v>0.9998470206352752</v>
      </c>
      <c r="E608" s="1097">
        <v>1.0037266218298313</v>
      </c>
      <c r="F608" s="1097">
        <v>0.97581469239084029</v>
      </c>
      <c r="G608" s="1097">
        <v>0.99600647315485957</v>
      </c>
      <c r="H608" s="1097">
        <v>0.99184698132661298</v>
      </c>
      <c r="I608" s="1097">
        <v>1.0196495045270018</v>
      </c>
      <c r="K608">
        <v>5.0396681284680476</v>
      </c>
      <c r="L608">
        <v>0</v>
      </c>
      <c r="M608">
        <v>3.4206014991655129E-3</v>
      </c>
      <c r="N608">
        <v>0.30002832550894781</v>
      </c>
      <c r="O608">
        <v>0.14252801167374349</v>
      </c>
      <c r="P608">
        <v>1.9898097263229199E-2</v>
      </c>
      <c r="Q608">
        <v>1.2881132480866673E-3</v>
      </c>
      <c r="R608">
        <v>3.4147372950560696E-3</v>
      </c>
      <c r="S608">
        <v>0.45350978569462086</v>
      </c>
      <c r="T608">
        <v>3.8982463295063687</v>
      </c>
      <c r="U608">
        <v>0</v>
      </c>
      <c r="V608">
        <v>1.130476720982382E-2</v>
      </c>
      <c r="W608">
        <v>0.178265314001533</v>
      </c>
      <c r="X608">
        <v>2.4954940267109323E-2</v>
      </c>
      <c r="Y608">
        <v>9.6503082986880758E-3</v>
      </c>
    </row>
    <row r="609" spans="1:25" x14ac:dyDescent="0.25">
      <c r="A609" s="1093"/>
      <c r="B609" s="1452">
        <v>359</v>
      </c>
      <c r="C609" s="1097">
        <v>1.0108570228597737</v>
      </c>
      <c r="D609" s="1097">
        <v>0.99350080786770789</v>
      </c>
      <c r="E609" s="1097">
        <v>0.9903604955886659</v>
      </c>
      <c r="F609" s="1097">
        <v>0.97622122752952067</v>
      </c>
      <c r="G609" s="1097">
        <v>1.0322527018078236</v>
      </c>
      <c r="H609" s="1097">
        <v>1.0107605477748458</v>
      </c>
      <c r="I609" s="1097">
        <v>0.98250613315991864</v>
      </c>
      <c r="K609">
        <v>5.0421242060738667</v>
      </c>
      <c r="L609">
        <v>0</v>
      </c>
      <c r="M609">
        <v>3.6117659556064688E-3</v>
      </c>
      <c r="N609">
        <v>0.30450214545364246</v>
      </c>
      <c r="O609">
        <v>0.14394058623839565</v>
      </c>
      <c r="P609">
        <v>1.9667499387100686E-2</v>
      </c>
      <c r="Q609">
        <v>1.2822824336510752E-3</v>
      </c>
      <c r="R609">
        <v>3.6056924141056445E-3</v>
      </c>
      <c r="S609">
        <v>0.44299229302901755</v>
      </c>
      <c r="T609">
        <v>3.9015109100179517</v>
      </c>
      <c r="U609">
        <v>0</v>
      </c>
      <c r="V609">
        <v>1.1304767209823824E-2</v>
      </c>
      <c r="W609">
        <v>0.18256864198390538</v>
      </c>
      <c r="X609">
        <v>2.4171191818018498E-2</v>
      </c>
      <c r="Y609">
        <v>1.0189962043855848E-2</v>
      </c>
    </row>
    <row r="610" spans="1:25" x14ac:dyDescent="0.25">
      <c r="A610" s="1093"/>
      <c r="B610" s="1452">
        <v>360</v>
      </c>
      <c r="C610" s="1097">
        <v>0.98945545586547445</v>
      </c>
      <c r="D610" s="1097">
        <v>1.0221496422645631</v>
      </c>
      <c r="E610" s="1097">
        <v>1.0216664795139851</v>
      </c>
      <c r="F610" s="1097">
        <v>1.0299446459488624</v>
      </c>
      <c r="G610" s="1097">
        <v>1.0143116492646191</v>
      </c>
      <c r="H610" s="1097">
        <v>1.0115163879361913</v>
      </c>
      <c r="I610" s="1097">
        <v>1.0011712286392069</v>
      </c>
      <c r="K610">
        <v>5.3455482000179195</v>
      </c>
      <c r="L610">
        <v>0</v>
      </c>
      <c r="M610">
        <v>3.6055188208991488E-3</v>
      </c>
      <c r="N610">
        <v>0.33353676374534541</v>
      </c>
      <c r="O610">
        <v>0.15249320394108504</v>
      </c>
      <c r="P610">
        <v>2.1273400566398502E-2</v>
      </c>
      <c r="Q610">
        <v>1.3302910228089847E-3</v>
      </c>
      <c r="R610">
        <v>3.5997758264390924E-3</v>
      </c>
      <c r="S610">
        <v>0.47985298166969348</v>
      </c>
      <c r="T610">
        <v>4.1121821328510428</v>
      </c>
      <c r="U610">
        <v>0</v>
      </c>
      <c r="V610">
        <v>1.1304767209823817E-2</v>
      </c>
      <c r="W610">
        <v>0.19580667671021118</v>
      </c>
      <c r="X610">
        <v>2.760048398056816E-2</v>
      </c>
      <c r="Y610">
        <v>1.017324131540007E-2</v>
      </c>
    </row>
    <row r="611" spans="1:25" x14ac:dyDescent="0.25">
      <c r="A611" s="1093"/>
      <c r="B611" s="1452">
        <v>361</v>
      </c>
      <c r="C611" s="1097">
        <v>0.99362382871011024</v>
      </c>
      <c r="D611" s="1097">
        <v>1.006060643108484</v>
      </c>
      <c r="E611" s="1097">
        <v>0.96405214986322263</v>
      </c>
      <c r="F611" s="1097">
        <v>1.0119695506388171</v>
      </c>
      <c r="G611" s="1097">
        <v>0.98632823993009944</v>
      </c>
      <c r="H611" s="1097">
        <v>1.0065480038581796</v>
      </c>
      <c r="I611" s="1097">
        <v>0.99654752530702517</v>
      </c>
      <c r="K611">
        <v>5.2371303473280841</v>
      </c>
      <c r="L611">
        <v>0</v>
      </c>
      <c r="M611">
        <v>3.9880398246369599E-3</v>
      </c>
      <c r="N611">
        <v>0.31098703480660139</v>
      </c>
      <c r="O611">
        <v>0.15178210280985716</v>
      </c>
      <c r="P611">
        <v>2.0040521017249641E-2</v>
      </c>
      <c r="Q611">
        <v>1.2686255181875755E-3</v>
      </c>
      <c r="R611">
        <v>3.9815429788403389E-3</v>
      </c>
      <c r="S611">
        <v>0.46912890372614052</v>
      </c>
      <c r="T611">
        <v>4.047758962395883</v>
      </c>
      <c r="U611">
        <v>0</v>
      </c>
      <c r="V611">
        <v>1.1304767209823827E-2</v>
      </c>
      <c r="W611">
        <v>0.18985463636312799</v>
      </c>
      <c r="X611">
        <v>2.3759145892376054E-2</v>
      </c>
      <c r="Y611">
        <v>1.125214443462927E-2</v>
      </c>
    </row>
    <row r="612" spans="1:25" x14ac:dyDescent="0.25">
      <c r="A612" s="1093"/>
      <c r="B612" s="1452">
        <v>362</v>
      </c>
      <c r="C612" s="1097">
        <v>0.99458512196559401</v>
      </c>
      <c r="D612" s="1097">
        <v>1.0109279352358671</v>
      </c>
      <c r="E612" s="1097">
        <v>0.98855224455632584</v>
      </c>
      <c r="F612" s="1097">
        <v>0.96587140798348092</v>
      </c>
      <c r="G612" s="1097">
        <v>0.99872074437639424</v>
      </c>
      <c r="H612" s="1097">
        <v>0.99088726395734117</v>
      </c>
      <c r="I612" s="1097">
        <v>0.97244873355575445</v>
      </c>
      <c r="K612">
        <v>4.9832633937213116</v>
      </c>
      <c r="L612">
        <v>0</v>
      </c>
      <c r="M612">
        <v>3.5493810158036842E-3</v>
      </c>
      <c r="N612">
        <v>0.29762681094516386</v>
      </c>
      <c r="O612">
        <v>0.14378987205213106</v>
      </c>
      <c r="P612">
        <v>1.9426635955201749E-2</v>
      </c>
      <c r="Q612">
        <v>1.2922100198591486E-3</v>
      </c>
      <c r="R612">
        <v>3.543227545795015E-3</v>
      </c>
      <c r="S612">
        <v>0.43665121588130518</v>
      </c>
      <c r="T612">
        <v>3.8603677715032396</v>
      </c>
      <c r="U612">
        <v>0</v>
      </c>
      <c r="V612">
        <v>1.1304767209823808E-2</v>
      </c>
      <c r="W612">
        <v>0.1786662277826751</v>
      </c>
      <c r="X612">
        <v>2.4130604284879221E-2</v>
      </c>
      <c r="Y612">
        <v>1.0013431557042915E-2</v>
      </c>
    </row>
    <row r="613" spans="1:25" x14ac:dyDescent="0.25">
      <c r="A613" s="1093"/>
      <c r="B613" s="1452">
        <v>363</v>
      </c>
      <c r="C613" s="1097">
        <v>0.99268507704238174</v>
      </c>
      <c r="D613" s="1097">
        <v>0.99907887692450847</v>
      </c>
      <c r="E613" s="1097">
        <v>1.002758227555764</v>
      </c>
      <c r="F613" s="1097">
        <v>1.0236145176726785</v>
      </c>
      <c r="G613" s="1097">
        <v>0.96016387474593123</v>
      </c>
      <c r="H613" s="1097">
        <v>1.0433538828488278</v>
      </c>
      <c r="I613" s="1097">
        <v>1.0105368656154861</v>
      </c>
      <c r="K613">
        <v>5.3412287259071087</v>
      </c>
      <c r="L613">
        <v>0</v>
      </c>
      <c r="M613">
        <v>3.8692763673408262E-3</v>
      </c>
      <c r="N613">
        <v>0.33846484441469554</v>
      </c>
      <c r="O613">
        <v>0.15299168619806583</v>
      </c>
      <c r="P613">
        <v>2.0914553880888084E-2</v>
      </c>
      <c r="Q613">
        <v>1.3167821425484232E-3</v>
      </c>
      <c r="R613">
        <v>3.8632644252545928E-3</v>
      </c>
      <c r="S613">
        <v>0.48860950924093821</v>
      </c>
      <c r="T613">
        <v>4.0893243646582027</v>
      </c>
      <c r="U613">
        <v>0</v>
      </c>
      <c r="V613">
        <v>1.130476720982383E-2</v>
      </c>
      <c r="W613">
        <v>0.20123419620460564</v>
      </c>
      <c r="X613">
        <v>2.6156153687365756E-2</v>
      </c>
      <c r="Y613">
        <v>1.0917880212055565E-2</v>
      </c>
    </row>
    <row r="614" spans="1:25" x14ac:dyDescent="0.25">
      <c r="A614" s="1093"/>
      <c r="B614" s="1452">
        <v>364</v>
      </c>
      <c r="C614" s="1097">
        <v>1.0279376033102197</v>
      </c>
      <c r="D614" s="1097">
        <v>1.0152466709344379</v>
      </c>
      <c r="E614" s="1097">
        <v>0.98532957049677083</v>
      </c>
      <c r="F614" s="1097">
        <v>0.98228685144302896</v>
      </c>
      <c r="G614" s="1097">
        <v>1.0135531625564185</v>
      </c>
      <c r="H614" s="1097">
        <v>1.024470509448222</v>
      </c>
      <c r="I614" s="1097">
        <v>0.96757345841911424</v>
      </c>
      <c r="K614">
        <v>5.0481739183569445</v>
      </c>
      <c r="L614">
        <v>0</v>
      </c>
      <c r="M614">
        <v>3.6291964467870569E-3</v>
      </c>
      <c r="N614">
        <v>0.30145039130113815</v>
      </c>
      <c r="O614">
        <v>0.1413330668839316</v>
      </c>
      <c r="P614">
        <v>1.9654306102046094E-2</v>
      </c>
      <c r="Q614">
        <v>1.2446815276452078E-3</v>
      </c>
      <c r="R614">
        <v>3.623212383532002E-3</v>
      </c>
      <c r="S614">
        <v>0.43174786885400263</v>
      </c>
      <c r="T614">
        <v>3.9263764414352367</v>
      </c>
      <c r="U614">
        <v>0</v>
      </c>
      <c r="V614">
        <v>1.1304767209823818E-2</v>
      </c>
      <c r="W614">
        <v>0.18135964160578774</v>
      </c>
      <c r="X614">
        <v>2.3469262685545195E-2</v>
      </c>
      <c r="Y614">
        <v>1.0239474815041123E-2</v>
      </c>
    </row>
    <row r="615" spans="1:25" x14ac:dyDescent="0.25">
      <c r="A615" s="1093"/>
      <c r="B615" s="1452">
        <v>365</v>
      </c>
      <c r="C615" s="1097">
        <v>1.0192211385885566</v>
      </c>
      <c r="D615" s="1097">
        <v>0.97175661054326501</v>
      </c>
      <c r="E615" s="1097">
        <v>0.96633425954684071</v>
      </c>
      <c r="F615" s="1097">
        <v>1.0222640919588724</v>
      </c>
      <c r="G615" s="1097">
        <v>0.97900896999180653</v>
      </c>
      <c r="H615" s="1097">
        <v>0.97979730877066951</v>
      </c>
      <c r="I615" s="1097">
        <v>0.98563713502487582</v>
      </c>
      <c r="K615">
        <v>5.2497295648123119</v>
      </c>
      <c r="L615">
        <v>0</v>
      </c>
      <c r="M615">
        <v>3.8579292405038295E-3</v>
      </c>
      <c r="N615">
        <v>0.30287904849653874</v>
      </c>
      <c r="O615">
        <v>0.15149976372556115</v>
      </c>
      <c r="P615">
        <v>2.0191289995287364E-2</v>
      </c>
      <c r="Q615">
        <v>1.2565569619312686E-3</v>
      </c>
      <c r="R615">
        <v>3.8515376772622939E-3</v>
      </c>
      <c r="S615">
        <v>0.45431721727305818</v>
      </c>
      <c r="T615">
        <v>4.0886382431373942</v>
      </c>
      <c r="U615">
        <v>0</v>
      </c>
      <c r="V615">
        <v>1.1304767209823818E-2</v>
      </c>
      <c r="W615">
        <v>0.18461297181124622</v>
      </c>
      <c r="X615">
        <v>2.4151358237775693E-2</v>
      </c>
      <c r="Y615">
        <v>1.0884739526934471E-2</v>
      </c>
    </row>
    <row r="616" spans="1:25" x14ac:dyDescent="0.25">
      <c r="A616" s="1093"/>
      <c r="B616" s="1452">
        <v>366</v>
      </c>
      <c r="C616" s="1097">
        <v>1.0115184835852411</v>
      </c>
      <c r="D616" s="1097">
        <v>0.99228771919432601</v>
      </c>
      <c r="E616" s="1097">
        <v>0.9915352679561561</v>
      </c>
      <c r="F616" s="1097">
        <v>0.99438358844098296</v>
      </c>
      <c r="G616" s="1097">
        <v>1.0193597624234247</v>
      </c>
      <c r="H616" s="1097">
        <v>0.96711645713167738</v>
      </c>
      <c r="I616" s="1097">
        <v>0.97674333482071496</v>
      </c>
      <c r="K616">
        <v>5.102104104834515</v>
      </c>
      <c r="L616">
        <v>0</v>
      </c>
      <c r="M616">
        <v>3.5107308538259176E-3</v>
      </c>
      <c r="N616">
        <v>0.29700374833442927</v>
      </c>
      <c r="O616">
        <v>0.14656207347781741</v>
      </c>
      <c r="P616">
        <v>1.9994967608642982E-2</v>
      </c>
      <c r="Q616">
        <v>1.2833692483815576E-3</v>
      </c>
      <c r="R616">
        <v>3.5046733007276813E-3</v>
      </c>
      <c r="S616">
        <v>0.43917305448985172</v>
      </c>
      <c r="T616">
        <v>3.9739502897967207</v>
      </c>
      <c r="U616">
        <v>0</v>
      </c>
      <c r="V616">
        <v>1.1304767209823811E-2</v>
      </c>
      <c r="W616">
        <v>0.17793066526861831</v>
      </c>
      <c r="X616">
        <v>2.5002752636321051E-2</v>
      </c>
      <c r="Y616">
        <v>9.904474317005264E-3</v>
      </c>
    </row>
    <row r="617" spans="1:25" x14ac:dyDescent="0.25">
      <c r="A617" s="1093"/>
      <c r="B617" s="1452">
        <v>367</v>
      </c>
      <c r="C617" s="1097">
        <v>1.0121499942106633</v>
      </c>
      <c r="D617" s="1097">
        <v>0.98755291017860181</v>
      </c>
      <c r="E617" s="1097">
        <v>0.98440052016497881</v>
      </c>
      <c r="F617" s="1097">
        <v>1.0018196451297559</v>
      </c>
      <c r="G617" s="1097">
        <v>0.99032666235180189</v>
      </c>
      <c r="H617" s="1097">
        <v>0.97533401172390288</v>
      </c>
      <c r="I617" s="1097">
        <v>1.0340128660507986</v>
      </c>
      <c r="K617">
        <v>5.1710050677510422</v>
      </c>
      <c r="L617">
        <v>0</v>
      </c>
      <c r="M617">
        <v>3.6255620772769224E-3</v>
      </c>
      <c r="N617">
        <v>0.30030489205742239</v>
      </c>
      <c r="O617">
        <v>0.14804604010188935</v>
      </c>
      <c r="P617">
        <v>2.0161955649776332E-2</v>
      </c>
      <c r="Q617">
        <v>1.2771310196966531E-3</v>
      </c>
      <c r="R617">
        <v>3.6194050620569169E-3</v>
      </c>
      <c r="S617">
        <v>0.46955144386973491</v>
      </c>
      <c r="T617">
        <v>4.0045702026829177</v>
      </c>
      <c r="U617">
        <v>0</v>
      </c>
      <c r="V617">
        <v>1.1304767209823818E-2</v>
      </c>
      <c r="W617">
        <v>0.18078513877948774</v>
      </c>
      <c r="X617">
        <v>2.4780938361632088E-2</v>
      </c>
      <c r="Y617">
        <v>1.0228715033877287E-2</v>
      </c>
    </row>
    <row r="618" spans="1:25" x14ac:dyDescent="0.25">
      <c r="A618" s="1093"/>
      <c r="B618" s="1452">
        <v>368</v>
      </c>
      <c r="C618" s="1097">
        <v>0.99273171832391582</v>
      </c>
      <c r="D618" s="1097">
        <v>0.99312320061712223</v>
      </c>
      <c r="E618" s="1097">
        <v>1.0015759166265765</v>
      </c>
      <c r="F618" s="1097">
        <v>1.0271100797355559</v>
      </c>
      <c r="G618" s="1097">
        <v>1.0195563130130196</v>
      </c>
      <c r="H618" s="1097">
        <v>0.99298484715660185</v>
      </c>
      <c r="I618" s="1097">
        <v>0.95896450297918978</v>
      </c>
      <c r="K618">
        <v>5.3001582696754665</v>
      </c>
      <c r="L618">
        <v>0</v>
      </c>
      <c r="M618">
        <v>3.7129478212097437E-3</v>
      </c>
      <c r="N618">
        <v>0.32363064548202347</v>
      </c>
      <c r="O618">
        <v>0.15390863960039053</v>
      </c>
      <c r="P618">
        <v>2.0812597053373114E-2</v>
      </c>
      <c r="Q618">
        <v>1.3185382372019193E-3</v>
      </c>
      <c r="R618">
        <v>3.7069067390743601E-3</v>
      </c>
      <c r="S618">
        <v>0.45615009706019805</v>
      </c>
      <c r="T618">
        <v>4.1034413932151557</v>
      </c>
      <c r="U618">
        <v>0</v>
      </c>
      <c r="V618">
        <v>1.1304767209823827E-2</v>
      </c>
      <c r="W618">
        <v>0.19256811921967809</v>
      </c>
      <c r="X618">
        <v>2.6553512226188968E-2</v>
      </c>
      <c r="Y618">
        <v>1.0476001453565595E-2</v>
      </c>
    </row>
    <row r="619" spans="1:25" x14ac:dyDescent="0.25">
      <c r="A619" s="1093"/>
      <c r="B619" s="1452">
        <v>369</v>
      </c>
      <c r="C619" s="1097">
        <v>0.97319783281424932</v>
      </c>
      <c r="D619" s="1097">
        <v>1.0035896278437533</v>
      </c>
      <c r="E619" s="1097">
        <v>1.0078148646039999</v>
      </c>
      <c r="F619" s="1097">
        <v>1.0053088871724483</v>
      </c>
      <c r="G619" s="1097">
        <v>1.0068554721957579</v>
      </c>
      <c r="H619" s="1097">
        <v>1.0011357436496606</v>
      </c>
      <c r="I619" s="1097">
        <v>0.97219947525187644</v>
      </c>
      <c r="K619">
        <v>5.2218883536405141</v>
      </c>
      <c r="L619">
        <v>0</v>
      </c>
      <c r="M619">
        <v>3.6733833164537227E-3</v>
      </c>
      <c r="N619">
        <v>0.32614677152860738</v>
      </c>
      <c r="O619">
        <v>0.15284327711419018</v>
      </c>
      <c r="P619">
        <v>2.0542658890905473E-2</v>
      </c>
      <c r="Q619">
        <v>1.3465345987178719E-3</v>
      </c>
      <c r="R619">
        <v>3.6673269234205486E-3</v>
      </c>
      <c r="S619">
        <v>0.46389488756184621</v>
      </c>
      <c r="T619">
        <v>4.0155569925767383</v>
      </c>
      <c r="U619">
        <v>0</v>
      </c>
      <c r="V619">
        <v>1.1304767209823825E-2</v>
      </c>
      <c r="W619">
        <v>0.19325126448619609</v>
      </c>
      <c r="X619">
        <v>2.6643110193765859E-2</v>
      </c>
      <c r="Y619">
        <v>1.0364145872751951E-2</v>
      </c>
    </row>
    <row r="620" spans="1:25" x14ac:dyDescent="0.25">
      <c r="A620" s="1093"/>
      <c r="B620" s="1452">
        <v>370</v>
      </c>
      <c r="C620" s="1097">
        <v>0.97160022182617023</v>
      </c>
      <c r="D620" s="1097">
        <v>0.99277182207519887</v>
      </c>
      <c r="E620" s="1097">
        <v>0.97001098675490949</v>
      </c>
      <c r="F620" s="1097">
        <v>0.9699496603783343</v>
      </c>
      <c r="G620" s="1097">
        <v>1.0130022490659856</v>
      </c>
      <c r="H620" s="1097">
        <v>0.9951621192260518</v>
      </c>
      <c r="I620" s="1097">
        <v>1.0191785973367151</v>
      </c>
      <c r="K620">
        <v>5.0572686403543736</v>
      </c>
      <c r="L620">
        <v>0</v>
      </c>
      <c r="M620">
        <v>3.837551322654995E-3</v>
      </c>
      <c r="N620">
        <v>0.30456814584050435</v>
      </c>
      <c r="O620">
        <v>0.14940482437647976</v>
      </c>
      <c r="P620">
        <v>1.9397479257393452E-2</v>
      </c>
      <c r="Q620">
        <v>1.3111210876380096E-3</v>
      </c>
      <c r="R620">
        <v>3.8309546440617654E-3</v>
      </c>
      <c r="S620">
        <v>0.47261815459388745</v>
      </c>
      <c r="T620">
        <v>3.8789474957072949</v>
      </c>
      <c r="U620">
        <v>0</v>
      </c>
      <c r="V620">
        <v>1.1304767209823818E-2</v>
      </c>
      <c r="W620">
        <v>0.18517168652770649</v>
      </c>
      <c r="X620">
        <v>2.3724992128566803E-2</v>
      </c>
      <c r="Y620">
        <v>1.0826570303669535E-2</v>
      </c>
    </row>
    <row r="621" spans="1:25" x14ac:dyDescent="0.25">
      <c r="A621" s="1093"/>
      <c r="B621" s="1452">
        <v>371</v>
      </c>
      <c r="C621" s="1097">
        <v>0.98189113576448606</v>
      </c>
      <c r="D621" s="1097">
        <v>0.99342188171591728</v>
      </c>
      <c r="E621" s="1097">
        <v>1.0039120602494163</v>
      </c>
      <c r="F621" s="1097">
        <v>1.0078666956136446</v>
      </c>
      <c r="G621" s="1097">
        <v>1.0130911995304828</v>
      </c>
      <c r="H621" s="1097">
        <v>1.0385344691047784</v>
      </c>
      <c r="I621" s="1097">
        <v>0.98934492645334315</v>
      </c>
      <c r="K621">
        <v>5.2623359413993951</v>
      </c>
      <c r="L621">
        <v>0</v>
      </c>
      <c r="M621">
        <v>3.8333231427824218E-3</v>
      </c>
      <c r="N621">
        <v>0.33645725848349373</v>
      </c>
      <c r="O621">
        <v>0.15260719310420767</v>
      </c>
      <c r="P621">
        <v>2.059176866920006E-2</v>
      </c>
      <c r="Q621">
        <v>1.3356019824620894E-3</v>
      </c>
      <c r="R621">
        <v>3.827246082678639E-3</v>
      </c>
      <c r="S621">
        <v>0.47696683347368424</v>
      </c>
      <c r="T621">
        <v>4.026266278447431</v>
      </c>
      <c r="U621">
        <v>0</v>
      </c>
      <c r="V621">
        <v>1.1304767209823824E-2</v>
      </c>
      <c r="W621">
        <v>0.19988499864774914</v>
      </c>
      <c r="X621">
        <v>2.6111228815378477E-2</v>
      </c>
      <c r="Y621">
        <v>1.0816089626065548E-2</v>
      </c>
    </row>
    <row r="622" spans="1:25" x14ac:dyDescent="0.25">
      <c r="A622" s="1093"/>
      <c r="B622" s="1452">
        <v>372</v>
      </c>
      <c r="C622" s="1097">
        <v>1.0099958917253842</v>
      </c>
      <c r="D622" s="1097">
        <v>1.0010233571259237</v>
      </c>
      <c r="E622" s="1097">
        <v>0.9882854614872193</v>
      </c>
      <c r="F622" s="1097">
        <v>0.98270995228618951</v>
      </c>
      <c r="G622" s="1097">
        <v>0.96644635298161186</v>
      </c>
      <c r="H622" s="1097">
        <v>1.0084430671181659</v>
      </c>
      <c r="I622" s="1097">
        <v>0.97557210925844107</v>
      </c>
      <c r="K622">
        <v>5.0682213430265133</v>
      </c>
      <c r="L622">
        <v>0</v>
      </c>
      <c r="M622">
        <v>3.6353759030121916E-3</v>
      </c>
      <c r="N622">
        <v>0.30461477813447863</v>
      </c>
      <c r="O622">
        <v>0.14464011804373261</v>
      </c>
      <c r="P622">
        <v>1.974861629789074E-2</v>
      </c>
      <c r="Q622">
        <v>1.2772203129292512E-3</v>
      </c>
      <c r="R622">
        <v>3.6292889998612654E-3</v>
      </c>
      <c r="S622">
        <v>0.4416064468227559</v>
      </c>
      <c r="T622">
        <v>3.9277006886705887</v>
      </c>
      <c r="U622">
        <v>0</v>
      </c>
      <c r="V622">
        <v>1.1304767209823815E-2</v>
      </c>
      <c r="W622">
        <v>0.18289436005142426</v>
      </c>
      <c r="X622">
        <v>2.4183786589324869E-2</v>
      </c>
      <c r="Y622">
        <v>1.0256647796715333E-2</v>
      </c>
    </row>
    <row r="623" spans="1:25" x14ac:dyDescent="0.25">
      <c r="A623" s="1093"/>
      <c r="B623" s="1452">
        <v>373</v>
      </c>
      <c r="C623" s="1097">
        <v>1.0104578196944829</v>
      </c>
      <c r="D623" s="1097">
        <v>0.95906239697068507</v>
      </c>
      <c r="E623" s="1097">
        <v>0.95779937259673975</v>
      </c>
      <c r="F623" s="1097">
        <v>1.0283536112504317</v>
      </c>
      <c r="G623" s="1097">
        <v>0.98802355014149001</v>
      </c>
      <c r="H623" s="1097">
        <v>1.0151082430043257</v>
      </c>
      <c r="I623" s="1097">
        <v>1.0355262618353434</v>
      </c>
      <c r="K623">
        <v>5.3419617863897599</v>
      </c>
      <c r="L623">
        <v>0</v>
      </c>
      <c r="M623">
        <v>4.1504869459716804E-3</v>
      </c>
      <c r="N623">
        <v>0.31770904690409063</v>
      </c>
      <c r="O623">
        <v>0.15478018721151435</v>
      </c>
      <c r="P623">
        <v>2.0337827712526721E-2</v>
      </c>
      <c r="Q623">
        <v>1.2646258051244809E-3</v>
      </c>
      <c r="R623">
        <v>4.1438891242587921E-3</v>
      </c>
      <c r="S623">
        <v>0.49219757562502109</v>
      </c>
      <c r="T623">
        <v>4.1141153246433131</v>
      </c>
      <c r="U623">
        <v>0</v>
      </c>
      <c r="V623">
        <v>1.1304767209823815E-2</v>
      </c>
      <c r="W623">
        <v>0.19480200781678678</v>
      </c>
      <c r="X623">
        <v>2.3746074247141268E-2</v>
      </c>
      <c r="Y623">
        <v>1.1710947036123682E-2</v>
      </c>
    </row>
    <row r="624" spans="1:25" x14ac:dyDescent="0.25">
      <c r="A624" s="1093"/>
      <c r="B624" s="1452">
        <v>374</v>
      </c>
      <c r="C624" s="1097">
        <v>1.0158801675832614</v>
      </c>
      <c r="D624" s="1097">
        <v>1.010548314122492</v>
      </c>
      <c r="E624" s="1097">
        <v>0.9768021013021887</v>
      </c>
      <c r="F624" s="1097">
        <v>0.99881241646077334</v>
      </c>
      <c r="G624" s="1097">
        <v>0.99100397593995737</v>
      </c>
      <c r="H624" s="1097">
        <v>1.0323637404526993</v>
      </c>
      <c r="I624" s="1097">
        <v>0.98338600870100923</v>
      </c>
      <c r="K624">
        <v>5.1573083108961129</v>
      </c>
      <c r="L624">
        <v>0</v>
      </c>
      <c r="M624">
        <v>3.8378087517591934E-3</v>
      </c>
      <c r="N624">
        <v>0.31082604212782405</v>
      </c>
      <c r="O624">
        <v>0.14591883236034658</v>
      </c>
      <c r="P624">
        <v>1.9918650229389663E-2</v>
      </c>
      <c r="Q624">
        <v>1.2524944344685671E-3</v>
      </c>
      <c r="R624">
        <v>3.8316328229305867E-3</v>
      </c>
      <c r="S624">
        <v>0.45210971130771388</v>
      </c>
      <c r="T624">
        <v>3.9935109555870603</v>
      </c>
      <c r="U624">
        <v>0</v>
      </c>
      <c r="V624">
        <v>1.1304767209823804E-2</v>
      </c>
      <c r="W624">
        <v>0.18809519295177982</v>
      </c>
      <c r="X624">
        <v>2.3549353727608115E-2</v>
      </c>
      <c r="Y624">
        <v>1.0828486888929326E-2</v>
      </c>
    </row>
    <row r="625" spans="1:25" x14ac:dyDescent="0.25">
      <c r="A625" s="1093"/>
      <c r="B625" s="1452">
        <v>375</v>
      </c>
      <c r="C625" s="1097">
        <v>1.0076295888138358</v>
      </c>
      <c r="D625" s="1097">
        <v>1.0275964800085511</v>
      </c>
      <c r="E625" s="1097">
        <v>0.98786558199776875</v>
      </c>
      <c r="F625" s="1097">
        <v>0.99580511864515608</v>
      </c>
      <c r="G625" s="1097">
        <v>1.0032736131754469</v>
      </c>
      <c r="H625" s="1097">
        <v>1.0188865177302207</v>
      </c>
      <c r="I625" s="1097">
        <v>1.0081278311616064</v>
      </c>
      <c r="K625">
        <v>5.1498529936406117</v>
      </c>
      <c r="L625">
        <v>0</v>
      </c>
      <c r="M625">
        <v>3.694994137939805E-3</v>
      </c>
      <c r="N625">
        <v>0.30923707058084565</v>
      </c>
      <c r="O625">
        <v>0.14539156906867645</v>
      </c>
      <c r="P625">
        <v>2.0070751801409121E-2</v>
      </c>
      <c r="Q625">
        <v>1.2664139358238701E-3</v>
      </c>
      <c r="R625">
        <v>3.688951215312358E-3</v>
      </c>
      <c r="S625">
        <v>0.46207511335706913</v>
      </c>
      <c r="T625">
        <v>3.9800923134248944</v>
      </c>
      <c r="U625">
        <v>0</v>
      </c>
      <c r="V625">
        <v>1.1304767209823832E-2</v>
      </c>
      <c r="W625">
        <v>0.18572276646213159</v>
      </c>
      <c r="X625">
        <v>2.4273012949987016E-2</v>
      </c>
      <c r="Y625">
        <v>1.0425257772574789E-2</v>
      </c>
    </row>
    <row r="626" spans="1:25" x14ac:dyDescent="0.25">
      <c r="A626" s="1093"/>
      <c r="B626" s="1452">
        <v>376</v>
      </c>
      <c r="C626" s="1097">
        <v>0.99698193772033505</v>
      </c>
      <c r="D626" s="1097">
        <v>1.0198181566323239</v>
      </c>
      <c r="E626" s="1097">
        <v>0.99692649308994008</v>
      </c>
      <c r="F626" s="1097">
        <v>1.0065568433941918</v>
      </c>
      <c r="G626" s="1097">
        <v>1.0145412309173316</v>
      </c>
      <c r="H626" s="1097">
        <v>0.99214654653964807</v>
      </c>
      <c r="I626" s="1097">
        <v>0.98537746655088509</v>
      </c>
      <c r="K626">
        <v>5.1922442122215937</v>
      </c>
      <c r="L626">
        <v>0</v>
      </c>
      <c r="M626">
        <v>3.6172314517643805E-3</v>
      </c>
      <c r="N626">
        <v>0.31096309494585572</v>
      </c>
      <c r="O626">
        <v>0.14873041129810244</v>
      </c>
      <c r="P626">
        <v>2.0371529126802047E-2</v>
      </c>
      <c r="Q626">
        <v>1.2938923125805945E-3</v>
      </c>
      <c r="R626">
        <v>3.6112210521583058E-3</v>
      </c>
      <c r="S626">
        <v>0.4563510765274702</v>
      </c>
      <c r="T626">
        <v>4.021916263585867</v>
      </c>
      <c r="U626">
        <v>0</v>
      </c>
      <c r="V626">
        <v>1.130476720982383E-2</v>
      </c>
      <c r="W626">
        <v>0.18561327427234953</v>
      </c>
      <c r="X626">
        <v>2.5500326945259791E-2</v>
      </c>
      <c r="Y626">
        <v>1.0205586397084215E-2</v>
      </c>
    </row>
    <row r="627" spans="1:25" x14ac:dyDescent="0.25">
      <c r="A627" s="1093"/>
      <c r="B627" s="1452">
        <v>377</v>
      </c>
      <c r="C627" s="1097">
        <v>1.0251304558270962</v>
      </c>
      <c r="D627" s="1097">
        <v>1.0258083936969244</v>
      </c>
      <c r="E627" s="1097">
        <v>1.0038435434181801</v>
      </c>
      <c r="F627" s="1097">
        <v>1.0056916817570469</v>
      </c>
      <c r="G627" s="1097">
        <v>1.0030929116182004</v>
      </c>
      <c r="H627" s="1097">
        <v>0.98324750123597249</v>
      </c>
      <c r="I627" s="1097">
        <v>0.99236243487763098</v>
      </c>
      <c r="K627">
        <v>5.1531879544944905</v>
      </c>
      <c r="L627">
        <v>0</v>
      </c>
      <c r="M627">
        <v>3.4249526534622589E-3</v>
      </c>
      <c r="N627">
        <v>0.30052496238240728</v>
      </c>
      <c r="O627">
        <v>0.14399703396750496</v>
      </c>
      <c r="P627">
        <v>2.0403163788934947E-2</v>
      </c>
      <c r="Q627">
        <v>1.2628821013039762E-3</v>
      </c>
      <c r="R627">
        <v>3.4192053063562483E-3</v>
      </c>
      <c r="S627">
        <v>0.44453429709750208</v>
      </c>
      <c r="T627">
        <v>4.0175860815677327</v>
      </c>
      <c r="U627">
        <v>0</v>
      </c>
      <c r="V627">
        <v>1.130476720982382E-2</v>
      </c>
      <c r="W627">
        <v>0.17854632268994095</v>
      </c>
      <c r="X627">
        <v>2.5371255796703327E-2</v>
      </c>
      <c r="Y627">
        <v>9.6629352397389016E-3</v>
      </c>
    </row>
    <row r="628" spans="1:25" x14ac:dyDescent="0.25">
      <c r="A628" s="1093"/>
      <c r="B628" s="1452">
        <v>378</v>
      </c>
      <c r="C628" s="1097">
        <v>0.95734358900283412</v>
      </c>
      <c r="D628" s="1097">
        <v>1.0021394018983918</v>
      </c>
      <c r="E628" s="1097">
        <v>1.0041557214286183</v>
      </c>
      <c r="F628" s="1097">
        <v>1.0147574592861255</v>
      </c>
      <c r="G628" s="1097">
        <v>1.0221535271422004</v>
      </c>
      <c r="H628" s="1097">
        <v>0.99341145485518134</v>
      </c>
      <c r="I628" s="1097">
        <v>0.99943512770713994</v>
      </c>
      <c r="K628">
        <v>5.2971569645463239</v>
      </c>
      <c r="L628">
        <v>0</v>
      </c>
      <c r="M628">
        <v>3.7713143300581037E-3</v>
      </c>
      <c r="N628">
        <v>0.33123347060964853</v>
      </c>
      <c r="O628">
        <v>0.15703340074776262</v>
      </c>
      <c r="P628">
        <v>2.0767707331215315E-2</v>
      </c>
      <c r="Q628">
        <v>1.3653539585994766E-3</v>
      </c>
      <c r="R628">
        <v>3.7651063790443196E-3</v>
      </c>
      <c r="S628">
        <v>0.48721695882029681</v>
      </c>
      <c r="T628">
        <v>4.0537627924861361</v>
      </c>
      <c r="U628">
        <v>0</v>
      </c>
      <c r="V628">
        <v>1.1304767209823811E-2</v>
      </c>
      <c r="W628">
        <v>0.19674929673375655</v>
      </c>
      <c r="X628">
        <v>2.708894652064707E-2</v>
      </c>
      <c r="Y628">
        <v>1.0640478079453017E-2</v>
      </c>
    </row>
    <row r="629" spans="1:25" x14ac:dyDescent="0.25">
      <c r="A629" s="1093"/>
      <c r="B629" s="1452">
        <v>379</v>
      </c>
      <c r="C629" s="1097">
        <v>1.0289157862872425</v>
      </c>
      <c r="D629" s="1097">
        <v>0.97763787399804625</v>
      </c>
      <c r="E629" s="1097">
        <v>0.98257662670159385</v>
      </c>
      <c r="F629" s="1097">
        <v>1.0281551883866256</v>
      </c>
      <c r="G629" s="1097">
        <v>0.98383151621320997</v>
      </c>
      <c r="H629" s="1097">
        <v>0.97673002303726375</v>
      </c>
      <c r="I629" s="1097">
        <v>1.0428473885937646</v>
      </c>
      <c r="K629">
        <v>5.2939907190539399</v>
      </c>
      <c r="L629">
        <v>0</v>
      </c>
      <c r="M629">
        <v>3.6942732847293383E-3</v>
      </c>
      <c r="N629">
        <v>0.3043589974354951</v>
      </c>
      <c r="O629">
        <v>0.15011772532135823</v>
      </c>
      <c r="P629">
        <v>2.0642462522911735E-2</v>
      </c>
      <c r="Q629">
        <v>1.2594107604194651E-3</v>
      </c>
      <c r="R629">
        <v>3.6881687575641715E-3</v>
      </c>
      <c r="S629">
        <v>0.47728604816227743</v>
      </c>
      <c r="T629">
        <v>4.1100784450031407</v>
      </c>
      <c r="U629">
        <v>0</v>
      </c>
      <c r="V629">
        <v>1.1304767209823817E-2</v>
      </c>
      <c r="W629">
        <v>0.18345429064758834</v>
      </c>
      <c r="X629">
        <v>2.5071630030850153E-2</v>
      </c>
      <c r="Y629">
        <v>1.0423046487240595E-2</v>
      </c>
    </row>
    <row r="630" spans="1:25" x14ac:dyDescent="0.25">
      <c r="A630" s="1093"/>
      <c r="B630" s="1452">
        <v>380</v>
      </c>
      <c r="C630" s="1097">
        <v>1.0196648537779756</v>
      </c>
      <c r="D630" s="1097">
        <v>0.9908436539518195</v>
      </c>
      <c r="E630" s="1097">
        <v>1.0120610051338295</v>
      </c>
      <c r="F630" s="1097">
        <v>0.99215672234791774</v>
      </c>
      <c r="G630" s="1097">
        <v>0.99927738906190877</v>
      </c>
      <c r="H630" s="1097">
        <v>1.014425669907431</v>
      </c>
      <c r="I630" s="1097">
        <v>1.0269944858410418</v>
      </c>
      <c r="K630">
        <v>5.1414062498113733</v>
      </c>
      <c r="L630">
        <v>0</v>
      </c>
      <c r="M630">
        <v>3.4926771093404278E-3</v>
      </c>
      <c r="N630">
        <v>0.31402571228534609</v>
      </c>
      <c r="O630">
        <v>0.14459210674780798</v>
      </c>
      <c r="P630">
        <v>2.0374520925989889E-2</v>
      </c>
      <c r="Q630">
        <v>1.2964390096865557E-3</v>
      </c>
      <c r="R630">
        <v>3.486918883199143E-3</v>
      </c>
      <c r="S630">
        <v>0.46624309298502464</v>
      </c>
      <c r="T630">
        <v>3.9624961665008764</v>
      </c>
      <c r="U630">
        <v>0</v>
      </c>
      <c r="V630">
        <v>1.1304767209823829E-2</v>
      </c>
      <c r="W630">
        <v>0.1855395384148931</v>
      </c>
      <c r="X630">
        <v>2.5685364980474024E-2</v>
      </c>
      <c r="Y630">
        <v>9.8542989775839574E-3</v>
      </c>
    </row>
    <row r="631" spans="1:25" x14ac:dyDescent="0.25">
      <c r="A631" s="1093"/>
      <c r="B631" s="1452">
        <v>381</v>
      </c>
      <c r="C631" s="1097">
        <v>0.97392443310749233</v>
      </c>
      <c r="D631" s="1097">
        <v>0.99575686259632468</v>
      </c>
      <c r="E631" s="1097">
        <v>1.0009958462081561</v>
      </c>
      <c r="F631" s="1097">
        <v>1.0061997573527341</v>
      </c>
      <c r="G631" s="1097">
        <v>0.98292162877106248</v>
      </c>
      <c r="H631" s="1097">
        <v>0.99224477704937253</v>
      </c>
      <c r="I631" s="1097">
        <v>0.95680440716514736</v>
      </c>
      <c r="K631">
        <v>5.2133296313811979</v>
      </c>
      <c r="L631">
        <v>0</v>
      </c>
      <c r="M631">
        <v>3.7055616565653741E-3</v>
      </c>
      <c r="N631">
        <v>0.32242094862032583</v>
      </c>
      <c r="O631">
        <v>0.15354088816653214</v>
      </c>
      <c r="P631">
        <v>2.042123479310972E-2</v>
      </c>
      <c r="Q631">
        <v>1.3419105442989622E-3</v>
      </c>
      <c r="R631">
        <v>3.6994029155762863E-3</v>
      </c>
      <c r="S631">
        <v>0.4555999719775739</v>
      </c>
      <c r="T631">
        <v>4.0199751106097192</v>
      </c>
      <c r="U631">
        <v>0</v>
      </c>
      <c r="V631">
        <v>1.1304767209823825E-2</v>
      </c>
      <c r="W631">
        <v>0.19192348427476261</v>
      </c>
      <c r="X631">
        <v>2.63526788505659E-2</v>
      </c>
      <c r="Y631">
        <v>1.0454795075470216E-2</v>
      </c>
    </row>
    <row r="632" spans="1:25" x14ac:dyDescent="0.25">
      <c r="A632" s="1093"/>
      <c r="B632" s="1452">
        <v>382</v>
      </c>
      <c r="C632" s="1097">
        <v>0.98823613375184582</v>
      </c>
      <c r="D632" s="1097">
        <v>1.0249422256902077</v>
      </c>
      <c r="E632" s="1097">
        <v>0.95622854384738476</v>
      </c>
      <c r="F632" s="1097">
        <v>0.98166498152653114</v>
      </c>
      <c r="G632" s="1097">
        <v>1.0028978510021733</v>
      </c>
      <c r="H632" s="1097">
        <v>0.99517165365605909</v>
      </c>
      <c r="I632" s="1097">
        <v>0.99441346012895437</v>
      </c>
      <c r="K632">
        <v>5.0723627332643542</v>
      </c>
      <c r="L632">
        <v>0</v>
      </c>
      <c r="M632">
        <v>3.8804504489927515E-3</v>
      </c>
      <c r="N632">
        <v>0.29562253068844324</v>
      </c>
      <c r="O632">
        <v>0.14715648380784546</v>
      </c>
      <c r="P632">
        <v>1.9328919829063138E-2</v>
      </c>
      <c r="Q632">
        <v>1.2574118210188273E-3</v>
      </c>
      <c r="R632">
        <v>3.8738595618979777E-3</v>
      </c>
      <c r="S632">
        <v>0.455071180479446</v>
      </c>
      <c r="T632">
        <v>3.9275264759214945</v>
      </c>
      <c r="U632">
        <v>0</v>
      </c>
      <c r="V632">
        <v>1.1304767209823827E-2</v>
      </c>
      <c r="W632">
        <v>0.18145802538793188</v>
      </c>
      <c r="X632">
        <v>2.2695706129267502E-2</v>
      </c>
      <c r="Y632">
        <v>1.0947822877110189E-2</v>
      </c>
    </row>
    <row r="633" spans="1:25" x14ac:dyDescent="0.25">
      <c r="A633" s="1093"/>
      <c r="B633" s="1452">
        <v>383</v>
      </c>
      <c r="C633" s="1097">
        <v>0.96902857423158861</v>
      </c>
      <c r="D633" s="1097">
        <v>1.0338246729088032</v>
      </c>
      <c r="E633" s="1097">
        <v>0.99308132660288262</v>
      </c>
      <c r="F633" s="1097">
        <v>0.97468075974131041</v>
      </c>
      <c r="G633" s="1097">
        <v>1.0306763917031647</v>
      </c>
      <c r="H633" s="1097">
        <v>1.0436860124254166</v>
      </c>
      <c r="I633" s="1097">
        <v>1.0213412850168628</v>
      </c>
      <c r="K633">
        <v>5.1089202939640588</v>
      </c>
      <c r="L633">
        <v>0</v>
      </c>
      <c r="M633">
        <v>3.8011317585671615E-3</v>
      </c>
      <c r="N633">
        <v>0.32307916372213674</v>
      </c>
      <c r="O633">
        <v>0.14747480442697156</v>
      </c>
      <c r="P633">
        <v>1.9855996210072554E-2</v>
      </c>
      <c r="Q633">
        <v>1.3196034199661182E-3</v>
      </c>
      <c r="R633">
        <v>3.7949316622905684E-3</v>
      </c>
      <c r="S633">
        <v>0.4822394283236428</v>
      </c>
      <c r="T633">
        <v>3.8950201088189917</v>
      </c>
      <c r="U633">
        <v>0</v>
      </c>
      <c r="V633">
        <v>1.1304767209823813E-2</v>
      </c>
      <c r="W633">
        <v>0.19334886770609955</v>
      </c>
      <c r="X633">
        <v>2.4558987615667934E-2</v>
      </c>
      <c r="Y633">
        <v>1.0724766606959571E-2</v>
      </c>
    </row>
    <row r="634" spans="1:25" x14ac:dyDescent="0.25">
      <c r="A634" s="1093"/>
      <c r="B634" s="1452">
        <v>384</v>
      </c>
      <c r="C634" s="1097">
        <v>1.0159009560588932</v>
      </c>
      <c r="D634" s="1097">
        <v>0.9783735831376883</v>
      </c>
      <c r="E634" s="1097">
        <v>0.97866520275159408</v>
      </c>
      <c r="F634" s="1097">
        <v>0.98788466919634688</v>
      </c>
      <c r="G634" s="1097">
        <v>1.0422179088221708</v>
      </c>
      <c r="H634" s="1097">
        <v>1.0076548489471577</v>
      </c>
      <c r="I634" s="1097">
        <v>0.99765156048065429</v>
      </c>
      <c r="K634">
        <v>5.1037670734854013</v>
      </c>
      <c r="L634">
        <v>0</v>
      </c>
      <c r="M634">
        <v>3.7385802935758898E-3</v>
      </c>
      <c r="N634">
        <v>0.30445078151302235</v>
      </c>
      <c r="O634">
        <v>0.1461486006285139</v>
      </c>
      <c r="P634">
        <v>1.9753741457204033E-2</v>
      </c>
      <c r="Q634">
        <v>1.2708410487886326E-3</v>
      </c>
      <c r="R634">
        <v>3.7323484532774537E-3</v>
      </c>
      <c r="S634">
        <v>0.45287364378165756</v>
      </c>
      <c r="T634">
        <v>3.9495854940649688</v>
      </c>
      <c r="U634">
        <v>0</v>
      </c>
      <c r="V634">
        <v>1.1304767209823834E-2</v>
      </c>
      <c r="W634">
        <v>0.18400184167265718</v>
      </c>
      <c r="X634">
        <v>2.3835692268768919E-2</v>
      </c>
      <c r="Y634">
        <v>1.054790168028653E-2</v>
      </c>
    </row>
    <row r="635" spans="1:25" x14ac:dyDescent="0.25">
      <c r="A635" s="1093"/>
      <c r="B635" s="1452">
        <v>385</v>
      </c>
      <c r="C635" s="1097">
        <v>0.98163931093790457</v>
      </c>
      <c r="D635" s="1097">
        <v>1.0021698942654993</v>
      </c>
      <c r="E635" s="1097">
        <v>0.9970765421095733</v>
      </c>
      <c r="F635" s="1097">
        <v>0.97728067589409828</v>
      </c>
      <c r="G635" s="1097">
        <v>1.0106144785743802</v>
      </c>
      <c r="H635" s="1097">
        <v>1.0057003990192688</v>
      </c>
      <c r="I635" s="1097">
        <v>0.99784715889041353</v>
      </c>
      <c r="K635">
        <v>5.0823456949391916</v>
      </c>
      <c r="L635">
        <v>0</v>
      </c>
      <c r="M635">
        <v>3.6400075272732288E-3</v>
      </c>
      <c r="N635">
        <v>0.3130519224699691</v>
      </c>
      <c r="O635">
        <v>0.14768502875368064</v>
      </c>
      <c r="P635">
        <v>1.9868423848735866E-2</v>
      </c>
      <c r="Q635">
        <v>1.3234940449499003E-3</v>
      </c>
      <c r="R635">
        <v>3.6338623547424571E-3</v>
      </c>
      <c r="S635">
        <v>0.46197519514193236</v>
      </c>
      <c r="T635">
        <v>3.9049185471469352</v>
      </c>
      <c r="U635">
        <v>0</v>
      </c>
      <c r="V635">
        <v>1.1304767209823813E-2</v>
      </c>
      <c r="W635">
        <v>0.186841103487428</v>
      </c>
      <c r="X635">
        <v>2.5113785561500453E-2</v>
      </c>
      <c r="Y635">
        <v>1.026957244676871E-2</v>
      </c>
    </row>
    <row r="636" spans="1:25" x14ac:dyDescent="0.25">
      <c r="A636" s="1093"/>
      <c r="B636" s="1452">
        <v>386</v>
      </c>
      <c r="C636" s="1097">
        <v>0.98148011529335177</v>
      </c>
      <c r="D636" s="1097">
        <v>0.98223353075959197</v>
      </c>
      <c r="E636" s="1097">
        <v>0.99232927868397636</v>
      </c>
      <c r="F636" s="1097">
        <v>0.99854762880305692</v>
      </c>
      <c r="G636" s="1097">
        <v>0.99218836770448482</v>
      </c>
      <c r="H636" s="1097">
        <v>1.0215446491416083</v>
      </c>
      <c r="I636" s="1097">
        <v>1.0059881553514454</v>
      </c>
      <c r="K636">
        <v>5.212751928366071</v>
      </c>
      <c r="L636">
        <v>0</v>
      </c>
      <c r="M636">
        <v>3.8470170043427079E-3</v>
      </c>
      <c r="N636">
        <v>0.32625245921333051</v>
      </c>
      <c r="O636">
        <v>0.15227665388720751</v>
      </c>
      <c r="P636">
        <v>2.0262921304531421E-2</v>
      </c>
      <c r="Q636">
        <v>1.328954606964956E-3</v>
      </c>
      <c r="R636">
        <v>3.8407590353740015E-3</v>
      </c>
      <c r="S636">
        <v>0.47923934750047908</v>
      </c>
      <c r="T636">
        <v>3.9904915198322093</v>
      </c>
      <c r="U636">
        <v>0</v>
      </c>
      <c r="V636">
        <v>1.1304767209823817E-2</v>
      </c>
      <c r="W636">
        <v>0.19534770833494397</v>
      </c>
      <c r="X636">
        <v>2.5399576183497245E-2</v>
      </c>
      <c r="Y636">
        <v>1.0854278262047779E-2</v>
      </c>
    </row>
    <row r="637" spans="1:25" x14ac:dyDescent="0.25">
      <c r="A637" s="1093"/>
      <c r="B637" s="1452">
        <v>387</v>
      </c>
      <c r="C637" s="1097">
        <v>0.99266301253071965</v>
      </c>
      <c r="D637" s="1097">
        <v>0.99620162826992409</v>
      </c>
      <c r="E637" s="1097">
        <v>1.0105274926753536</v>
      </c>
      <c r="F637" s="1097">
        <v>0.96465932508383612</v>
      </c>
      <c r="G637" s="1097">
        <v>1.0446222979386315</v>
      </c>
      <c r="H637" s="1097">
        <v>1.018601968737489</v>
      </c>
      <c r="I637" s="1097">
        <v>0.96843990810288982</v>
      </c>
      <c r="K637">
        <v>5.0054075243824858</v>
      </c>
      <c r="L637">
        <v>0</v>
      </c>
      <c r="M637">
        <v>3.5065565668658035E-3</v>
      </c>
      <c r="N637">
        <v>0.31383296832427854</v>
      </c>
      <c r="O637">
        <v>0.14413924752711618</v>
      </c>
      <c r="P637">
        <v>1.9735069117541477E-2</v>
      </c>
      <c r="Q637">
        <v>1.3271015548941127E-3</v>
      </c>
      <c r="R637">
        <v>3.5006353297007357E-3</v>
      </c>
      <c r="S637">
        <v>0.44140180538348944</v>
      </c>
      <c r="T637">
        <v>3.8528612331986887</v>
      </c>
      <c r="U637">
        <v>0</v>
      </c>
      <c r="V637">
        <v>1.130476720982381E-2</v>
      </c>
      <c r="W637">
        <v>0.18561647680671073</v>
      </c>
      <c r="X637">
        <v>2.5301713794508341E-2</v>
      </c>
      <c r="Y637">
        <v>9.8930627025986106E-3</v>
      </c>
    </row>
    <row r="638" spans="1:25" x14ac:dyDescent="0.25">
      <c r="A638" s="1093"/>
      <c r="B638" s="1452">
        <v>388</v>
      </c>
      <c r="C638" s="1097">
        <v>0.99043745151969276</v>
      </c>
      <c r="D638" s="1097">
        <v>1.037026470846818</v>
      </c>
      <c r="E638" s="1097">
        <v>0.9936926382336515</v>
      </c>
      <c r="F638" s="1097">
        <v>1.0334422054106347</v>
      </c>
      <c r="G638" s="1097">
        <v>0.97655009312822527</v>
      </c>
      <c r="H638" s="1097">
        <v>0.96833054681110287</v>
      </c>
      <c r="I638" s="1097">
        <v>1.0050277110247925</v>
      </c>
      <c r="K638">
        <v>5.3219534687641552</v>
      </c>
      <c r="L638">
        <v>0</v>
      </c>
      <c r="M638">
        <v>3.648902637837138E-3</v>
      </c>
      <c r="N638">
        <v>0.31069446730921813</v>
      </c>
      <c r="O638">
        <v>0.15277920583819082</v>
      </c>
      <c r="P638">
        <v>2.0885415648502388E-2</v>
      </c>
      <c r="Q638">
        <v>1.2901620849497734E-3</v>
      </c>
      <c r="R638">
        <v>3.6428518454007883E-3</v>
      </c>
      <c r="S638">
        <v>0.47291401657556226</v>
      </c>
      <c r="T638">
        <v>4.1297630844060347</v>
      </c>
      <c r="U638">
        <v>0</v>
      </c>
      <c r="V638">
        <v>1.1304767209823824E-2</v>
      </c>
      <c r="W638">
        <v>0.18586001063994823</v>
      </c>
      <c r="X638">
        <v>2.6173412410675397E-2</v>
      </c>
      <c r="Y638">
        <v>1.0294977433684299E-2</v>
      </c>
    </row>
    <row r="639" spans="1:25" x14ac:dyDescent="0.25">
      <c r="A639" s="1093"/>
      <c r="B639" s="1452">
        <v>389</v>
      </c>
      <c r="C639" s="1097">
        <v>0.96644225351252222</v>
      </c>
      <c r="D639" s="1097">
        <v>1.0125503947986541</v>
      </c>
      <c r="E639" s="1097">
        <v>0.98963494008702091</v>
      </c>
      <c r="F639" s="1097">
        <v>0.98809678199547868</v>
      </c>
      <c r="G639" s="1097">
        <v>1.0268861940911174</v>
      </c>
      <c r="H639" s="1097">
        <v>0.95715312894786186</v>
      </c>
      <c r="I639" s="1097">
        <v>0.99645549659123289</v>
      </c>
      <c r="K639">
        <v>5.1156932220619336</v>
      </c>
      <c r="L639">
        <v>0</v>
      </c>
      <c r="M639">
        <v>3.5989193711008466E-3</v>
      </c>
      <c r="N639">
        <v>0.30274489890257533</v>
      </c>
      <c r="O639">
        <v>0.15125437387013693</v>
      </c>
      <c r="P639">
        <v>1.9960480188947891E-2</v>
      </c>
      <c r="Q639">
        <v>1.3302288617015471E-3</v>
      </c>
      <c r="R639">
        <v>3.5926051612277994E-3</v>
      </c>
      <c r="S639">
        <v>0.46273724474753586</v>
      </c>
      <c r="T639">
        <v>3.9490625179401131</v>
      </c>
      <c r="U639">
        <v>0</v>
      </c>
      <c r="V639">
        <v>1.130476720982383E-2</v>
      </c>
      <c r="W639">
        <v>0.18160470071146953</v>
      </c>
      <c r="X639">
        <v>2.5547347371439363E-2</v>
      </c>
      <c r="Y639">
        <v>1.0152976468058567E-2</v>
      </c>
    </row>
    <row r="640" spans="1:25" x14ac:dyDescent="0.25">
      <c r="A640" s="1093"/>
      <c r="B640" s="1452">
        <v>390</v>
      </c>
      <c r="C640" s="1097">
        <v>1.022829519666753</v>
      </c>
      <c r="D640" s="1097">
        <v>1.0327991039406783</v>
      </c>
      <c r="E640" s="1097">
        <v>1.0146179117317891</v>
      </c>
      <c r="F640" s="1097">
        <v>0.95754488375345637</v>
      </c>
      <c r="G640" s="1097">
        <v>0.99886886721446599</v>
      </c>
      <c r="H640" s="1097">
        <v>0.97179423136680076</v>
      </c>
      <c r="I640" s="1097">
        <v>0.97793323494455187</v>
      </c>
      <c r="K640">
        <v>4.8989958920951944</v>
      </c>
      <c r="L640">
        <v>0</v>
      </c>
      <c r="M640">
        <v>3.1493739342213474E-3</v>
      </c>
      <c r="N640">
        <v>0.28527222918798012</v>
      </c>
      <c r="O640">
        <v>0.13676170138092886</v>
      </c>
      <c r="P640">
        <v>1.9558336944860165E-2</v>
      </c>
      <c r="Q640">
        <v>1.2739302675738903E-3</v>
      </c>
      <c r="R640">
        <v>3.1437583453202593E-3</v>
      </c>
      <c r="S640">
        <v>0.41890538661442106</v>
      </c>
      <c r="T640">
        <v>3.8239572200901439</v>
      </c>
      <c r="U640">
        <v>0</v>
      </c>
      <c r="V640">
        <v>1.1304767209823818E-2</v>
      </c>
      <c r="W640">
        <v>0.16826236331907946</v>
      </c>
      <c r="X640">
        <v>2.4821071570811783E-2</v>
      </c>
      <c r="Y640">
        <v>8.8845010984705437E-3</v>
      </c>
    </row>
    <row r="641" spans="1:25" x14ac:dyDescent="0.25">
      <c r="A641" s="1093"/>
      <c r="B641" s="1452">
        <v>391</v>
      </c>
      <c r="C641" s="1097">
        <v>1.015397297193984</v>
      </c>
      <c r="D641" s="1097">
        <v>1.0204002528015812</v>
      </c>
      <c r="E641" s="1097">
        <v>0.99822843357478797</v>
      </c>
      <c r="F641" s="1097">
        <v>1.0040975206534237</v>
      </c>
      <c r="G641" s="1097">
        <v>0.99680011321839834</v>
      </c>
      <c r="H641" s="1097">
        <v>1.010672560880941</v>
      </c>
      <c r="I641" s="1097">
        <v>1.0225796050127318</v>
      </c>
      <c r="K641">
        <v>5.1889293369895793</v>
      </c>
      <c r="L641">
        <v>0</v>
      </c>
      <c r="M641">
        <v>3.5984224722307384E-3</v>
      </c>
      <c r="N641">
        <v>0.31055022778595481</v>
      </c>
      <c r="O641">
        <v>0.14560742439959687</v>
      </c>
      <c r="P641">
        <v>2.0396484961900406E-2</v>
      </c>
      <c r="Q641">
        <v>1.2715563990593857E-3</v>
      </c>
      <c r="R641">
        <v>3.5925385732630661E-3</v>
      </c>
      <c r="S641">
        <v>0.4674676029877039</v>
      </c>
      <c r="T641">
        <v>4.0119251866682593</v>
      </c>
      <c r="U641">
        <v>0</v>
      </c>
      <c r="V641">
        <v>1.130476720982381E-2</v>
      </c>
      <c r="W641">
        <v>0.18520352503087956</v>
      </c>
      <c r="X641">
        <v>2.5055657159984337E-2</v>
      </c>
      <c r="Y641">
        <v>1.0152788285386479E-2</v>
      </c>
    </row>
    <row r="642" spans="1:25" x14ac:dyDescent="0.25">
      <c r="A642" s="1093"/>
      <c r="B642" s="1452">
        <v>392</v>
      </c>
      <c r="C642" s="1097">
        <v>0.99825767962678558</v>
      </c>
      <c r="D642" s="1097">
        <v>1.0222605440441124</v>
      </c>
      <c r="E642" s="1097">
        <v>1.0276317056125277</v>
      </c>
      <c r="F642" s="1097">
        <v>1.0263345694699042</v>
      </c>
      <c r="G642" s="1097">
        <v>0.99095008073408941</v>
      </c>
      <c r="H642" s="1097">
        <v>0.97132341435286584</v>
      </c>
      <c r="I642" s="1097">
        <v>0.95403762235565726</v>
      </c>
      <c r="K642">
        <v>5.2669936718843742</v>
      </c>
      <c r="L642">
        <v>0</v>
      </c>
      <c r="M642">
        <v>3.3767175639074845E-3</v>
      </c>
      <c r="N642">
        <v>0.31790805291882851</v>
      </c>
      <c r="O642">
        <v>0.15044299055937163</v>
      </c>
      <c r="P642">
        <v>2.1131874964834627E-2</v>
      </c>
      <c r="Q642">
        <v>1.3251566357393638E-3</v>
      </c>
      <c r="R642">
        <v>3.3710967798769344E-3</v>
      </c>
      <c r="S642">
        <v>0.44455786165148958</v>
      </c>
      <c r="T642">
        <v>4.097008724541757</v>
      </c>
      <c r="U642">
        <v>0</v>
      </c>
      <c r="V642">
        <v>1.1304767209823827E-2</v>
      </c>
      <c r="W642">
        <v>0.18589311368134673</v>
      </c>
      <c r="X642">
        <v>2.7899773634214867E-2</v>
      </c>
      <c r="Y642">
        <v>9.5269768709961167E-3</v>
      </c>
    </row>
    <row r="643" spans="1:25" x14ac:dyDescent="0.25">
      <c r="A643" s="1093"/>
      <c r="B643" s="1452">
        <v>393</v>
      </c>
      <c r="C643" s="1097">
        <v>1.0152055698082689</v>
      </c>
      <c r="D643" s="1097">
        <v>0.95832265927708571</v>
      </c>
      <c r="E643" s="1097">
        <v>0.98211834522764763</v>
      </c>
      <c r="F643" s="1097">
        <v>0.96991662554426794</v>
      </c>
      <c r="G643" s="1097">
        <v>1.018348530956416</v>
      </c>
      <c r="H643" s="1097">
        <v>0.99373129135768368</v>
      </c>
      <c r="I643" s="1097">
        <v>1.0145904906608472</v>
      </c>
      <c r="K643">
        <v>5.0196243747704132</v>
      </c>
      <c r="L643">
        <v>0</v>
      </c>
      <c r="M643">
        <v>3.6261986530938431E-3</v>
      </c>
      <c r="N643">
        <v>0.29832398783729741</v>
      </c>
      <c r="O643">
        <v>0.14468957614481842</v>
      </c>
      <c r="P643">
        <v>1.9482944680261609E-2</v>
      </c>
      <c r="Q643">
        <v>1.2861370175485556E-3</v>
      </c>
      <c r="R643">
        <v>3.6199560983817252E-3</v>
      </c>
      <c r="S643">
        <v>0.45323194722259302</v>
      </c>
      <c r="T643">
        <v>3.8773244692192534</v>
      </c>
      <c r="U643">
        <v>0</v>
      </c>
      <c r="V643">
        <v>1.130476720982383E-2</v>
      </c>
      <c r="W643">
        <v>0.17987302880890016</v>
      </c>
      <c r="X643">
        <v>2.388348688002357E-2</v>
      </c>
      <c r="Y643">
        <v>1.0230272304600829E-2</v>
      </c>
    </row>
    <row r="644" spans="1:25" x14ac:dyDescent="0.25">
      <c r="A644" s="1093"/>
      <c r="B644" s="1452">
        <v>394</v>
      </c>
      <c r="C644" s="1097">
        <v>1.0302576008631232</v>
      </c>
      <c r="D644" s="1097">
        <v>1.0004811868495682</v>
      </c>
      <c r="E644" s="1097">
        <v>0.97942566814227316</v>
      </c>
      <c r="F644" s="1097">
        <v>1.0151521587503787</v>
      </c>
      <c r="G644" s="1097">
        <v>1.0023119107112137</v>
      </c>
      <c r="H644" s="1097">
        <v>0.97324470918927253</v>
      </c>
      <c r="I644" s="1097">
        <v>1.0100399892519436</v>
      </c>
      <c r="K644">
        <v>5.2007234183017896</v>
      </c>
      <c r="L644">
        <v>0</v>
      </c>
      <c r="M644">
        <v>3.6203694724380371E-3</v>
      </c>
      <c r="N644">
        <v>0.29548664508408268</v>
      </c>
      <c r="O644">
        <v>0.14675122721980288</v>
      </c>
      <c r="P644">
        <v>2.0258272890887094E-2</v>
      </c>
      <c r="Q644">
        <v>1.2428020135914458E-3</v>
      </c>
      <c r="R644">
        <v>3.6142888653388342E-3</v>
      </c>
      <c r="S644">
        <v>0.45407644565007499</v>
      </c>
      <c r="T644">
        <v>4.0585036632990112</v>
      </c>
      <c r="U644">
        <v>0</v>
      </c>
      <c r="V644">
        <v>1.1304767209823808E-2</v>
      </c>
      <c r="W644">
        <v>0.17849107729545169</v>
      </c>
      <c r="X644">
        <v>2.4400341974815255E-2</v>
      </c>
      <c r="Y644">
        <v>1.0214256271348844E-2</v>
      </c>
    </row>
    <row r="645" spans="1:25" x14ac:dyDescent="0.25">
      <c r="A645" s="1093"/>
      <c r="B645" s="1452">
        <v>395</v>
      </c>
      <c r="C645" s="1097">
        <v>0.99827069952385961</v>
      </c>
      <c r="D645" s="1097">
        <v>1.0040177153536525</v>
      </c>
      <c r="E645" s="1097">
        <v>0.98412468869553926</v>
      </c>
      <c r="F645" s="1097">
        <v>0.97281442967491905</v>
      </c>
      <c r="G645" s="1097">
        <v>0.98230341708452573</v>
      </c>
      <c r="H645" s="1097">
        <v>0.97965175674940241</v>
      </c>
      <c r="I645" s="1097">
        <v>0.9938090984631065</v>
      </c>
      <c r="K645">
        <v>5.0181409472079928</v>
      </c>
      <c r="L645">
        <v>0</v>
      </c>
      <c r="M645">
        <v>3.5639484218301766E-3</v>
      </c>
      <c r="N645">
        <v>0.29494733792059935</v>
      </c>
      <c r="O645">
        <v>0.14480508169951808</v>
      </c>
      <c r="P645">
        <v>1.9530226259423411E-2</v>
      </c>
      <c r="Q645">
        <v>1.2860442283128446E-3</v>
      </c>
      <c r="R645">
        <v>3.5577433611604361E-3</v>
      </c>
      <c r="S645">
        <v>0.44582865237182318</v>
      </c>
      <c r="T645">
        <v>3.8886616940021219</v>
      </c>
      <c r="U645">
        <v>0</v>
      </c>
      <c r="V645">
        <v>1.1304767209823811E-2</v>
      </c>
      <c r="W645">
        <v>0.1775933239927569</v>
      </c>
      <c r="X645">
        <v>2.4135570224790546E-2</v>
      </c>
      <c r="Y645">
        <v>1.0054454359495668E-2</v>
      </c>
    </row>
    <row r="646" spans="1:25" x14ac:dyDescent="0.25">
      <c r="A646" s="1093"/>
      <c r="B646" s="1452">
        <v>396</v>
      </c>
      <c r="C646" s="1097">
        <v>1.0202370639831433</v>
      </c>
      <c r="D646" s="1097">
        <v>1.0035034537473058</v>
      </c>
      <c r="E646" s="1097">
        <v>0.98119377553171561</v>
      </c>
      <c r="F646" s="1097">
        <v>1.000905122163803</v>
      </c>
      <c r="G646" s="1097">
        <v>0.95752001373655582</v>
      </c>
      <c r="H646" s="1097">
        <v>0.97246305659827537</v>
      </c>
      <c r="I646" s="1097">
        <v>0.99533977658975126</v>
      </c>
      <c r="K646">
        <v>5.1318012374678039</v>
      </c>
      <c r="L646">
        <v>0</v>
      </c>
      <c r="M646">
        <v>3.5841359130686819E-3</v>
      </c>
      <c r="N646">
        <v>0.29406069241388116</v>
      </c>
      <c r="O646">
        <v>0.1458884224471633</v>
      </c>
      <c r="P646">
        <v>1.9993488441526788E-2</v>
      </c>
      <c r="Q646">
        <v>1.2554201963970112E-3</v>
      </c>
      <c r="R646">
        <v>3.5780257108464783E-3</v>
      </c>
      <c r="S646">
        <v>0.44614316375065549</v>
      </c>
      <c r="T646">
        <v>4.0013208156307183</v>
      </c>
      <c r="U646">
        <v>0</v>
      </c>
      <c r="V646">
        <v>1.1304767209823806E-2</v>
      </c>
      <c r="W646">
        <v>0.17741471653125701</v>
      </c>
      <c r="X646">
        <v>2.4314087220414445E-2</v>
      </c>
      <c r="Y646">
        <v>1.0111773828192573E-2</v>
      </c>
    </row>
    <row r="647" spans="1:25" x14ac:dyDescent="0.25">
      <c r="A647" s="1093"/>
      <c r="B647" s="1452">
        <v>397</v>
      </c>
      <c r="C647" s="1097">
        <v>1.0254907178990211</v>
      </c>
      <c r="D647" s="1097">
        <v>0.98066883166485908</v>
      </c>
      <c r="E647" s="1097">
        <v>1.0193146673614808</v>
      </c>
      <c r="F647" s="1097">
        <v>1.0049000065561877</v>
      </c>
      <c r="G647" s="1097">
        <v>1.0183615305285951</v>
      </c>
      <c r="H647" s="1097">
        <v>1.0045081950618098</v>
      </c>
      <c r="I647" s="1097">
        <v>1.0373042313772047</v>
      </c>
      <c r="K647">
        <v>5.2028193960920088</v>
      </c>
      <c r="L647">
        <v>0</v>
      </c>
      <c r="M647">
        <v>3.4442429051784297E-3</v>
      </c>
      <c r="N647">
        <v>0.31639222316132254</v>
      </c>
      <c r="O647">
        <v>0.14602028382685933</v>
      </c>
      <c r="P647">
        <v>2.0742254856913347E-2</v>
      </c>
      <c r="Q647">
        <v>1.3023987773571044E-3</v>
      </c>
      <c r="R647">
        <v>3.4385810671812844E-3</v>
      </c>
      <c r="S647">
        <v>0.47235198702180475</v>
      </c>
      <c r="T647">
        <v>4.0124821491094211</v>
      </c>
      <c r="U647">
        <v>0</v>
      </c>
      <c r="V647">
        <v>1.1304767209823806E-2</v>
      </c>
      <c r="W647">
        <v>0.18603317704852357</v>
      </c>
      <c r="X647">
        <v>2.6478124298884513E-2</v>
      </c>
      <c r="Y647">
        <v>9.71769261909982E-3</v>
      </c>
    </row>
    <row r="648" spans="1:25" x14ac:dyDescent="0.25">
      <c r="A648" s="1093"/>
      <c r="B648" s="1452">
        <v>398</v>
      </c>
      <c r="C648" s="1097">
        <v>0.96498861516799206</v>
      </c>
      <c r="D648" s="1097">
        <v>1.0074263496538047</v>
      </c>
      <c r="E648" s="1097">
        <v>1.0007332683520527</v>
      </c>
      <c r="F648" s="1097">
        <v>0.9639253838456896</v>
      </c>
      <c r="G648" s="1097">
        <v>1.0130358716003407</v>
      </c>
      <c r="H648" s="1097">
        <v>1.0123242873661551</v>
      </c>
      <c r="I648" s="1097">
        <v>1.0220507461120358</v>
      </c>
      <c r="K648">
        <v>5.0483463516480418</v>
      </c>
      <c r="L648">
        <v>0</v>
      </c>
      <c r="M648">
        <v>3.6405311703922088E-3</v>
      </c>
      <c r="N648">
        <v>0.31650415276380256</v>
      </c>
      <c r="O648">
        <v>0.14776913269448133</v>
      </c>
      <c r="P648">
        <v>1.9744534479065001E-2</v>
      </c>
      <c r="Q648">
        <v>1.3477364037572102E-3</v>
      </c>
      <c r="R648">
        <v>3.6343408775173494E-3</v>
      </c>
      <c r="S648">
        <v>0.47661749975426898</v>
      </c>
      <c r="T648">
        <v>3.8511120534374284</v>
      </c>
      <c r="U648">
        <v>0</v>
      </c>
      <c r="V648">
        <v>1.1304767209823827E-2</v>
      </c>
      <c r="W648">
        <v>0.18843488612249473</v>
      </c>
      <c r="X648">
        <v>2.5246854287126801E-2</v>
      </c>
      <c r="Y648">
        <v>1.0270924788664036E-2</v>
      </c>
    </row>
    <row r="649" spans="1:25" x14ac:dyDescent="0.25">
      <c r="A649" s="1093"/>
      <c r="B649" s="1452">
        <v>399</v>
      </c>
      <c r="C649" s="1097">
        <v>1.0014601114537796</v>
      </c>
      <c r="D649" s="1097">
        <v>0.99195434398041549</v>
      </c>
      <c r="E649" s="1097">
        <v>0.98083794092503584</v>
      </c>
      <c r="F649" s="1097">
        <v>0.99836365949761374</v>
      </c>
      <c r="G649" s="1097">
        <v>0.9943272944448589</v>
      </c>
      <c r="H649" s="1097">
        <v>1.0215840050791978</v>
      </c>
      <c r="I649" s="1097">
        <v>0.98596631443246641</v>
      </c>
      <c r="K649">
        <v>5.1727586452183596</v>
      </c>
      <c r="L649">
        <v>0</v>
      </c>
      <c r="M649">
        <v>3.8466787735308488E-3</v>
      </c>
      <c r="N649">
        <v>0.31529258654387365</v>
      </c>
      <c r="O649">
        <v>0.14894429319047139</v>
      </c>
      <c r="P649">
        <v>2.0002019600960388E-2</v>
      </c>
      <c r="Q649">
        <v>1.2844978198164577E-3</v>
      </c>
      <c r="R649">
        <v>3.8404204447290116E-3</v>
      </c>
      <c r="S649">
        <v>0.45936034773035506</v>
      </c>
      <c r="T649">
        <v>3.9912058042524174</v>
      </c>
      <c r="U649">
        <v>0</v>
      </c>
      <c r="V649">
        <v>1.1304767209823827E-2</v>
      </c>
      <c r="W649">
        <v>0.19027083776760828</v>
      </c>
      <c r="X649">
        <v>2.4246428052796348E-2</v>
      </c>
      <c r="Y649">
        <v>1.0853321379034863E-2</v>
      </c>
    </row>
    <row r="650" spans="1:25" x14ac:dyDescent="0.25">
      <c r="A650" s="1093"/>
      <c r="B650" s="1452">
        <v>400</v>
      </c>
      <c r="C650" s="1097">
        <v>0.96532397196733366</v>
      </c>
      <c r="D650" s="1097">
        <v>1.0016039403821366</v>
      </c>
      <c r="E650" s="1097">
        <v>0.97799970209525822</v>
      </c>
      <c r="F650" s="1097">
        <v>1.0185230839528394</v>
      </c>
      <c r="G650" s="1097">
        <v>0.96700408716419228</v>
      </c>
      <c r="H650" s="1097">
        <v>1.0083460169795411</v>
      </c>
      <c r="I650" s="1097">
        <v>1.0187631691256582</v>
      </c>
      <c r="K650">
        <v>5.3213660192615144</v>
      </c>
      <c r="L650">
        <v>0</v>
      </c>
      <c r="M650">
        <v>4.026758054981208E-3</v>
      </c>
      <c r="N650">
        <v>0.32728826503682595</v>
      </c>
      <c r="O650">
        <v>0.15711404560968595</v>
      </c>
      <c r="P650">
        <v>2.0490059672605834E-2</v>
      </c>
      <c r="Q650">
        <v>1.3241641971884466E-3</v>
      </c>
      <c r="R650">
        <v>4.0202518961075856E-3</v>
      </c>
      <c r="S650">
        <v>0.4971250638745538</v>
      </c>
      <c r="T650">
        <v>4.0721645443070686</v>
      </c>
      <c r="U650">
        <v>0</v>
      </c>
      <c r="V650">
        <v>1.1304767209823825E-2</v>
      </c>
      <c r="W650">
        <v>0.19789451400723163</v>
      </c>
      <c r="X650">
        <v>2.5305562715288141E-2</v>
      </c>
      <c r="Y650">
        <v>1.1361538790112537E-2</v>
      </c>
    </row>
    <row r="651" spans="1:25" x14ac:dyDescent="0.25">
      <c r="A651" s="1093"/>
      <c r="B651" s="1452">
        <v>401</v>
      </c>
      <c r="C651" s="1097">
        <v>0.96549591462035511</v>
      </c>
      <c r="D651" s="1097">
        <v>0.99343642739719296</v>
      </c>
      <c r="E651" s="1097">
        <v>1.0391989383927467</v>
      </c>
      <c r="F651" s="1097">
        <v>0.98411330652521267</v>
      </c>
      <c r="G651" s="1097">
        <v>1.0228835588706884</v>
      </c>
      <c r="H651" s="1097">
        <v>1.0383909525650532</v>
      </c>
      <c r="I651" s="1097">
        <v>1.0031882845373039</v>
      </c>
      <c r="K651">
        <v>5.1749914027951887</v>
      </c>
      <c r="L651">
        <v>0</v>
      </c>
      <c r="M651">
        <v>3.5326941160895423E-3</v>
      </c>
      <c r="N651">
        <v>0.3441743743550188</v>
      </c>
      <c r="O651">
        <v>0.15053601100118277</v>
      </c>
      <c r="P651">
        <v>2.0689793621925651E-2</v>
      </c>
      <c r="Q651">
        <v>1.3994041297439733E-3</v>
      </c>
      <c r="R651">
        <v>3.5269579081323712E-3</v>
      </c>
      <c r="S651">
        <v>0.48207773088877864</v>
      </c>
      <c r="T651">
        <v>3.9270596834258917</v>
      </c>
      <c r="U651">
        <v>0</v>
      </c>
      <c r="V651">
        <v>1.130476720982382E-2</v>
      </c>
      <c r="W651">
        <v>0.19971964230540187</v>
      </c>
      <c r="X651">
        <v>2.8068279746494111E-2</v>
      </c>
      <c r="Y651">
        <v>9.9674523188802069E-3</v>
      </c>
    </row>
    <row r="652" spans="1:25" x14ac:dyDescent="0.25">
      <c r="A652" s="1093"/>
      <c r="B652" s="1452">
        <v>402</v>
      </c>
      <c r="C652" s="1097">
        <v>0.98245362107419132</v>
      </c>
      <c r="D652" s="1097">
        <v>1.0388487279229126</v>
      </c>
      <c r="E652" s="1097">
        <v>0.96488196586030717</v>
      </c>
      <c r="F652" s="1097">
        <v>1.0370983035037586</v>
      </c>
      <c r="G652" s="1097">
        <v>1.0328946174800731</v>
      </c>
      <c r="H652" s="1097">
        <v>1.0196126663203477</v>
      </c>
      <c r="I652" s="1097">
        <v>1.0063191175459705</v>
      </c>
      <c r="K652">
        <v>5.3806086150492707</v>
      </c>
      <c r="L652">
        <v>0</v>
      </c>
      <c r="M652">
        <v>4.1264771485023536E-3</v>
      </c>
      <c r="N652">
        <v>0.32259591841448232</v>
      </c>
      <c r="O652">
        <v>0.15529041256682716</v>
      </c>
      <c r="P652">
        <v>2.0584605415722733E-2</v>
      </c>
      <c r="Q652">
        <v>1.267617047733844E-3</v>
      </c>
      <c r="R652">
        <v>4.1200014508537804E-3</v>
      </c>
      <c r="S652">
        <v>0.48868999841916438</v>
      </c>
      <c r="T652">
        <v>4.1481611671275802</v>
      </c>
      <c r="U652">
        <v>0</v>
      </c>
      <c r="V652">
        <v>1.130476720982381E-2</v>
      </c>
      <c r="W652">
        <v>0.19682861978287908</v>
      </c>
      <c r="X652">
        <v>2.4248546115364655E-2</v>
      </c>
      <c r="Y652">
        <v>1.1643438647343528E-2</v>
      </c>
    </row>
    <row r="653" spans="1:25" x14ac:dyDescent="0.25">
      <c r="A653" s="1093"/>
      <c r="B653" s="1452">
        <v>403</v>
      </c>
      <c r="C653" s="1097">
        <v>1.006561355449259</v>
      </c>
      <c r="D653" s="1097">
        <v>1.0138474043182233</v>
      </c>
      <c r="E653" s="1097">
        <v>0.99836187694173706</v>
      </c>
      <c r="F653" s="1097">
        <v>0.99202995469490618</v>
      </c>
      <c r="G653" s="1097">
        <v>1.0023238514060049</v>
      </c>
      <c r="H653" s="1097">
        <v>0.99132261704836011</v>
      </c>
      <c r="I653" s="1097">
        <v>0.98540354638372574</v>
      </c>
      <c r="K653">
        <v>5.1097041429496386</v>
      </c>
      <c r="L653">
        <v>0</v>
      </c>
      <c r="M653">
        <v>3.525877612877639E-3</v>
      </c>
      <c r="N653">
        <v>0.30439392484282629</v>
      </c>
      <c r="O653">
        <v>0.14549111766010125</v>
      </c>
      <c r="P653">
        <v>2.0085979816448545E-2</v>
      </c>
      <c r="Q653">
        <v>1.286175657652842E-3</v>
      </c>
      <c r="R653">
        <v>3.5199284189159951E-3</v>
      </c>
      <c r="S653">
        <v>0.4469006480339538</v>
      </c>
      <c r="T653">
        <v>3.963691949375602</v>
      </c>
      <c r="U653">
        <v>0</v>
      </c>
      <c r="V653">
        <v>1.130476720982382E-2</v>
      </c>
      <c r="W653">
        <v>0.18151568628980566</v>
      </c>
      <c r="X653">
        <v>2.5092256811706581E-2</v>
      </c>
      <c r="Y653">
        <v>9.9475864456786151E-3</v>
      </c>
    </row>
    <row r="654" spans="1:25" x14ac:dyDescent="0.25">
      <c r="A654" s="1093"/>
      <c r="B654" s="1452">
        <v>404</v>
      </c>
      <c r="C654" s="1097">
        <v>1.0077278697464667</v>
      </c>
      <c r="D654" s="1097">
        <v>0.96361699249584321</v>
      </c>
      <c r="E654" s="1097">
        <v>1.0019467855108075</v>
      </c>
      <c r="F654" s="1097">
        <v>0.97744500280291258</v>
      </c>
      <c r="G654" s="1097">
        <v>0.99031767180687957</v>
      </c>
      <c r="H654" s="1097">
        <v>1.0338343556777181</v>
      </c>
      <c r="I654" s="1097">
        <v>0.99576080235522035</v>
      </c>
      <c r="K654">
        <v>5.0868448232216128</v>
      </c>
      <c r="L654">
        <v>0</v>
      </c>
      <c r="M654">
        <v>3.6654473634364602E-3</v>
      </c>
      <c r="N654">
        <v>0.31983680238586248</v>
      </c>
      <c r="O654">
        <v>0.14602802617220809</v>
      </c>
      <c r="P654">
        <v>1.9922280764627914E-2</v>
      </c>
      <c r="Q654">
        <v>1.3150998025792306E-3</v>
      </c>
      <c r="R654">
        <v>3.6594286515667452E-3</v>
      </c>
      <c r="S654">
        <v>0.45786643453886228</v>
      </c>
      <c r="T654">
        <v>3.9049773287558054</v>
      </c>
      <c r="U654">
        <v>0</v>
      </c>
      <c r="V654">
        <v>1.1304767209823815E-2</v>
      </c>
      <c r="W654">
        <v>0.19026304965440405</v>
      </c>
      <c r="X654">
        <v>2.499522789581983E-2</v>
      </c>
      <c r="Y654">
        <v>1.0341824753488573E-2</v>
      </c>
    </row>
    <row r="655" spans="1:25" x14ac:dyDescent="0.25">
      <c r="A655" s="1093"/>
      <c r="B655" s="1452">
        <v>405</v>
      </c>
      <c r="C655" s="1097">
        <v>1.0231856041241127</v>
      </c>
      <c r="D655" s="1097">
        <v>0.98080442250958533</v>
      </c>
      <c r="E655" s="1097">
        <v>1.0227300582796861</v>
      </c>
      <c r="F655" s="1097">
        <v>1.0083530048003531</v>
      </c>
      <c r="G655" s="1097">
        <v>1.0432052193674994</v>
      </c>
      <c r="H655" s="1097">
        <v>0.97970584918359627</v>
      </c>
      <c r="I655" s="1097">
        <v>0.96811773818438274</v>
      </c>
      <c r="K655">
        <v>5.1746841021281256</v>
      </c>
      <c r="L655">
        <v>0</v>
      </c>
      <c r="M655">
        <v>3.3538439824354308E-3</v>
      </c>
      <c r="N655">
        <v>0.31120557829082351</v>
      </c>
      <c r="O655">
        <v>0.14674956590263827</v>
      </c>
      <c r="P655">
        <v>2.0699941551984173E-2</v>
      </c>
      <c r="Q655">
        <v>1.3090361529836054E-3</v>
      </c>
      <c r="R655">
        <v>3.3482104991088102E-3</v>
      </c>
      <c r="S655">
        <v>0.43863074579590988</v>
      </c>
      <c r="T655">
        <v>4.025841579297242</v>
      </c>
      <c r="U655">
        <v>0</v>
      </c>
      <c r="V655">
        <v>1.130476720982381E-2</v>
      </c>
      <c r="W655">
        <v>0.18256756466474922</v>
      </c>
      <c r="X655">
        <v>2.6918658251038022E-2</v>
      </c>
      <c r="Y655">
        <v>9.4622984942605189E-3</v>
      </c>
    </row>
    <row r="656" spans="1:25" x14ac:dyDescent="0.25">
      <c r="A656" s="1093"/>
      <c r="B656" s="1452">
        <v>406</v>
      </c>
      <c r="C656" s="1097">
        <v>1.0090937869372407</v>
      </c>
      <c r="D656" s="1097">
        <v>1.0080305431793646</v>
      </c>
      <c r="E656" s="1097">
        <v>0.97317247620959302</v>
      </c>
      <c r="F656" s="1097">
        <v>1.0290131893008285</v>
      </c>
      <c r="G656" s="1097">
        <v>1.0189210043388646</v>
      </c>
      <c r="H656" s="1097">
        <v>1.0012241112407754</v>
      </c>
      <c r="I656" s="1097">
        <v>1.001450057022216</v>
      </c>
      <c r="K656">
        <v>5.3056071041339354</v>
      </c>
      <c r="L656">
        <v>0</v>
      </c>
      <c r="M656">
        <v>3.8935755028851045E-3</v>
      </c>
      <c r="N656">
        <v>0.3119627806859413</v>
      </c>
      <c r="O656">
        <v>0.15159565847564491</v>
      </c>
      <c r="P656">
        <v>2.048175834894455E-2</v>
      </c>
      <c r="Q656">
        <v>1.2581934527872861E-3</v>
      </c>
      <c r="R656">
        <v>3.8873042665966357E-3</v>
      </c>
      <c r="S656">
        <v>0.46958667516283653</v>
      </c>
      <c r="T656">
        <v>4.1147358998999515</v>
      </c>
      <c r="U656">
        <v>0</v>
      </c>
      <c r="V656">
        <v>1.1304767209823803E-2</v>
      </c>
      <c r="W656">
        <v>0.1892547431592875</v>
      </c>
      <c r="X656">
        <v>2.444708033596886E-2</v>
      </c>
      <c r="Y656">
        <v>1.0985818639043238E-2</v>
      </c>
    </row>
    <row r="657" spans="1:25" x14ac:dyDescent="0.25">
      <c r="A657" s="1093"/>
      <c r="B657" s="1452">
        <v>407</v>
      </c>
      <c r="C657" s="1097">
        <v>0.99061713651491323</v>
      </c>
      <c r="D657" s="1097">
        <v>1.0287279578997006</v>
      </c>
      <c r="E657" s="1097">
        <v>1.0175096062598648</v>
      </c>
      <c r="F657" s="1097">
        <v>1.005528012713083</v>
      </c>
      <c r="G657" s="1097">
        <v>0.97837509841940473</v>
      </c>
      <c r="H657" s="1097">
        <v>0.99130122645895813</v>
      </c>
      <c r="I657" s="1097">
        <v>1.0020061244880949</v>
      </c>
      <c r="K657">
        <v>5.2025163265262293</v>
      </c>
      <c r="L657">
        <v>0</v>
      </c>
      <c r="M657">
        <v>3.4672645911926069E-3</v>
      </c>
      <c r="N657">
        <v>0.31680377683958882</v>
      </c>
      <c r="O657">
        <v>0.14843856100234737</v>
      </c>
      <c r="P657">
        <v>2.0696723312389455E-2</v>
      </c>
      <c r="Q657">
        <v>1.3206707803219545E-3</v>
      </c>
      <c r="R657">
        <v>3.4614925740223366E-3</v>
      </c>
      <c r="S657">
        <v>0.46569438126395163</v>
      </c>
      <c r="T657">
        <v>4.0152156297435582</v>
      </c>
      <c r="U657">
        <v>0</v>
      </c>
      <c r="V657">
        <v>1.1304767209823811E-2</v>
      </c>
      <c r="W657">
        <v>0.18649973848989618</v>
      </c>
      <c r="X657">
        <v>2.6765407614879673E-2</v>
      </c>
      <c r="Y657">
        <v>9.7824422866434248E-3</v>
      </c>
    </row>
    <row r="658" spans="1:25" x14ac:dyDescent="0.25">
      <c r="A658" s="1093"/>
      <c r="B658" s="1452">
        <v>408</v>
      </c>
      <c r="C658" s="1097">
        <v>0.99539706047995957</v>
      </c>
      <c r="D658" s="1097">
        <v>1.0129276721558438</v>
      </c>
      <c r="E658" s="1097">
        <v>0.99888947640967141</v>
      </c>
      <c r="F658" s="1097">
        <v>0.98908311462690002</v>
      </c>
      <c r="G658" s="1097">
        <v>1.0009906481562929</v>
      </c>
      <c r="H658" s="1097">
        <v>0.99015985080526747</v>
      </c>
      <c r="I658" s="1097">
        <v>0.97382649201503779</v>
      </c>
      <c r="K658">
        <v>5.10150786297352</v>
      </c>
      <c r="L658">
        <v>0</v>
      </c>
      <c r="M658">
        <v>3.5480262325513537E-3</v>
      </c>
      <c r="N658">
        <v>0.30678315164342845</v>
      </c>
      <c r="O658">
        <v>0.14672464777486779</v>
      </c>
      <c r="P658">
        <v>2.0033097323213036E-2</v>
      </c>
      <c r="Q658">
        <v>1.3016625024059184E-3</v>
      </c>
      <c r="R658">
        <v>3.5420148100380978E-3</v>
      </c>
      <c r="S658">
        <v>0.44536181163661748</v>
      </c>
      <c r="T658">
        <v>3.9518521812629377</v>
      </c>
      <c r="U658">
        <v>0</v>
      </c>
      <c r="V658">
        <v>1.1304767209823822E-2</v>
      </c>
      <c r="W658">
        <v>0.1828751419898946</v>
      </c>
      <c r="X658">
        <v>2.5267408779634383E-2</v>
      </c>
      <c r="Y658">
        <v>1.0010004273205869E-2</v>
      </c>
    </row>
    <row r="659" spans="1:25" x14ac:dyDescent="0.25">
      <c r="A659" s="1093"/>
      <c r="B659" s="1452">
        <v>409</v>
      </c>
      <c r="C659" s="1097">
        <v>1.0137822215013625</v>
      </c>
      <c r="D659" s="1097">
        <v>1.0020535760896481</v>
      </c>
      <c r="E659" s="1097">
        <v>1.0372036270994796</v>
      </c>
      <c r="F659" s="1097">
        <v>1.0042580711955789</v>
      </c>
      <c r="G659" s="1097">
        <v>0.9888938338306833</v>
      </c>
      <c r="H659" s="1097">
        <v>1.0038312011242816</v>
      </c>
      <c r="I659" s="1097">
        <v>0.98884151814549126</v>
      </c>
      <c r="K659">
        <v>5.1857883016965873</v>
      </c>
      <c r="L659">
        <v>0</v>
      </c>
      <c r="M659">
        <v>3.3214843832154303E-3</v>
      </c>
      <c r="N659">
        <v>0.32168788657473774</v>
      </c>
      <c r="O659">
        <v>0.14585113712551809</v>
      </c>
      <c r="P659">
        <v>2.0901808611791816E-2</v>
      </c>
      <c r="Q659">
        <v>1.3259394124510229E-3</v>
      </c>
      <c r="R659">
        <v>3.3160171734805542E-3</v>
      </c>
      <c r="S659">
        <v>0.45317978551956967</v>
      </c>
      <c r="T659">
        <v>4.0076934941809554</v>
      </c>
      <c r="U659">
        <v>0</v>
      </c>
      <c r="V659">
        <v>1.1304767209823815E-2</v>
      </c>
      <c r="W659">
        <v>0.18691653492803817</v>
      </c>
      <c r="X659">
        <v>2.7561097645244569E-2</v>
      </c>
      <c r="Y659">
        <v>9.3713176981909275E-3</v>
      </c>
    </row>
    <row r="660" spans="1:25" x14ac:dyDescent="0.25">
      <c r="A660" s="1093"/>
      <c r="B660" s="1452">
        <v>410</v>
      </c>
      <c r="C660" s="1097">
        <v>0.99729428038323353</v>
      </c>
      <c r="D660" s="1097">
        <v>1.0179509342664157</v>
      </c>
      <c r="E660" s="1097">
        <v>1.0041750595096199</v>
      </c>
      <c r="F660" s="1097">
        <v>0.98645010206374262</v>
      </c>
      <c r="G660" s="1097">
        <v>1.0070152593059354</v>
      </c>
      <c r="H660" s="1097">
        <v>0.97479070630033726</v>
      </c>
      <c r="I660" s="1097">
        <v>0.96134567957004191</v>
      </c>
      <c r="K660">
        <v>5.0692569073722273</v>
      </c>
      <c r="L660">
        <v>0</v>
      </c>
      <c r="M660">
        <v>3.431749038518078E-3</v>
      </c>
      <c r="N660">
        <v>0.30140280881526738</v>
      </c>
      <c r="O660">
        <v>0.14562245586677647</v>
      </c>
      <c r="P660">
        <v>2.0012457533690006E-2</v>
      </c>
      <c r="Q660">
        <v>1.3024991679939607E-3</v>
      </c>
      <c r="R660">
        <v>3.4258272130219033E-3</v>
      </c>
      <c r="S660">
        <v>0.43469934317149428</v>
      </c>
      <c r="T660">
        <v>3.9406779010701611</v>
      </c>
      <c r="U660">
        <v>0</v>
      </c>
      <c r="V660">
        <v>1.130476720982381E-2</v>
      </c>
      <c r="W660">
        <v>0.17902785513288336</v>
      </c>
      <c r="X660">
        <v>2.553109197609699E-2</v>
      </c>
      <c r="Y660">
        <v>9.6816492535347059E-3</v>
      </c>
    </row>
    <row r="661" spans="1:25" x14ac:dyDescent="0.25">
      <c r="A661" s="1093"/>
      <c r="B661" s="1452">
        <v>411</v>
      </c>
      <c r="C661" s="1097">
        <v>1.0112944467489742</v>
      </c>
      <c r="D661" s="1097">
        <v>1.0111541912783928</v>
      </c>
      <c r="E661" s="1097">
        <v>1.0015882636169495</v>
      </c>
      <c r="F661" s="1097">
        <v>1.0198994577128577</v>
      </c>
      <c r="G661" s="1097">
        <v>1.006361417372021</v>
      </c>
      <c r="H661" s="1097">
        <v>1.0405984399581591</v>
      </c>
      <c r="I661" s="1097">
        <v>1.0304143157252212</v>
      </c>
      <c r="K661">
        <v>5.3026000059812386</v>
      </c>
      <c r="L661">
        <v>0</v>
      </c>
      <c r="M661">
        <v>3.765494367913038E-3</v>
      </c>
      <c r="N661">
        <v>0.32824362361615272</v>
      </c>
      <c r="O661">
        <v>0.14894671694967401</v>
      </c>
      <c r="P661">
        <v>2.0816957587710072E-2</v>
      </c>
      <c r="Q661">
        <v>1.2850673568639093E-3</v>
      </c>
      <c r="R661">
        <v>3.759606853038255E-3</v>
      </c>
      <c r="S661">
        <v>0.48586486975003573</v>
      </c>
      <c r="T661">
        <v>4.0746324192151731</v>
      </c>
      <c r="U661">
        <v>0</v>
      </c>
      <c r="V661">
        <v>1.1304767209823817E-2</v>
      </c>
      <c r="W661">
        <v>0.19531132546931021</v>
      </c>
      <c r="X661">
        <v>2.5575210342278956E-2</v>
      </c>
      <c r="Y661">
        <v>1.0624935999090934E-2</v>
      </c>
    </row>
    <row r="662" spans="1:25" x14ac:dyDescent="0.25">
      <c r="A662" s="1093"/>
      <c r="B662" s="1452">
        <v>412</v>
      </c>
      <c r="C662" s="1097">
        <v>1.0013003914348808</v>
      </c>
      <c r="D662" s="1097">
        <v>1.0051574032127366</v>
      </c>
      <c r="E662" s="1097">
        <v>1.0300344719282986</v>
      </c>
      <c r="F662" s="1097">
        <v>1.0060910985033951</v>
      </c>
      <c r="G662" s="1097">
        <v>1.00527237489509</v>
      </c>
      <c r="H662" s="1097">
        <v>0.97054121827486717</v>
      </c>
      <c r="I662" s="1097">
        <v>0.99900244389673742</v>
      </c>
      <c r="K662">
        <v>5.1880080307864578</v>
      </c>
      <c r="L662">
        <v>0</v>
      </c>
      <c r="M662">
        <v>3.3030066296128343E-3</v>
      </c>
      <c r="N662">
        <v>0.31317449280970289</v>
      </c>
      <c r="O662">
        <v>0.14795605054256866</v>
      </c>
      <c r="P662">
        <v>2.0852935994886655E-2</v>
      </c>
      <c r="Q662">
        <v>1.3327681530458497E-3</v>
      </c>
      <c r="R662">
        <v>3.2973935784221691E-3</v>
      </c>
      <c r="S662">
        <v>0.4577245933138584</v>
      </c>
      <c r="T662">
        <v>4.0158997556732565</v>
      </c>
      <c r="U662">
        <v>0</v>
      </c>
      <c r="V662">
        <v>1.1304767209823801E-2</v>
      </c>
      <c r="W662">
        <v>0.18283380175057029</v>
      </c>
      <c r="X662">
        <v>2.7615792393226524E-2</v>
      </c>
      <c r="Y662">
        <v>9.3186859967117116E-3</v>
      </c>
    </row>
    <row r="663" spans="1:25" x14ac:dyDescent="0.25">
      <c r="A663" s="1093"/>
      <c r="B663" s="1452">
        <v>413</v>
      </c>
      <c r="C663" s="1097">
        <v>1.0088616560180872</v>
      </c>
      <c r="D663" s="1097">
        <v>0.99499945511531962</v>
      </c>
      <c r="E663" s="1097">
        <v>0.99940093753800596</v>
      </c>
      <c r="F663" s="1097">
        <v>1.0276522065229345</v>
      </c>
      <c r="G663" s="1097">
        <v>1.0156227889852345</v>
      </c>
      <c r="H663" s="1097">
        <v>1.0106074898760262</v>
      </c>
      <c r="I663" s="1097">
        <v>0.9988441653805149</v>
      </c>
      <c r="K663">
        <v>5.3144532578424277</v>
      </c>
      <c r="L663">
        <v>0</v>
      </c>
      <c r="M663">
        <v>3.7346448231223781E-3</v>
      </c>
      <c r="N663">
        <v>0.32344031254781058</v>
      </c>
      <c r="O663">
        <v>0.15147527987863227</v>
      </c>
      <c r="P663">
        <v>2.0857196190974162E-2</v>
      </c>
      <c r="Q663">
        <v>1.2940642529782223E-3</v>
      </c>
      <c r="R663">
        <v>3.7286775418274116E-3</v>
      </c>
      <c r="S663">
        <v>0.47092520606347738</v>
      </c>
      <c r="T663">
        <v>4.1058878236472527</v>
      </c>
      <c r="U663">
        <v>0</v>
      </c>
      <c r="V663">
        <v>1.130476720982381E-2</v>
      </c>
      <c r="W663">
        <v>0.19273789171690914</v>
      </c>
      <c r="X663">
        <v>2.5999156211597971E-2</v>
      </c>
      <c r="Y663">
        <v>1.0537527404267883E-2</v>
      </c>
    </row>
    <row r="664" spans="1:25" x14ac:dyDescent="0.25">
      <c r="A664" s="1093"/>
      <c r="B664" s="1452">
        <v>414</v>
      </c>
      <c r="C664" s="1097">
        <v>0.97068930506787299</v>
      </c>
      <c r="D664" s="1097">
        <v>0.98283998189413646</v>
      </c>
      <c r="E664" s="1097">
        <v>1.0271159729904207</v>
      </c>
      <c r="F664" s="1097">
        <v>0.99729078546748418</v>
      </c>
      <c r="G664" s="1097">
        <v>1.0011054755063196</v>
      </c>
      <c r="H664" s="1097">
        <v>0.9980518850352823</v>
      </c>
      <c r="I664" s="1097">
        <v>0.98169515259487683</v>
      </c>
      <c r="K664">
        <v>5.1982664794308588</v>
      </c>
      <c r="L664">
        <v>0</v>
      </c>
      <c r="M664">
        <v>3.5261832154102708E-3</v>
      </c>
      <c r="N664">
        <v>0.33147308342063514</v>
      </c>
      <c r="O664">
        <v>0.15273584723763872</v>
      </c>
      <c r="P664">
        <v>2.0694378866564896E-2</v>
      </c>
      <c r="Q664">
        <v>1.3837973423112303E-3</v>
      </c>
      <c r="R664">
        <v>3.5203047431103529E-3</v>
      </c>
      <c r="S664">
        <v>0.46783804271892804</v>
      </c>
      <c r="T664">
        <v>3.9811330442084265</v>
      </c>
      <c r="U664">
        <v>0</v>
      </c>
      <c r="V664">
        <v>1.1304767209823834E-2</v>
      </c>
      <c r="W664">
        <v>0.19389144478910478</v>
      </c>
      <c r="X664">
        <v>2.7869302143136449E-2</v>
      </c>
      <c r="Y664">
        <v>9.948649966582861E-3</v>
      </c>
    </row>
    <row r="665" spans="1:25" x14ac:dyDescent="0.25">
      <c r="A665" s="1093"/>
      <c r="B665" s="1452">
        <v>415</v>
      </c>
      <c r="C665" s="1097">
        <v>0.99034433693681789</v>
      </c>
      <c r="D665" s="1097">
        <v>0.99400241847982362</v>
      </c>
      <c r="E665" s="1097">
        <v>0.99100931560073002</v>
      </c>
      <c r="F665" s="1097">
        <v>1.0380844137079017</v>
      </c>
      <c r="G665" s="1097">
        <v>1.0087327405786901</v>
      </c>
      <c r="H665" s="1097">
        <v>0.99900030149130647</v>
      </c>
      <c r="I665" s="1097">
        <v>1.0193754207524872</v>
      </c>
      <c r="K665">
        <v>5.3897502581894825</v>
      </c>
      <c r="L665">
        <v>0</v>
      </c>
      <c r="M665">
        <v>3.8681262929080177E-3</v>
      </c>
      <c r="N665">
        <v>0.32677009455021222</v>
      </c>
      <c r="O665">
        <v>0.15618192151040194</v>
      </c>
      <c r="P665">
        <v>2.1012948203464343E-2</v>
      </c>
      <c r="Q665">
        <v>1.3093098850155721E-3</v>
      </c>
      <c r="R665">
        <v>3.8619366544786239E-3</v>
      </c>
      <c r="S665">
        <v>0.49154239067339089</v>
      </c>
      <c r="T665">
        <v>4.1486649104949178</v>
      </c>
      <c r="U665">
        <v>0</v>
      </c>
      <c r="V665">
        <v>1.1304767209823837E-2</v>
      </c>
      <c r="W665">
        <v>0.19583327005847898</v>
      </c>
      <c r="X665">
        <v>2.6222707411725867E-2</v>
      </c>
      <c r="Y665">
        <v>1.0914127830472175E-2</v>
      </c>
    </row>
    <row r="666" spans="1:25" x14ac:dyDescent="0.25">
      <c r="A666" s="1093"/>
      <c r="B666" s="1452">
        <v>416</v>
      </c>
      <c r="C666" s="1097">
        <v>1.0021748261479753</v>
      </c>
      <c r="D666" s="1097">
        <v>0.97212524530715616</v>
      </c>
      <c r="E666" s="1097">
        <v>1.0031575694103971</v>
      </c>
      <c r="F666" s="1097">
        <v>1.006246262283337</v>
      </c>
      <c r="G666" s="1097">
        <v>0.98191941163604834</v>
      </c>
      <c r="H666" s="1097">
        <v>0.97905241580565816</v>
      </c>
      <c r="I666" s="1097">
        <v>1.0253279761301868</v>
      </c>
      <c r="K666">
        <v>5.2127587001873614</v>
      </c>
      <c r="L666">
        <v>0</v>
      </c>
      <c r="M666">
        <v>3.5713932723131525E-3</v>
      </c>
      <c r="N666">
        <v>0.3127364121248698</v>
      </c>
      <c r="O666">
        <v>0.15059902106477152</v>
      </c>
      <c r="P666">
        <v>2.0538380524676797E-2</v>
      </c>
      <c r="Q666">
        <v>1.3191109072929576E-3</v>
      </c>
      <c r="R666">
        <v>3.5653778182932307E-3</v>
      </c>
      <c r="S666">
        <v>0.47416652090708156</v>
      </c>
      <c r="T666">
        <v>4.0198880681234668</v>
      </c>
      <c r="U666">
        <v>0</v>
      </c>
      <c r="V666">
        <v>1.130476720982381E-2</v>
      </c>
      <c r="W666">
        <v>0.18588728457156578</v>
      </c>
      <c r="X666">
        <v>2.6249120289619638E-2</v>
      </c>
      <c r="Y666">
        <v>1.0076029918216179E-2</v>
      </c>
    </row>
    <row r="667" spans="1:25" x14ac:dyDescent="0.25">
      <c r="A667" s="1093"/>
      <c r="B667" s="1452">
        <v>417</v>
      </c>
      <c r="C667" s="1097">
        <v>1.0117203612152685</v>
      </c>
      <c r="D667" s="1097">
        <v>0.98542956222725797</v>
      </c>
      <c r="E667" s="1097">
        <v>0.98575076486983548</v>
      </c>
      <c r="F667" s="1097">
        <v>1.0039511493098794</v>
      </c>
      <c r="G667" s="1097">
        <v>1.0257791319649272</v>
      </c>
      <c r="H667" s="1097">
        <v>1.0409189715623757</v>
      </c>
      <c r="I667" s="1097">
        <v>0.98173066466245851</v>
      </c>
      <c r="K667">
        <v>5.2041780482196867</v>
      </c>
      <c r="L667">
        <v>0</v>
      </c>
      <c r="M667">
        <v>3.8715659810091502E-3</v>
      </c>
      <c r="N667">
        <v>0.32200391749303348</v>
      </c>
      <c r="O667">
        <v>0.14851437226388034</v>
      </c>
      <c r="P667">
        <v>2.0172709008493668E-2</v>
      </c>
      <c r="Q667">
        <v>1.2802686870833804E-3</v>
      </c>
      <c r="R667">
        <v>3.8654185101094233E-3</v>
      </c>
      <c r="S667">
        <v>0.45902152968238957</v>
      </c>
      <c r="T667">
        <v>4.0129190679742592</v>
      </c>
      <c r="U667">
        <v>0</v>
      </c>
      <c r="V667">
        <v>1.130476720982381E-2</v>
      </c>
      <c r="W667">
        <v>0.19366944080208903</v>
      </c>
      <c r="X667">
        <v>2.4374154749225489E-2</v>
      </c>
      <c r="Y667">
        <v>1.0923967820311917E-2</v>
      </c>
    </row>
    <row r="668" spans="1:25" x14ac:dyDescent="0.25">
      <c r="A668" s="1093"/>
      <c r="B668" s="1452">
        <v>418</v>
      </c>
      <c r="C668" s="1097">
        <v>0.96884687257006541</v>
      </c>
      <c r="D668" s="1097">
        <v>1.0106281638225942</v>
      </c>
      <c r="E668" s="1097">
        <v>0.96844884614695115</v>
      </c>
      <c r="F668" s="1097">
        <v>0.97040651535987565</v>
      </c>
      <c r="G668" s="1097">
        <v>0.98543874675502041</v>
      </c>
      <c r="H668" s="1097">
        <v>1.0084258756882587</v>
      </c>
      <c r="I668" s="1097">
        <v>1.0178310976761495</v>
      </c>
      <c r="K668">
        <v>5.0645432208805579</v>
      </c>
      <c r="L668">
        <v>0</v>
      </c>
      <c r="M668">
        <v>3.886565283568854E-3</v>
      </c>
      <c r="N668">
        <v>0.30703768318259345</v>
      </c>
      <c r="O668">
        <v>0.14887824014901016</v>
      </c>
      <c r="P668">
        <v>1.9391013295954856E-2</v>
      </c>
      <c r="Q668">
        <v>1.3037235701230231E-3</v>
      </c>
      <c r="R668">
        <v>3.8799753233683498E-3</v>
      </c>
      <c r="S668">
        <v>0.47436998149520992</v>
      </c>
      <c r="T668">
        <v>3.8809675821321852</v>
      </c>
      <c r="U668">
        <v>0</v>
      </c>
      <c r="V668">
        <v>1.1304767209823804E-2</v>
      </c>
      <c r="W668">
        <v>0.18687449286327842</v>
      </c>
      <c r="X668">
        <v>2.3457220456640889E-2</v>
      </c>
      <c r="Y668">
        <v>1.0965106485941758E-2</v>
      </c>
    </row>
    <row r="669" spans="1:25" x14ac:dyDescent="0.25">
      <c r="A669" s="1093"/>
      <c r="B669" s="1452">
        <v>419</v>
      </c>
      <c r="C669" s="1097">
        <v>1.0004959923187202</v>
      </c>
      <c r="D669" s="1097">
        <v>1.0107729266771153</v>
      </c>
      <c r="E669" s="1097">
        <v>0.99564424180528432</v>
      </c>
      <c r="F669" s="1097">
        <v>0.99290324554526987</v>
      </c>
      <c r="G669" s="1097">
        <v>0.99824666690926001</v>
      </c>
      <c r="H669" s="1097">
        <v>1.0166845588482838</v>
      </c>
      <c r="I669" s="1097">
        <v>1.0031338411526893</v>
      </c>
      <c r="K669">
        <v>5.1468927962378359</v>
      </c>
      <c r="L669">
        <v>0</v>
      </c>
      <c r="M669">
        <v>3.6665433782088371E-3</v>
      </c>
      <c r="N669">
        <v>0.31401232028867382</v>
      </c>
      <c r="O669">
        <v>0.14675481951212629</v>
      </c>
      <c r="P669">
        <v>2.0135654612397143E-2</v>
      </c>
      <c r="Q669">
        <v>1.2925261439404184E-3</v>
      </c>
      <c r="R669">
        <v>3.6605164640727437E-3</v>
      </c>
      <c r="S669">
        <v>0.46301849848381266</v>
      </c>
      <c r="T669">
        <v>3.9675204780566471</v>
      </c>
      <c r="U669">
        <v>0</v>
      </c>
      <c r="V669">
        <v>1.130476720982381E-2</v>
      </c>
      <c r="W669">
        <v>0.18759626927303183</v>
      </c>
      <c r="X669">
        <v>2.4918590576839126E-2</v>
      </c>
      <c r="Y669">
        <v>1.0344898994681079E-2</v>
      </c>
    </row>
    <row r="670" spans="1:25" x14ac:dyDescent="0.25">
      <c r="A670" s="1093"/>
      <c r="B670" s="1452">
        <v>420</v>
      </c>
      <c r="C670" s="1097">
        <v>0.97652802179392595</v>
      </c>
      <c r="D670" s="1097">
        <v>0.98784315807731204</v>
      </c>
      <c r="E670" s="1097">
        <v>0.96194140568954156</v>
      </c>
      <c r="F670" s="1097">
        <v>0.97328506354255562</v>
      </c>
      <c r="G670" s="1097">
        <v>0.97780366709602495</v>
      </c>
      <c r="H670" s="1097">
        <v>1.0177909894874</v>
      </c>
      <c r="I670" s="1097">
        <v>0.97890842185533655</v>
      </c>
      <c r="K670">
        <v>5.0653209076528576</v>
      </c>
      <c r="L670">
        <v>0</v>
      </c>
      <c r="M670">
        <v>3.9931481198541121E-3</v>
      </c>
      <c r="N670">
        <v>0.30942447957379354</v>
      </c>
      <c r="O670">
        <v>0.14968404138951102</v>
      </c>
      <c r="P670">
        <v>1.9274262131834991E-2</v>
      </c>
      <c r="Q670">
        <v>1.2978986530101796E-3</v>
      </c>
      <c r="R670">
        <v>3.9864595469481928E-3</v>
      </c>
      <c r="S670">
        <v>0.45755421623177972</v>
      </c>
      <c r="T670">
        <v>3.8932879631536288</v>
      </c>
      <c r="U670">
        <v>0</v>
      </c>
      <c r="V670">
        <v>1.1304767209823811E-2</v>
      </c>
      <c r="W670">
        <v>0.18917728238460499</v>
      </c>
      <c r="X670">
        <v>2.3056646466312638E-2</v>
      </c>
      <c r="Y670">
        <v>1.1266039031464281E-2</v>
      </c>
    </row>
    <row r="671" spans="1:25" x14ac:dyDescent="0.25">
      <c r="A671" s="1093"/>
      <c r="B671" s="1452">
        <v>421</v>
      </c>
      <c r="C671" s="1097">
        <v>1.0358213253832873</v>
      </c>
      <c r="D671" s="1097">
        <v>0.96241242689199735</v>
      </c>
      <c r="E671" s="1097">
        <v>0.95830139492692179</v>
      </c>
      <c r="F671" s="1097">
        <v>0.99270923843052106</v>
      </c>
      <c r="G671" s="1097">
        <v>1.0160729842163585</v>
      </c>
      <c r="H671" s="1097">
        <v>0.9951624793607845</v>
      </c>
      <c r="I671" s="1097">
        <v>0.98826456724178269</v>
      </c>
      <c r="K671">
        <v>5.0960949481015669</v>
      </c>
      <c r="L671">
        <v>0</v>
      </c>
      <c r="M671">
        <v>3.8225832574908473E-3</v>
      </c>
      <c r="N671">
        <v>0.29301938576062536</v>
      </c>
      <c r="O671">
        <v>0.14553988571966445</v>
      </c>
      <c r="P671">
        <v>1.9491492587640814E-2</v>
      </c>
      <c r="Q671">
        <v>1.2324847891627445E-3</v>
      </c>
      <c r="R671">
        <v>3.8161627096075018E-3</v>
      </c>
      <c r="S671">
        <v>0.44099644855309278</v>
      </c>
      <c r="T671">
        <v>3.9714497433773546</v>
      </c>
      <c r="U671">
        <v>0</v>
      </c>
      <c r="V671">
        <v>1.1304767209823825E-2</v>
      </c>
      <c r="W671">
        <v>0.1796009236667416</v>
      </c>
      <c r="X671">
        <v>2.268146981774994E-2</v>
      </c>
      <c r="Y671">
        <v>1.0784767167591013E-2</v>
      </c>
    </row>
    <row r="672" spans="1:25" x14ac:dyDescent="0.25">
      <c r="A672" s="1093"/>
      <c r="B672" s="1452">
        <v>422</v>
      </c>
      <c r="C672" s="1097">
        <v>1.023419857080097</v>
      </c>
      <c r="D672" s="1097">
        <v>1.0364204483443755</v>
      </c>
      <c r="E672" s="1097">
        <v>1.0258549013669855</v>
      </c>
      <c r="F672" s="1097">
        <v>1.0131804032929286</v>
      </c>
      <c r="G672" s="1097">
        <v>1.0027026130732299</v>
      </c>
      <c r="H672" s="1097">
        <v>1.0050902456951558</v>
      </c>
      <c r="I672" s="1097">
        <v>0.98054159736299473</v>
      </c>
      <c r="K672">
        <v>5.2029053302900987</v>
      </c>
      <c r="L672">
        <v>0</v>
      </c>
      <c r="M672">
        <v>3.3587185481338704E-3</v>
      </c>
      <c r="N672">
        <v>0.31456745803175334</v>
      </c>
      <c r="O672">
        <v>0.14411672018652455</v>
      </c>
      <c r="P672">
        <v>2.0867843941200503E-2</v>
      </c>
      <c r="Q672">
        <v>1.2835597267185405E-3</v>
      </c>
      <c r="R672">
        <v>3.3532455205919102E-3</v>
      </c>
      <c r="S672">
        <v>0.44577699998973125</v>
      </c>
      <c r="T672">
        <v>4.0447219852238998</v>
      </c>
      <c r="U672">
        <v>0</v>
      </c>
      <c r="V672">
        <v>1.1304767209823827E-2</v>
      </c>
      <c r="W672">
        <v>0.18415680049260405</v>
      </c>
      <c r="X672">
        <v>2.6638140666000322E-2</v>
      </c>
      <c r="Y672">
        <v>9.4765278493774644E-3</v>
      </c>
    </row>
    <row r="673" spans="1:25" x14ac:dyDescent="0.25">
      <c r="A673" s="1093"/>
      <c r="B673" s="1452">
        <v>423</v>
      </c>
      <c r="C673" s="1097">
        <v>1.0061084313787041</v>
      </c>
      <c r="D673" s="1097">
        <v>0.99939071435237281</v>
      </c>
      <c r="E673" s="1097">
        <v>0.99604881247607646</v>
      </c>
      <c r="F673" s="1097">
        <v>1.0150950798993179</v>
      </c>
      <c r="G673" s="1097">
        <v>1.0395404008441469</v>
      </c>
      <c r="H673" s="1097">
        <v>1.0040686630795708</v>
      </c>
      <c r="I673" s="1097">
        <v>0.99678575647140211</v>
      </c>
      <c r="K673">
        <v>5.2459197893086147</v>
      </c>
      <c r="L673">
        <v>0</v>
      </c>
      <c r="M673">
        <v>3.6947583515282191E-3</v>
      </c>
      <c r="N673">
        <v>0.31681335419611678</v>
      </c>
      <c r="O673">
        <v>0.14986392985405461</v>
      </c>
      <c r="P673">
        <v>2.0551498586810719E-2</v>
      </c>
      <c r="Q673">
        <v>1.2916004837597269E-3</v>
      </c>
      <c r="R673">
        <v>3.6887429709987008E-3</v>
      </c>
      <c r="S673">
        <v>0.46475802673167721</v>
      </c>
      <c r="T673">
        <v>4.0561446836698423</v>
      </c>
      <c r="U673">
        <v>0</v>
      </c>
      <c r="V673">
        <v>1.1304767209823822E-2</v>
      </c>
      <c r="W673">
        <v>0.18921776158236453</v>
      </c>
      <c r="X673">
        <v>2.5555513116444682E-2</v>
      </c>
      <c r="Y673">
        <v>1.0424669258245693E-2</v>
      </c>
    </row>
    <row r="674" spans="1:25" x14ac:dyDescent="0.25">
      <c r="A674" s="1093"/>
      <c r="B674" s="1452">
        <v>424</v>
      </c>
      <c r="C674" s="1097">
        <v>0.9929373988052278</v>
      </c>
      <c r="D674" s="1097">
        <v>0.98601305779281723</v>
      </c>
      <c r="E674" s="1097">
        <v>0.98498705687088328</v>
      </c>
      <c r="F674" s="1097">
        <v>0.9785930467326438</v>
      </c>
      <c r="G674" s="1097">
        <v>1.0353189432522456</v>
      </c>
      <c r="H674" s="1097">
        <v>1.0119071584420012</v>
      </c>
      <c r="I674" s="1097">
        <v>1.0009912969882233</v>
      </c>
      <c r="K674">
        <v>5.0851490926722773</v>
      </c>
      <c r="L674">
        <v>0</v>
      </c>
      <c r="M674">
        <v>3.7432706620494009E-3</v>
      </c>
      <c r="N674">
        <v>0.31060163134461799</v>
      </c>
      <c r="O674">
        <v>0.14748771290916546</v>
      </c>
      <c r="P674">
        <v>1.9716026070252798E-2</v>
      </c>
      <c r="Q674">
        <v>1.3033168067940733E-3</v>
      </c>
      <c r="R674">
        <v>3.7369983283115967E-3</v>
      </c>
      <c r="S674">
        <v>0.46131648711134626</v>
      </c>
      <c r="T674">
        <v>3.9116540186831736</v>
      </c>
      <c r="U674">
        <v>0</v>
      </c>
      <c r="V674">
        <v>1.1304767209823829E-2</v>
      </c>
      <c r="W674">
        <v>0.18690894507230316</v>
      </c>
      <c r="X674">
        <v>2.4301417216397714E-2</v>
      </c>
      <c r="Y674">
        <v>1.0561042582134183E-2</v>
      </c>
    </row>
    <row r="675" spans="1:25" x14ac:dyDescent="0.25">
      <c r="A675" s="1093"/>
      <c r="B675" s="1452">
        <v>425</v>
      </c>
      <c r="C675" s="1097">
        <v>1.0294490728386565</v>
      </c>
      <c r="D675" s="1097">
        <v>0.9961765191331472</v>
      </c>
      <c r="E675" s="1097">
        <v>1.0026254225409905</v>
      </c>
      <c r="F675" s="1097">
        <v>0.99259899135611696</v>
      </c>
      <c r="G675" s="1097">
        <v>1.0043092434020513</v>
      </c>
      <c r="H675" s="1097">
        <v>1.0089462359026724</v>
      </c>
      <c r="I675" s="1097">
        <v>0.99308485051560824</v>
      </c>
      <c r="K675">
        <v>5.1099933045679293</v>
      </c>
      <c r="L675">
        <v>0</v>
      </c>
      <c r="M675">
        <v>3.5039593578336413E-3</v>
      </c>
      <c r="N675">
        <v>0.30635654608507096</v>
      </c>
      <c r="O675">
        <v>0.14322804556626353</v>
      </c>
      <c r="P675">
        <v>2.0150401328603441E-2</v>
      </c>
      <c r="Q675">
        <v>1.2710908697147966E-3</v>
      </c>
      <c r="R675">
        <v>3.4981537416798776E-3</v>
      </c>
      <c r="S675">
        <v>0.44526817786232653</v>
      </c>
      <c r="T675">
        <v>3.9654343404144137</v>
      </c>
      <c r="U675">
        <v>0</v>
      </c>
      <c r="V675">
        <v>1.1304767209823804E-2</v>
      </c>
      <c r="W675">
        <v>0.18216053482003508</v>
      </c>
      <c r="X675">
        <v>2.4939156482440959E-2</v>
      </c>
      <c r="Y675">
        <v>9.8860495453913805E-3</v>
      </c>
    </row>
    <row r="676" spans="1:25" x14ac:dyDescent="0.25">
      <c r="A676" s="1093"/>
      <c r="B676" s="1452">
        <v>426</v>
      </c>
      <c r="C676" s="1097">
        <v>1.0040864658319411</v>
      </c>
      <c r="D676" s="1097">
        <v>1.0302656179976866</v>
      </c>
      <c r="E676" s="1097">
        <v>1.0040770974016153</v>
      </c>
      <c r="F676" s="1097">
        <v>0.97407046390340912</v>
      </c>
      <c r="G676" s="1097">
        <v>1.006691008140602</v>
      </c>
      <c r="H676" s="1097">
        <v>0.98470259248998693</v>
      </c>
      <c r="I676" s="1097">
        <v>1.0202643918978638</v>
      </c>
      <c r="K676">
        <v>5.0282071612138104</v>
      </c>
      <c r="L676">
        <v>0</v>
      </c>
      <c r="M676">
        <v>3.3844389314316098E-3</v>
      </c>
      <c r="N676">
        <v>0.29716014765689835</v>
      </c>
      <c r="O676">
        <v>0.14213952548378611</v>
      </c>
      <c r="P676">
        <v>1.9874336343193962E-2</v>
      </c>
      <c r="Q676">
        <v>1.2873728881787146E-3</v>
      </c>
      <c r="R676">
        <v>3.3785841790943379E-3</v>
      </c>
      <c r="S676">
        <v>0.45417539762600745</v>
      </c>
      <c r="T676">
        <v>3.8912355915305441</v>
      </c>
      <c r="U676">
        <v>0</v>
      </c>
      <c r="V676">
        <v>1.130476720982381E-2</v>
      </c>
      <c r="W676">
        <v>0.17651944492600533</v>
      </c>
      <c r="X676">
        <v>2.4968295468888724E-2</v>
      </c>
      <c r="Y676">
        <v>9.5481368328203895E-3</v>
      </c>
    </row>
    <row r="677" spans="1:25" x14ac:dyDescent="0.25">
      <c r="A677" s="1093"/>
      <c r="B677" s="1452">
        <v>427</v>
      </c>
      <c r="C677" s="1097">
        <v>0.96935045834871925</v>
      </c>
      <c r="D677" s="1097">
        <v>1.0321845353528134</v>
      </c>
      <c r="E677" s="1097">
        <v>0.99872262622338748</v>
      </c>
      <c r="F677" s="1097">
        <v>1.0362959623134669</v>
      </c>
      <c r="G677" s="1097">
        <v>0.99867167137366386</v>
      </c>
      <c r="H677" s="1097">
        <v>0.96177706594943602</v>
      </c>
      <c r="I677" s="1097">
        <v>0.98918198592074669</v>
      </c>
      <c r="K677">
        <v>5.3519045941462675</v>
      </c>
      <c r="L677">
        <v>0</v>
      </c>
      <c r="M677">
        <v>3.6810379161184761E-3</v>
      </c>
      <c r="N677">
        <v>0.31813614646964622</v>
      </c>
      <c r="O677">
        <v>0.15667931055796827</v>
      </c>
      <c r="P677">
        <v>2.1026218384638477E-2</v>
      </c>
      <c r="Q677">
        <v>1.3264174100605186E-3</v>
      </c>
      <c r="R677">
        <v>3.6749091394710225E-3</v>
      </c>
      <c r="S677">
        <v>0.4758242054241833</v>
      </c>
      <c r="T677">
        <v>4.1405114317425467</v>
      </c>
      <c r="U677">
        <v>0</v>
      </c>
      <c r="V677">
        <v>1.130476720982382E-2</v>
      </c>
      <c r="W677">
        <v>0.18966412981695288</v>
      </c>
      <c r="X677">
        <v>2.7052522112905795E-2</v>
      </c>
      <c r="Y677">
        <v>1.03855737941854E-2</v>
      </c>
    </row>
    <row r="678" spans="1:25" x14ac:dyDescent="0.25">
      <c r="A678" s="1093"/>
      <c r="B678" s="1452">
        <v>428</v>
      </c>
      <c r="C678" s="1097">
        <v>1.011021469954098</v>
      </c>
      <c r="D678" s="1097">
        <v>1.0169462403384062</v>
      </c>
      <c r="E678" s="1097">
        <v>0.99301136570587745</v>
      </c>
      <c r="F678" s="1097">
        <v>0.95718871947522899</v>
      </c>
      <c r="G678" s="1097">
        <v>0.9999115281494062</v>
      </c>
      <c r="H678" s="1097">
        <v>1.0206160367199075</v>
      </c>
      <c r="I678" s="1097">
        <v>0.97041276212948568</v>
      </c>
      <c r="K678">
        <v>4.9387640708543055</v>
      </c>
      <c r="L678">
        <v>0</v>
      </c>
      <c r="M678">
        <v>3.5225228498815308E-3</v>
      </c>
      <c r="N678">
        <v>0.2993163890058933</v>
      </c>
      <c r="O678">
        <v>0.13973154556373305</v>
      </c>
      <c r="P678">
        <v>1.9302452390423462E-2</v>
      </c>
      <c r="Q678">
        <v>1.2730722198847609E-3</v>
      </c>
      <c r="R678">
        <v>3.51654013764287E-3</v>
      </c>
      <c r="S678">
        <v>0.43002557516010531</v>
      </c>
      <c r="T678">
        <v>3.825126837358233</v>
      </c>
      <c r="U678">
        <v>0</v>
      </c>
      <c r="V678">
        <v>1.1304767209823815E-2</v>
      </c>
      <c r="W678">
        <v>0.17913638793297976</v>
      </c>
      <c r="X678">
        <v>2.3615015821350633E-2</v>
      </c>
      <c r="Y678">
        <v>9.9380109041177275E-3</v>
      </c>
    </row>
    <row r="679" spans="1:25" x14ac:dyDescent="0.25">
      <c r="A679" s="1093"/>
      <c r="B679" s="1452">
        <v>429</v>
      </c>
      <c r="C679" s="1097">
        <v>1.0140432559379979</v>
      </c>
      <c r="D679" s="1097">
        <v>0.99287005902292225</v>
      </c>
      <c r="E679" s="1097">
        <v>1.0108532111135879</v>
      </c>
      <c r="F679" s="1097">
        <v>1.0192073233730787</v>
      </c>
      <c r="G679" s="1097">
        <v>0.97913966617847925</v>
      </c>
      <c r="H679" s="1097">
        <v>1.0104300495974914</v>
      </c>
      <c r="I679" s="1097">
        <v>1.0105493066208304</v>
      </c>
      <c r="K679">
        <v>5.2740871061116383</v>
      </c>
      <c r="L679">
        <v>0</v>
      </c>
      <c r="M679">
        <v>3.5996483885822744E-3</v>
      </c>
      <c r="N679">
        <v>0.32250037622404348</v>
      </c>
      <c r="O679">
        <v>0.14926965162139194</v>
      </c>
      <c r="P679">
        <v>2.0873699591906481E-2</v>
      </c>
      <c r="Q679">
        <v>1.3012233944389303E-3</v>
      </c>
      <c r="R679">
        <v>3.5938482100872525E-3</v>
      </c>
      <c r="S679">
        <v>0.4708946230123297</v>
      </c>
      <c r="T679">
        <v>4.0706851401817197</v>
      </c>
      <c r="U679">
        <v>0</v>
      </c>
      <c r="V679">
        <v>1.1304767209823824E-2</v>
      </c>
      <c r="W679">
        <v>0.19070113093229246</v>
      </c>
      <c r="X679">
        <v>2.640580470314588E-2</v>
      </c>
      <c r="Y679">
        <v>1.0156489419037672E-2</v>
      </c>
    </row>
    <row r="680" spans="1:25" x14ac:dyDescent="0.25">
      <c r="A680" s="1093"/>
      <c r="B680" s="1452">
        <v>430</v>
      </c>
      <c r="C680" s="1097">
        <v>1.025209573897967</v>
      </c>
      <c r="D680" s="1097">
        <v>0.99135151327698667</v>
      </c>
      <c r="E680" s="1097">
        <v>0.97280669123974439</v>
      </c>
      <c r="F680" s="1097">
        <v>0.98904004935367418</v>
      </c>
      <c r="G680" s="1097">
        <v>0.97802093193505812</v>
      </c>
      <c r="H680" s="1097">
        <v>1.0172481630561079</v>
      </c>
      <c r="I680" s="1097">
        <v>1.0367191019162583</v>
      </c>
      <c r="K680">
        <v>5.1177528262245229</v>
      </c>
      <c r="L680">
        <v>0</v>
      </c>
      <c r="M680">
        <v>3.7706468977060795E-3</v>
      </c>
      <c r="N680">
        <v>0.30177386412697432</v>
      </c>
      <c r="O680">
        <v>0.14438650771845046</v>
      </c>
      <c r="P680">
        <v>1.9754181737774709E-2</v>
      </c>
      <c r="Q680">
        <v>1.2463103272712371E-3</v>
      </c>
      <c r="R680">
        <v>3.7644281409136529E-3</v>
      </c>
      <c r="S680">
        <v>0.4673647096285774</v>
      </c>
      <c r="T680">
        <v>3.9549404913761488</v>
      </c>
      <c r="U680">
        <v>0</v>
      </c>
      <c r="V680">
        <v>1.130476720982381E-2</v>
      </c>
      <c r="W680">
        <v>0.18311966062425414</v>
      </c>
      <c r="X680">
        <v>2.322999090532632E-2</v>
      </c>
      <c r="Y680">
        <v>1.0638561326714724E-2</v>
      </c>
    </row>
    <row r="681" spans="1:25" x14ac:dyDescent="0.25">
      <c r="A681" s="1093"/>
      <c r="B681" s="1452">
        <v>431</v>
      </c>
      <c r="C681" s="1097">
        <v>0.98075266766579317</v>
      </c>
      <c r="D681" s="1097">
        <v>1.0177742775671452</v>
      </c>
      <c r="E681" s="1097">
        <v>1.0024607344469445</v>
      </c>
      <c r="F681" s="1097">
        <v>1.0243011113927141</v>
      </c>
      <c r="G681" s="1097">
        <v>0.98224534255492668</v>
      </c>
      <c r="H681" s="1097">
        <v>1.0117441094662809</v>
      </c>
      <c r="I681" s="1097">
        <v>1.0352648642083155</v>
      </c>
      <c r="K681">
        <v>5.3414431580804722</v>
      </c>
      <c r="L681">
        <v>0</v>
      </c>
      <c r="M681">
        <v>3.7745314375514554E-3</v>
      </c>
      <c r="N681">
        <v>0.32987049586395933</v>
      </c>
      <c r="O681">
        <v>0.15382063649184577</v>
      </c>
      <c r="P681">
        <v>2.0968760355648073E-2</v>
      </c>
      <c r="Q681">
        <v>1.3226188301830315E-3</v>
      </c>
      <c r="R681">
        <v>3.7684875232008356E-3</v>
      </c>
      <c r="S681">
        <v>0.49873817201078485</v>
      </c>
      <c r="T681">
        <v>4.0921055079289195</v>
      </c>
      <c r="U681">
        <v>0</v>
      </c>
      <c r="V681">
        <v>1.1304767209823825E-2</v>
      </c>
      <c r="W681">
        <v>0.1961637967758405</v>
      </c>
      <c r="X681">
        <v>2.6504413076837222E-2</v>
      </c>
      <c r="Y681">
        <v>1.0650033450977476E-2</v>
      </c>
    </row>
    <row r="682" spans="1:25" x14ac:dyDescent="0.25">
      <c r="A682" s="1093"/>
      <c r="B682" s="1452">
        <v>432</v>
      </c>
      <c r="C682" s="1097">
        <v>0.96682850523513153</v>
      </c>
      <c r="D682" s="1097">
        <v>0.98202713276591214</v>
      </c>
      <c r="E682" s="1097">
        <v>1.0135562149769979</v>
      </c>
      <c r="F682" s="1097">
        <v>0.98571525567767604</v>
      </c>
      <c r="G682" s="1097">
        <v>0.99972645485991796</v>
      </c>
      <c r="H682" s="1097">
        <v>1.035774740121489</v>
      </c>
      <c r="I682" s="1097">
        <v>0.97967997540016538</v>
      </c>
      <c r="K682">
        <v>5.1669255651405051</v>
      </c>
      <c r="L682">
        <v>0</v>
      </c>
      <c r="M682">
        <v>3.7382636791534656E-3</v>
      </c>
      <c r="N682">
        <v>0.33760518855908772</v>
      </c>
      <c r="O682">
        <v>0.15200375739204067</v>
      </c>
      <c r="P682">
        <v>2.0301581530273796E-2</v>
      </c>
      <c r="Q682">
        <v>1.373930496347825E-3</v>
      </c>
      <c r="R682">
        <v>3.7321882189580552E-3</v>
      </c>
      <c r="S682">
        <v>0.47138236840537279</v>
      </c>
      <c r="T682">
        <v>3.9365861736119996</v>
      </c>
      <c r="U682">
        <v>0</v>
      </c>
      <c r="V682">
        <v>1.1304767209823813E-2</v>
      </c>
      <c r="W682">
        <v>0.19927154136514649</v>
      </c>
      <c r="X682">
        <v>2.6554883184738157E-2</v>
      </c>
      <c r="Y682">
        <v>1.0547448845866598E-2</v>
      </c>
    </row>
    <row r="683" spans="1:25" x14ac:dyDescent="0.25">
      <c r="A683" s="1093"/>
      <c r="B683" s="1452">
        <v>433</v>
      </c>
      <c r="C683" s="1097">
        <v>0.95985111526053468</v>
      </c>
      <c r="D683" s="1097">
        <v>0.99824249137383525</v>
      </c>
      <c r="E683" s="1097">
        <v>0.98997151207469491</v>
      </c>
      <c r="F683" s="1097">
        <v>1.0322776820506121</v>
      </c>
      <c r="G683" s="1097">
        <v>1.0016303311025487</v>
      </c>
      <c r="H683" s="1097">
        <v>1.0109040855750673</v>
      </c>
      <c r="I683" s="1097">
        <v>1.0062073765513948</v>
      </c>
      <c r="K683">
        <v>5.3985788149274168</v>
      </c>
      <c r="L683">
        <v>0</v>
      </c>
      <c r="M683">
        <v>4.0179397376300836E-3</v>
      </c>
      <c r="N683">
        <v>0.33838649747398991</v>
      </c>
      <c r="O683">
        <v>0.16000070962609303</v>
      </c>
      <c r="P683">
        <v>2.0931742256038357E-2</v>
      </c>
      <c r="Q683">
        <v>1.3474005791224454E-3</v>
      </c>
      <c r="R683">
        <v>4.0115503983741765E-3</v>
      </c>
      <c r="S683">
        <v>0.50025161666604878</v>
      </c>
      <c r="T683">
        <v>4.1255936339519304</v>
      </c>
      <c r="U683">
        <v>0</v>
      </c>
      <c r="V683">
        <v>1.1304767209823817E-2</v>
      </c>
      <c r="W683">
        <v>0.20293819648824726</v>
      </c>
      <c r="X683">
        <v>2.6493692322188372E-2</v>
      </c>
      <c r="Y683">
        <v>1.1336947693189998E-2</v>
      </c>
    </row>
    <row r="684" spans="1:25" x14ac:dyDescent="0.25">
      <c r="A684" s="1093"/>
      <c r="B684" s="1452">
        <v>434</v>
      </c>
      <c r="C684" s="1097">
        <v>0.98739624176614427</v>
      </c>
      <c r="D684" s="1097">
        <v>0.99309554405896905</v>
      </c>
      <c r="E684" s="1097">
        <v>1.0052912213123053</v>
      </c>
      <c r="F684" s="1097">
        <v>0.99512507288051244</v>
      </c>
      <c r="G684" s="1097">
        <v>1.0248276936180338</v>
      </c>
      <c r="H684" s="1097">
        <v>1.0292252546663831</v>
      </c>
      <c r="I684" s="1097">
        <v>1.0244004917144969</v>
      </c>
      <c r="K684">
        <v>5.2009131070974464</v>
      </c>
      <c r="L684">
        <v>0</v>
      </c>
      <c r="M684">
        <v>3.7197637303627252E-3</v>
      </c>
      <c r="N684">
        <v>0.32781497728822095</v>
      </c>
      <c r="O684">
        <v>0.14981871420172468</v>
      </c>
      <c r="P684">
        <v>2.0412351179645977E-2</v>
      </c>
      <c r="Q684">
        <v>1.329896456319584E-3</v>
      </c>
      <c r="R684">
        <v>3.7137372990939371E-3</v>
      </c>
      <c r="S684">
        <v>0.48411964693184656</v>
      </c>
      <c r="T684">
        <v>3.9751935927642585</v>
      </c>
      <c r="U684">
        <v>0</v>
      </c>
      <c r="V684">
        <v>1.130476720982382E-2</v>
      </c>
      <c r="W684">
        <v>0.19456984358891025</v>
      </c>
      <c r="X684">
        <v>2.5860038770289983E-2</v>
      </c>
      <c r="Y684">
        <v>1.0495305137669509E-2</v>
      </c>
    </row>
    <row r="685" spans="1:25" x14ac:dyDescent="0.25">
      <c r="A685" s="1093"/>
      <c r="B685" s="1452">
        <v>435</v>
      </c>
      <c r="C685" s="1097">
        <v>0.98917058486264009</v>
      </c>
      <c r="D685" s="1097">
        <v>0.99050007520067962</v>
      </c>
      <c r="E685" s="1097">
        <v>1.0289933358446326</v>
      </c>
      <c r="F685" s="1097">
        <v>1.0177345078721691</v>
      </c>
      <c r="G685" s="1097">
        <v>1.0087117554641218</v>
      </c>
      <c r="H685" s="1097">
        <v>0.9978279846756688</v>
      </c>
      <c r="I685" s="1097">
        <v>1.0411690570779513</v>
      </c>
      <c r="K685">
        <v>5.3062291162304565</v>
      </c>
      <c r="L685">
        <v>0</v>
      </c>
      <c r="M685">
        <v>3.5054327579097915E-3</v>
      </c>
      <c r="N685">
        <v>0.33136771818084571</v>
      </c>
      <c r="O685">
        <v>0.15242642139988424</v>
      </c>
      <c r="P685">
        <v>2.1224393728597676E-2</v>
      </c>
      <c r="Q685">
        <v>1.3558738907229161E-3</v>
      </c>
      <c r="R685">
        <v>3.4997047909523095E-3</v>
      </c>
      <c r="S685">
        <v>0.49445298826850298</v>
      </c>
      <c r="T685">
        <v>4.0625066133333432</v>
      </c>
      <c r="U685">
        <v>0</v>
      </c>
      <c r="V685">
        <v>1.130476720982383E-2</v>
      </c>
      <c r="W685">
        <v>0.19358864078686264</v>
      </c>
      <c r="X685">
        <v>2.8116994469769382E-2</v>
      </c>
      <c r="Y685">
        <v>9.8904329290522824E-3</v>
      </c>
    </row>
    <row r="686" spans="1:25" x14ac:dyDescent="0.25">
      <c r="A686" s="1093"/>
      <c r="B686" s="1452">
        <v>436</v>
      </c>
      <c r="C686" s="1097">
        <v>0.99182726287846446</v>
      </c>
      <c r="D686" s="1097">
        <v>1.0254474134497551</v>
      </c>
      <c r="E686" s="1097">
        <v>0.995396190072661</v>
      </c>
      <c r="F686" s="1097">
        <v>1.0166235050963845</v>
      </c>
      <c r="G686" s="1097">
        <v>0.98824201553298296</v>
      </c>
      <c r="H686" s="1097">
        <v>0.99758033055098372</v>
      </c>
      <c r="I686" s="1097">
        <v>1.0082541350270853</v>
      </c>
      <c r="K686">
        <v>5.2615629097201815</v>
      </c>
      <c r="L686">
        <v>0</v>
      </c>
      <c r="M686">
        <v>3.696211912371078E-3</v>
      </c>
      <c r="N686">
        <v>0.31632295302536045</v>
      </c>
      <c r="O686">
        <v>0.15070968836536261</v>
      </c>
      <c r="P686">
        <v>2.061078165669708E-2</v>
      </c>
      <c r="Q686">
        <v>1.2960511481816823E-3</v>
      </c>
      <c r="R686">
        <v>3.6901641167309245E-3</v>
      </c>
      <c r="S686">
        <v>0.47385908883962213</v>
      </c>
      <c r="T686">
        <v>4.0623354751869991</v>
      </c>
      <c r="U686">
        <v>0</v>
      </c>
      <c r="V686">
        <v>1.1304767209823817E-2</v>
      </c>
      <c r="W686">
        <v>0.18900846178807443</v>
      </c>
      <c r="X686">
        <v>2.5693004771115857E-2</v>
      </c>
      <c r="Y686">
        <v>1.0428685524584301E-2</v>
      </c>
    </row>
    <row r="687" spans="1:25" x14ac:dyDescent="0.25">
      <c r="A687" s="1093"/>
      <c r="B687" s="1452">
        <v>437</v>
      </c>
      <c r="C687" s="1097">
        <v>0.96079660489973051</v>
      </c>
      <c r="D687" s="1097">
        <v>1.020403823783337</v>
      </c>
      <c r="E687" s="1097">
        <v>1.0092342162848422</v>
      </c>
      <c r="F687" s="1097">
        <v>0.9885299191187612</v>
      </c>
      <c r="G687" s="1097">
        <v>1.0055045891857914</v>
      </c>
      <c r="H687" s="1097">
        <v>0.98764880714337633</v>
      </c>
      <c r="I687" s="1097">
        <v>0.98379128360910895</v>
      </c>
      <c r="K687">
        <v>5.1412278296961755</v>
      </c>
      <c r="L687">
        <v>0</v>
      </c>
      <c r="M687">
        <v>3.5748824274836493E-3</v>
      </c>
      <c r="N687">
        <v>0.31872178640339388</v>
      </c>
      <c r="O687">
        <v>0.15118340343961909</v>
      </c>
      <c r="P687">
        <v>2.02605327722594E-2</v>
      </c>
      <c r="Q687">
        <v>1.3565201766952012E-3</v>
      </c>
      <c r="R687">
        <v>3.5688067106469088E-3</v>
      </c>
      <c r="S687">
        <v>0.46476527264421841</v>
      </c>
      <c r="T687">
        <v>3.9483604450165419</v>
      </c>
      <c r="U687">
        <v>0</v>
      </c>
      <c r="V687">
        <v>1.1304767209823811E-2</v>
      </c>
      <c r="W687">
        <v>0.18867171253454851</v>
      </c>
      <c r="X687">
        <v>2.6523744986121044E-2</v>
      </c>
      <c r="Y687">
        <v>1.008572022979122E-2</v>
      </c>
    </row>
    <row r="688" spans="1:25" x14ac:dyDescent="0.25">
      <c r="A688" s="1093"/>
      <c r="B688" s="1452">
        <v>438</v>
      </c>
      <c r="C688" s="1097">
        <v>0.98216032082965243</v>
      </c>
      <c r="D688" s="1097">
        <v>1.0100071674343805</v>
      </c>
      <c r="E688" s="1097">
        <v>1.0129579544176612</v>
      </c>
      <c r="F688" s="1097">
        <v>0.97743252725717344</v>
      </c>
      <c r="G688" s="1097">
        <v>1.0216033346585058</v>
      </c>
      <c r="H688" s="1097">
        <v>0.99001197326284152</v>
      </c>
      <c r="I688" s="1097">
        <v>1.0030696512091157</v>
      </c>
      <c r="K688">
        <v>5.0745303552997489</v>
      </c>
      <c r="L688">
        <v>0</v>
      </c>
      <c r="M688">
        <v>3.4531983128497047E-3</v>
      </c>
      <c r="N688">
        <v>0.31128104648411781</v>
      </c>
      <c r="O688">
        <v>0.1467321141339748</v>
      </c>
      <c r="P688">
        <v>2.0091413515491579E-2</v>
      </c>
      <c r="Q688">
        <v>1.3366897900603904E-3</v>
      </c>
      <c r="R688">
        <v>3.4472770528281623E-3</v>
      </c>
      <c r="S688">
        <v>0.4605682124693406</v>
      </c>
      <c r="T688">
        <v>3.9035809454641082</v>
      </c>
      <c r="U688">
        <v>0</v>
      </c>
      <c r="V688">
        <v>1.1304767209823817E-2</v>
      </c>
      <c r="W688">
        <v>0.18380735345917229</v>
      </c>
      <c r="X688">
        <v>2.6091465895230703E-2</v>
      </c>
      <c r="Y688">
        <v>9.74226813844499E-3</v>
      </c>
    </row>
    <row r="689" spans="1:25" x14ac:dyDescent="0.25">
      <c r="A689" s="1093"/>
      <c r="B689" s="1452">
        <v>439</v>
      </c>
      <c r="C689" s="1097">
        <v>1.0086064595055513</v>
      </c>
      <c r="D689" s="1097">
        <v>0.97515697702686621</v>
      </c>
      <c r="E689" s="1097">
        <v>0.96252760728246001</v>
      </c>
      <c r="F689" s="1097">
        <v>0.97302136312215814</v>
      </c>
      <c r="G689" s="1097">
        <v>1.0033627510545449</v>
      </c>
      <c r="H689" s="1097">
        <v>1.0295005905871399</v>
      </c>
      <c r="I689" s="1097">
        <v>1.0083707261461206</v>
      </c>
      <c r="K689">
        <v>5.0537128537826979</v>
      </c>
      <c r="L689">
        <v>0</v>
      </c>
      <c r="M689">
        <v>3.9250153566524624E-3</v>
      </c>
      <c r="N689">
        <v>0.30468083826634257</v>
      </c>
      <c r="O689">
        <v>0.14561925515427884</v>
      </c>
      <c r="P689">
        <v>1.9286980705349416E-2</v>
      </c>
      <c r="Q689">
        <v>1.2637833967792847E-3</v>
      </c>
      <c r="R689">
        <v>3.9185139266724803E-3</v>
      </c>
      <c r="S689">
        <v>0.45958568679610468</v>
      </c>
      <c r="T689">
        <v>3.8921602439391352</v>
      </c>
      <c r="U689">
        <v>0</v>
      </c>
      <c r="V689">
        <v>1.1304767209823832E-2</v>
      </c>
      <c r="W689">
        <v>0.18620138233995598</v>
      </c>
      <c r="X689">
        <v>2.2542397883738179E-2</v>
      </c>
      <c r="Y689">
        <v>1.1074019521162404E-2</v>
      </c>
    </row>
    <row r="690" spans="1:25" x14ac:dyDescent="0.25">
      <c r="A690" s="1093"/>
      <c r="B690" s="1452">
        <v>440</v>
      </c>
      <c r="C690" s="1097">
        <v>0.98994041292794333</v>
      </c>
      <c r="D690" s="1097">
        <v>0.97647822909216575</v>
      </c>
      <c r="E690" s="1097">
        <v>1.0030938607175819</v>
      </c>
      <c r="F690" s="1097">
        <v>0.96512218875847322</v>
      </c>
      <c r="G690" s="1097">
        <v>1.0287744750831771</v>
      </c>
      <c r="H690" s="1097">
        <v>0.98576268468745476</v>
      </c>
      <c r="I690" s="1097">
        <v>0.99430329284733066</v>
      </c>
      <c r="K690">
        <v>5.0060905607506783</v>
      </c>
      <c r="L690">
        <v>0</v>
      </c>
      <c r="M690">
        <v>3.4860148789857513E-3</v>
      </c>
      <c r="N690">
        <v>0.30518422370693726</v>
      </c>
      <c r="O690">
        <v>0.14597001758698694</v>
      </c>
      <c r="P690">
        <v>1.9680412242022664E-2</v>
      </c>
      <c r="Q690">
        <v>1.3329563988473843E-3</v>
      </c>
      <c r="R690">
        <v>3.4799351390112842E-3</v>
      </c>
      <c r="S690">
        <v>0.45044600474541485</v>
      </c>
      <c r="T690">
        <v>3.8556077899826451</v>
      </c>
      <c r="U690">
        <v>0</v>
      </c>
      <c r="V690">
        <v>1.1304767209823818E-2</v>
      </c>
      <c r="W690">
        <v>0.18140613645733819</v>
      </c>
      <c r="X690">
        <v>2.53297697773112E-2</v>
      </c>
      <c r="Y690">
        <v>9.834562383325425E-3</v>
      </c>
    </row>
    <row r="691" spans="1:25" x14ac:dyDescent="0.25">
      <c r="A691" s="1093"/>
      <c r="B691" s="1452">
        <v>441</v>
      </c>
      <c r="C691" s="1097">
        <v>0.99377870924707379</v>
      </c>
      <c r="D691" s="1097">
        <v>0.99404183867963303</v>
      </c>
      <c r="E691" s="1097">
        <v>0.95837705796496686</v>
      </c>
      <c r="F691" s="1097">
        <v>0.99831284395409081</v>
      </c>
      <c r="G691" s="1097">
        <v>0.98228222231863183</v>
      </c>
      <c r="H691" s="1097">
        <v>1.0187629300584047</v>
      </c>
      <c r="I691" s="1097">
        <v>1.005691988911747</v>
      </c>
      <c r="K691">
        <v>5.1833433849668769</v>
      </c>
      <c r="L691">
        <v>0</v>
      </c>
      <c r="M691">
        <v>4.0484208642786639E-3</v>
      </c>
      <c r="N691">
        <v>0.31041567618755839</v>
      </c>
      <c r="O691">
        <v>0.15059075129009475</v>
      </c>
      <c r="P691">
        <v>1.9725465254838932E-2</v>
      </c>
      <c r="Q691">
        <v>1.2682015303776169E-3</v>
      </c>
      <c r="R691">
        <v>4.0418157379302757E-3</v>
      </c>
      <c r="S691">
        <v>0.47141894808388446</v>
      </c>
      <c r="T691">
        <v>3.9938579563492667</v>
      </c>
      <c r="U691">
        <v>0</v>
      </c>
      <c r="V691">
        <v>1.1304767209823815E-2</v>
      </c>
      <c r="W691">
        <v>0.19025365470672537</v>
      </c>
      <c r="X691">
        <v>2.3092089627229907E-2</v>
      </c>
      <c r="Y691">
        <v>1.1422479853424903E-2</v>
      </c>
    </row>
    <row r="692" spans="1:25" x14ac:dyDescent="0.25">
      <c r="A692" s="1093"/>
      <c r="B692" s="1452">
        <v>442</v>
      </c>
      <c r="C692" s="1097">
        <v>0.99164373231041369</v>
      </c>
      <c r="D692" s="1097">
        <v>0.995308705546331</v>
      </c>
      <c r="E692" s="1097">
        <v>1.0213987837545073</v>
      </c>
      <c r="F692" s="1097">
        <v>1.0050412463262053</v>
      </c>
      <c r="G692" s="1097">
        <v>0.9943529702225592</v>
      </c>
      <c r="H692" s="1097">
        <v>0.99562939074965073</v>
      </c>
      <c r="I692" s="1097">
        <v>0.97080343160600391</v>
      </c>
      <c r="K692">
        <v>5.2001064257805849</v>
      </c>
      <c r="L692">
        <v>0</v>
      </c>
      <c r="M692">
        <v>3.4945300220375181E-3</v>
      </c>
      <c r="N692">
        <v>0.32299241791019556</v>
      </c>
      <c r="O692">
        <v>0.15007406271211654</v>
      </c>
      <c r="P692">
        <v>2.0691592243541349E-2</v>
      </c>
      <c r="Q692">
        <v>1.3412558324651801E-3</v>
      </c>
      <c r="R692">
        <v>3.4887351042041945E-3</v>
      </c>
      <c r="S692">
        <v>0.45423298357232961</v>
      </c>
      <c r="T692">
        <v>4.0127856478168997</v>
      </c>
      <c r="U692">
        <v>0</v>
      </c>
      <c r="V692">
        <v>1.1304767209823827E-2</v>
      </c>
      <c r="W692">
        <v>0.18965030839287414</v>
      </c>
      <c r="X692">
        <v>2.7179753251358366E-2</v>
      </c>
      <c r="Y692">
        <v>9.8594317568061491E-3</v>
      </c>
    </row>
    <row r="693" spans="1:25" x14ac:dyDescent="0.25">
      <c r="A693" s="1093"/>
      <c r="B693" s="1452">
        <v>443</v>
      </c>
      <c r="C693" s="1097">
        <v>1.0280223770584218</v>
      </c>
      <c r="D693" s="1097">
        <v>0.97345370994306779</v>
      </c>
      <c r="E693" s="1097">
        <v>0.96970505059087952</v>
      </c>
      <c r="F693" s="1097">
        <v>1.002174913363449</v>
      </c>
      <c r="G693" s="1097">
        <v>1.0003101320018541</v>
      </c>
      <c r="H693" s="1097">
        <v>0.99157619965212385</v>
      </c>
      <c r="I693" s="1097">
        <v>0.96770673812146124</v>
      </c>
      <c r="K693">
        <v>5.1385905336493609</v>
      </c>
      <c r="L693">
        <v>0</v>
      </c>
      <c r="M693">
        <v>3.7655989599317576E-3</v>
      </c>
      <c r="N693">
        <v>0.29860094488200067</v>
      </c>
      <c r="O693">
        <v>0.14705588413053694</v>
      </c>
      <c r="P693">
        <v>1.9807166600629242E-2</v>
      </c>
      <c r="Q693">
        <v>1.2486059847334572E-3</v>
      </c>
      <c r="R693">
        <v>3.7593111052883067E-3</v>
      </c>
      <c r="S693">
        <v>0.43691367109617474</v>
      </c>
      <c r="T693">
        <v>4.0078592672006517</v>
      </c>
      <c r="U693">
        <v>0</v>
      </c>
      <c r="V693">
        <v>1.1304767209823806E-2</v>
      </c>
      <c r="W693">
        <v>0.18158206213860065</v>
      </c>
      <c r="X693">
        <v>2.360035206748683E-2</v>
      </c>
      <c r="Y693">
        <v>1.0624100193370302E-2</v>
      </c>
    </row>
    <row r="694" spans="1:25" x14ac:dyDescent="0.25">
      <c r="A694" s="1093"/>
      <c r="B694" s="1452">
        <v>444</v>
      </c>
      <c r="C694" s="1097">
        <v>0.98374043129108402</v>
      </c>
      <c r="D694" s="1097">
        <v>0.99144821121523652</v>
      </c>
      <c r="E694" s="1097">
        <v>0.97471973849696059</v>
      </c>
      <c r="F694" s="1097">
        <v>0.99446930653273258</v>
      </c>
      <c r="G694" s="1097">
        <v>1.0052744581309794</v>
      </c>
      <c r="H694" s="1097">
        <v>1.03493237696427</v>
      </c>
      <c r="I694" s="1097">
        <v>1.022540457803695</v>
      </c>
      <c r="K694">
        <v>5.1991151436707685</v>
      </c>
      <c r="L694">
        <v>0</v>
      </c>
      <c r="M694">
        <v>4.0035679429284128E-3</v>
      </c>
      <c r="N694">
        <v>0.32225195779224508</v>
      </c>
      <c r="O694">
        <v>0.1512391879419093</v>
      </c>
      <c r="P694">
        <v>1.9962198106368303E-2</v>
      </c>
      <c r="Q694">
        <v>1.3009644964076226E-3</v>
      </c>
      <c r="R694">
        <v>3.997113239040514E-3</v>
      </c>
      <c r="S694">
        <v>0.48603886673287067</v>
      </c>
      <c r="T694">
        <v>3.9764090294809695</v>
      </c>
      <c r="U694">
        <v>0</v>
      </c>
      <c r="V694">
        <v>1.1304767209823822E-2</v>
      </c>
      <c r="W694">
        <v>0.19528876649584898</v>
      </c>
      <c r="X694">
        <v>2.4029712939523835E-2</v>
      </c>
      <c r="Y694">
        <v>1.129614717868809E-2</v>
      </c>
    </row>
    <row r="695" spans="1:25" x14ac:dyDescent="0.25">
      <c r="A695" s="1093"/>
      <c r="B695" s="1452">
        <v>445</v>
      </c>
      <c r="C695" s="1097">
        <v>1.0282622106018195</v>
      </c>
      <c r="D695" s="1097">
        <v>0.9753998567997727</v>
      </c>
      <c r="E695" s="1097">
        <v>0.97394711524574185</v>
      </c>
      <c r="F695" s="1097">
        <v>1.0405366405660765</v>
      </c>
      <c r="G695" s="1097">
        <v>1.0297900633177248</v>
      </c>
      <c r="H695" s="1097">
        <v>1.0090298574015093</v>
      </c>
      <c r="I695" s="1097">
        <v>0.99493189810727145</v>
      </c>
      <c r="K695">
        <v>5.3568008693441218</v>
      </c>
      <c r="L695">
        <v>0</v>
      </c>
      <c r="M695">
        <v>3.9390230765496206E-3</v>
      </c>
      <c r="N695">
        <v>0.31634033788505656</v>
      </c>
      <c r="O695">
        <v>0.15240685822869343</v>
      </c>
      <c r="P695">
        <v>2.0685589576186297E-2</v>
      </c>
      <c r="Q695">
        <v>1.2519434371077323E-3</v>
      </c>
      <c r="R695">
        <v>3.9327973263527027E-3</v>
      </c>
      <c r="S695">
        <v>0.46660280732278986</v>
      </c>
      <c r="T695">
        <v>4.1607125043134641</v>
      </c>
      <c r="U695">
        <v>0</v>
      </c>
      <c r="V695">
        <v>1.130476720982381E-2</v>
      </c>
      <c r="W695">
        <v>0.19180814967247306</v>
      </c>
      <c r="X695">
        <v>2.4579751949581452E-2</v>
      </c>
      <c r="Y695">
        <v>1.1114385499144694E-2</v>
      </c>
    </row>
    <row r="696" spans="1:25" x14ac:dyDescent="0.25">
      <c r="A696" s="1093"/>
      <c r="B696" s="1452">
        <v>446</v>
      </c>
      <c r="C696" s="1097">
        <v>1.0224775521032186</v>
      </c>
      <c r="D696" s="1097">
        <v>0.99750807130720065</v>
      </c>
      <c r="E696" s="1097">
        <v>1.0056588459875582</v>
      </c>
      <c r="F696" s="1097">
        <v>1.0231837044759435</v>
      </c>
      <c r="G696" s="1097">
        <v>0.98207216009473974</v>
      </c>
      <c r="H696" s="1097">
        <v>0.96791603866869402</v>
      </c>
      <c r="I696" s="1097">
        <v>0.96682234636708453</v>
      </c>
      <c r="K696">
        <v>5.2321896862869961</v>
      </c>
      <c r="L696">
        <v>0</v>
      </c>
      <c r="M696">
        <v>3.4644134562491261E-3</v>
      </c>
      <c r="N696">
        <v>0.30562712552085441</v>
      </c>
      <c r="O696">
        <v>0.14848396750967754</v>
      </c>
      <c r="P696">
        <v>2.0728693487670955E-2</v>
      </c>
      <c r="Q696">
        <v>1.2823947109844053E-3</v>
      </c>
      <c r="R696">
        <v>3.4586086031981448E-3</v>
      </c>
      <c r="S696">
        <v>0.44014456649918254</v>
      </c>
      <c r="T696">
        <v>4.0872313862936265</v>
      </c>
      <c r="U696">
        <v>0</v>
      </c>
      <c r="V696">
        <v>1.130476720982382E-2</v>
      </c>
      <c r="W696">
        <v>0.18135566506498377</v>
      </c>
      <c r="X696">
        <v>2.6262632878328293E-2</v>
      </c>
      <c r="Y696">
        <v>9.7742919649135059E-3</v>
      </c>
    </row>
    <row r="697" spans="1:25" x14ac:dyDescent="0.25">
      <c r="A697" s="1093"/>
      <c r="B697" s="1452">
        <v>447</v>
      </c>
      <c r="C697" s="1097">
        <v>1.0195495434029787</v>
      </c>
      <c r="D697" s="1097">
        <v>0.96064644402599075</v>
      </c>
      <c r="E697" s="1097">
        <v>1.0389073548543102</v>
      </c>
      <c r="F697" s="1097">
        <v>1.0158427033669175</v>
      </c>
      <c r="G697" s="1097">
        <v>0.96979931492708715</v>
      </c>
      <c r="H697" s="1097">
        <v>0.98302322313742152</v>
      </c>
      <c r="I697" s="1097">
        <v>1.0089701595773972</v>
      </c>
      <c r="K697">
        <v>5.2485236785537781</v>
      </c>
      <c r="L697">
        <v>0</v>
      </c>
      <c r="M697">
        <v>3.3151895476087592E-3</v>
      </c>
      <c r="N697">
        <v>0.32269349956082638</v>
      </c>
      <c r="O697">
        <v>0.14914833406100955</v>
      </c>
      <c r="P697">
        <v>2.1194175510358713E-2</v>
      </c>
      <c r="Q697">
        <v>1.3427958252389845E-3</v>
      </c>
      <c r="R697">
        <v>3.3096806354723386E-3</v>
      </c>
      <c r="S697">
        <v>0.46414981135398026</v>
      </c>
      <c r="T697">
        <v>4.0537109099112021</v>
      </c>
      <c r="U697">
        <v>0</v>
      </c>
      <c r="V697">
        <v>1.1304767209823825E-2</v>
      </c>
      <c r="W697">
        <v>0.18729053303462739</v>
      </c>
      <c r="X697">
        <v>2.8340950840831717E-2</v>
      </c>
      <c r="Y697">
        <v>9.3534101580079188E-3</v>
      </c>
    </row>
    <row r="698" spans="1:25" x14ac:dyDescent="0.25">
      <c r="A698" s="1093"/>
      <c r="B698" s="1452">
        <v>448</v>
      </c>
      <c r="C698" s="1097">
        <v>1.0017670361216349</v>
      </c>
      <c r="D698" s="1097">
        <v>1.0180682912189294</v>
      </c>
      <c r="E698" s="1097">
        <v>1.0061805625987683</v>
      </c>
      <c r="F698" s="1097">
        <v>1.0287880525970918</v>
      </c>
      <c r="G698" s="1097">
        <v>1.0238050886595245</v>
      </c>
      <c r="H698" s="1097">
        <v>1.0309012377329434</v>
      </c>
      <c r="I698" s="1097">
        <v>1.035820042476874</v>
      </c>
      <c r="K698">
        <v>5.3535298489846301</v>
      </c>
      <c r="L698">
        <v>0</v>
      </c>
      <c r="M698">
        <v>3.7518270088829223E-3</v>
      </c>
      <c r="N698">
        <v>0.33153111121085804</v>
      </c>
      <c r="O698">
        <v>0.15113051289498527</v>
      </c>
      <c r="P698">
        <v>2.1085307640917161E-2</v>
      </c>
      <c r="Q698">
        <v>1.2988470780189319E-3</v>
      </c>
      <c r="R698">
        <v>3.7459567604167885E-3</v>
      </c>
      <c r="S698">
        <v>0.49410618515869037</v>
      </c>
      <c r="T698">
        <v>4.1095514335263825</v>
      </c>
      <c r="U698">
        <v>0</v>
      </c>
      <c r="V698">
        <v>1.1304767209823811E-2</v>
      </c>
      <c r="W698">
        <v>0.19665771717677216</v>
      </c>
      <c r="X698">
        <v>2.6283477541444139E-2</v>
      </c>
      <c r="Y698">
        <v>1.0586359795207395E-2</v>
      </c>
    </row>
    <row r="699" spans="1:25" x14ac:dyDescent="0.25">
      <c r="A699" s="1093"/>
      <c r="B699" s="1452">
        <v>449</v>
      </c>
      <c r="C699" s="1097">
        <v>1.0178711105991434</v>
      </c>
      <c r="D699" s="1097">
        <v>1.0305266407335949</v>
      </c>
      <c r="E699" s="1097">
        <v>0.97406926335183597</v>
      </c>
      <c r="F699" s="1097">
        <v>1.0100556964682761</v>
      </c>
      <c r="G699" s="1097">
        <v>1.0192078149970039</v>
      </c>
      <c r="H699" s="1097">
        <v>1.0462934325404767</v>
      </c>
      <c r="I699" s="1097">
        <v>1.0060005166244501</v>
      </c>
      <c r="K699">
        <v>5.2244230753903889</v>
      </c>
      <c r="L699">
        <v>0</v>
      </c>
      <c r="M699">
        <v>3.9173832887534335E-3</v>
      </c>
      <c r="N699">
        <v>0.31471983039294082</v>
      </c>
      <c r="O699">
        <v>0.14619853895683155</v>
      </c>
      <c r="P699">
        <v>2.0144615137944195E-2</v>
      </c>
      <c r="Q699">
        <v>1.2373467011207379E-3</v>
      </c>
      <c r="R699">
        <v>3.9112323570523414E-3</v>
      </c>
      <c r="S699">
        <v>0.46676435921299902</v>
      </c>
      <c r="T699">
        <v>4.0388150576502291</v>
      </c>
      <c r="U699">
        <v>0</v>
      </c>
      <c r="V699">
        <v>1.1304767209823811E-2</v>
      </c>
      <c r="W699">
        <v>0.19080954513399254</v>
      </c>
      <c r="X699">
        <v>2.3381724676714566E-2</v>
      </c>
      <c r="Y699">
        <v>1.1053441249494351E-2</v>
      </c>
    </row>
    <row r="700" spans="1:25" x14ac:dyDescent="0.25">
      <c r="A700" s="1093"/>
      <c r="B700" s="1452">
        <v>450</v>
      </c>
      <c r="C700" s="1097">
        <v>0.99892439054850946</v>
      </c>
      <c r="D700" s="1097">
        <v>0.99906362312479402</v>
      </c>
      <c r="E700" s="1097">
        <v>1.0161392834436414</v>
      </c>
      <c r="F700" s="1097">
        <v>1.0171978611765973</v>
      </c>
      <c r="G700" s="1097">
        <v>0.99455590917102266</v>
      </c>
      <c r="H700" s="1097">
        <v>1.0239939961388973</v>
      </c>
      <c r="I700" s="1097">
        <v>1.0002078291479592</v>
      </c>
      <c r="K700">
        <v>5.2850199585471369</v>
      </c>
      <c r="L700">
        <v>0</v>
      </c>
      <c r="M700">
        <v>3.6458138314362201E-3</v>
      </c>
      <c r="N700">
        <v>0.33179349661409918</v>
      </c>
      <c r="O700">
        <v>0.15070448913524498</v>
      </c>
      <c r="P700">
        <v>2.0931063101800405E-2</v>
      </c>
      <c r="Q700">
        <v>1.3235676070052795E-3</v>
      </c>
      <c r="R700">
        <v>3.6400056481964227E-3</v>
      </c>
      <c r="S700">
        <v>0.47435865069332667</v>
      </c>
      <c r="T700">
        <v>4.0619886041727904</v>
      </c>
      <c r="U700">
        <v>0</v>
      </c>
      <c r="V700">
        <v>1.1304767209823824E-2</v>
      </c>
      <c r="W700">
        <v>0.19550299669564705</v>
      </c>
      <c r="X700">
        <v>2.6831197637543339E-2</v>
      </c>
      <c r="Y700">
        <v>1.0286933863087886E-2</v>
      </c>
    </row>
    <row r="701" spans="1:25" x14ac:dyDescent="0.25">
      <c r="A701" s="1093"/>
      <c r="B701" s="1452">
        <v>451</v>
      </c>
      <c r="C701" s="1097">
        <v>1.0117386541067142</v>
      </c>
      <c r="D701" s="1097">
        <v>0.97652610493528746</v>
      </c>
      <c r="E701" s="1097">
        <v>1.0368064714872391</v>
      </c>
      <c r="F701" s="1097">
        <v>0.97856724754935709</v>
      </c>
      <c r="G701" s="1097">
        <v>0.99466531636670119</v>
      </c>
      <c r="H701" s="1097">
        <v>1.0227700944458742</v>
      </c>
      <c r="I701" s="1097">
        <v>0.97218657914296913</v>
      </c>
      <c r="K701">
        <v>5.07213753799945</v>
      </c>
      <c r="L701">
        <v>0</v>
      </c>
      <c r="M701">
        <v>3.3414745516546908E-3</v>
      </c>
      <c r="N701">
        <v>0.32324054349917386</v>
      </c>
      <c r="O701">
        <v>0.14389540158365541</v>
      </c>
      <c r="P701">
        <v>2.03670970586604E-2</v>
      </c>
      <c r="Q701">
        <v>1.3419565244473072E-3</v>
      </c>
      <c r="R701">
        <v>3.3359348016916454E-3</v>
      </c>
      <c r="S701">
        <v>0.44249731060332143</v>
      </c>
      <c r="T701">
        <v>3.905217044851113</v>
      </c>
      <c r="U701">
        <v>0</v>
      </c>
      <c r="V701">
        <v>1.130476720982381E-2</v>
      </c>
      <c r="W701">
        <v>0.18786788295949478</v>
      </c>
      <c r="X701">
        <v>2.698346702356887E-2</v>
      </c>
      <c r="Y701">
        <v>9.4276064361544475E-3</v>
      </c>
    </row>
    <row r="702" spans="1:25" x14ac:dyDescent="0.25">
      <c r="A702" s="1093"/>
      <c r="B702" s="1452">
        <v>452</v>
      </c>
      <c r="C702" s="1097">
        <v>1.0350622888424801</v>
      </c>
      <c r="D702" s="1097">
        <v>0.99317527109826353</v>
      </c>
      <c r="E702" s="1097">
        <v>0.99255476307724388</v>
      </c>
      <c r="F702" s="1097">
        <v>1.007724303418827</v>
      </c>
      <c r="G702" s="1097">
        <v>1.0380965802229691</v>
      </c>
      <c r="H702" s="1097">
        <v>1.0299075252244081</v>
      </c>
      <c r="I702" s="1097">
        <v>1.0204703452273671</v>
      </c>
      <c r="K702">
        <v>5.2061959249210199</v>
      </c>
      <c r="L702">
        <v>0</v>
      </c>
      <c r="M702">
        <v>3.6933114983542727E-3</v>
      </c>
      <c r="N702">
        <v>0.31343541688101267</v>
      </c>
      <c r="O702">
        <v>0.14507029550560582</v>
      </c>
      <c r="P702">
        <v>2.0367915020875326E-2</v>
      </c>
      <c r="Q702">
        <v>1.2548304263827732E-3</v>
      </c>
      <c r="R702">
        <v>3.6874065244398967E-3</v>
      </c>
      <c r="S702">
        <v>0.46505734068337634</v>
      </c>
      <c r="T702">
        <v>4.0271355942225044</v>
      </c>
      <c r="U702">
        <v>0</v>
      </c>
      <c r="V702">
        <v>1.1304767209823818E-2</v>
      </c>
      <c r="W702">
        <v>0.18764459895897445</v>
      </c>
      <c r="X702">
        <v>2.4510178628138982E-2</v>
      </c>
      <c r="Y702">
        <v>1.0420892358237644E-2</v>
      </c>
    </row>
    <row r="703" spans="1:25" x14ac:dyDescent="0.25">
      <c r="A703" s="1093"/>
      <c r="B703" s="1452">
        <v>453</v>
      </c>
      <c r="C703" s="1097">
        <v>0.99582073610031618</v>
      </c>
      <c r="D703" s="1097">
        <v>0.99796101384487546</v>
      </c>
      <c r="E703" s="1097">
        <v>1.0387652409255903</v>
      </c>
      <c r="F703" s="1097">
        <v>0.9854012626372799</v>
      </c>
      <c r="G703" s="1097">
        <v>1.0087281238675114</v>
      </c>
      <c r="H703" s="1097">
        <v>0.99520530133503415</v>
      </c>
      <c r="I703" s="1097">
        <v>0.98871346051758502</v>
      </c>
      <c r="K703">
        <v>5.1060226116544136</v>
      </c>
      <c r="L703">
        <v>0</v>
      </c>
      <c r="M703">
        <v>3.2840044763261483E-3</v>
      </c>
      <c r="N703">
        <v>0.31951413296818459</v>
      </c>
      <c r="O703">
        <v>0.14588945156753771</v>
      </c>
      <c r="P703">
        <v>2.0570659198361308E-2</v>
      </c>
      <c r="Q703">
        <v>1.3538343959616681E-3</v>
      </c>
      <c r="R703">
        <v>3.2784479451614108E-3</v>
      </c>
      <c r="S703">
        <v>0.45281354471844099</v>
      </c>
      <c r="T703">
        <v>3.9322518816036918</v>
      </c>
      <c r="U703">
        <v>0</v>
      </c>
      <c r="V703">
        <v>1.1304767209823824E-2</v>
      </c>
      <c r="W703">
        <v>0.18546258832686566</v>
      </c>
      <c r="X703">
        <v>2.7602164006021605E-2</v>
      </c>
      <c r="Y703">
        <v>9.2651441906861347E-3</v>
      </c>
    </row>
    <row r="704" spans="1:25" x14ac:dyDescent="0.25">
      <c r="A704" s="1093"/>
      <c r="B704" s="1452">
        <v>454</v>
      </c>
      <c r="C704" s="1097">
        <v>1.0082920213682023</v>
      </c>
      <c r="D704" s="1097">
        <v>0.96728906474500043</v>
      </c>
      <c r="E704" s="1097">
        <v>0.97369306060655791</v>
      </c>
      <c r="F704" s="1097">
        <v>0.99958545753836348</v>
      </c>
      <c r="G704" s="1097">
        <v>0.97940446408156001</v>
      </c>
      <c r="H704" s="1097">
        <v>1.0173048822097457</v>
      </c>
      <c r="I704" s="1097">
        <v>1.0221484703960171</v>
      </c>
      <c r="K704">
        <v>5.1929373966150543</v>
      </c>
      <c r="L704">
        <v>0</v>
      </c>
      <c r="M704">
        <v>3.9059445211764993E-3</v>
      </c>
      <c r="N704">
        <v>0.31343123119669797</v>
      </c>
      <c r="O704">
        <v>0.14981515601553133</v>
      </c>
      <c r="P704">
        <v>1.9989365013212589E-2</v>
      </c>
      <c r="Q704">
        <v>1.2807272900832571E-3</v>
      </c>
      <c r="R704">
        <v>3.8995708273246153E-3</v>
      </c>
      <c r="S704">
        <v>0.47505563145898894</v>
      </c>
      <c r="T704">
        <v>3.9969964857373297</v>
      </c>
      <c r="U704">
        <v>0</v>
      </c>
      <c r="V704">
        <v>1.1304767209823811E-2</v>
      </c>
      <c r="W704">
        <v>0.19007747908191513</v>
      </c>
      <c r="X704">
        <v>2.3972442429157075E-2</v>
      </c>
      <c r="Y704">
        <v>1.1020484876168118E-2</v>
      </c>
    </row>
    <row r="705" spans="1:25" x14ac:dyDescent="0.25">
      <c r="A705" s="1093"/>
      <c r="B705" s="1452">
        <v>455</v>
      </c>
      <c r="C705" s="1097">
        <v>0.98039150360298088</v>
      </c>
      <c r="D705" s="1097">
        <v>0.99151336601511708</v>
      </c>
      <c r="E705" s="1097">
        <v>0.99255481489703512</v>
      </c>
      <c r="F705" s="1097">
        <v>1.011712544681971</v>
      </c>
      <c r="G705" s="1097">
        <v>1.0472491664275276</v>
      </c>
      <c r="H705" s="1097">
        <v>0.97790384234360628</v>
      </c>
      <c r="I705" s="1097">
        <v>1.0136189701070806</v>
      </c>
      <c r="K705">
        <v>5.250453378549004</v>
      </c>
      <c r="L705">
        <v>0</v>
      </c>
      <c r="M705">
        <v>3.7194975082200845E-3</v>
      </c>
      <c r="N705">
        <v>0.31563297292362941</v>
      </c>
      <c r="O705">
        <v>0.15386922656463684</v>
      </c>
      <c r="P705">
        <v>2.0504217993873055E-2</v>
      </c>
      <c r="Q705">
        <v>1.3256929200866489E-3</v>
      </c>
      <c r="R705">
        <v>3.7132590709425097E-3</v>
      </c>
      <c r="S705">
        <v>0.47925298112494086</v>
      </c>
      <c r="T705">
        <v>4.0430736654174559</v>
      </c>
      <c r="U705">
        <v>0</v>
      </c>
      <c r="V705">
        <v>1.1304767209823808E-2</v>
      </c>
      <c r="W705">
        <v>0.18896020471136377</v>
      </c>
      <c r="X705">
        <v>2.6041934492069509E-2</v>
      </c>
      <c r="Y705">
        <v>1.0493953628402584E-2</v>
      </c>
    </row>
    <row r="706" spans="1:25" x14ac:dyDescent="0.25">
      <c r="A706" s="1093"/>
      <c r="B706" s="1452">
        <v>456</v>
      </c>
      <c r="C706" s="1097">
        <v>0.98138617270751116</v>
      </c>
      <c r="D706" s="1097">
        <v>1.0062763301156097</v>
      </c>
      <c r="E706" s="1097">
        <v>0.98960397614467788</v>
      </c>
      <c r="F706" s="1097">
        <v>0.9847388614107756</v>
      </c>
      <c r="G706" s="1097">
        <v>1.0391129346091261</v>
      </c>
      <c r="H706" s="1097">
        <v>1.0132365493973576</v>
      </c>
      <c r="I706" s="1097">
        <v>0.97668662178450905</v>
      </c>
      <c r="K706">
        <v>5.1129702102813139</v>
      </c>
      <c r="L706">
        <v>0</v>
      </c>
      <c r="M706">
        <v>3.7486045183713554E-3</v>
      </c>
      <c r="N706">
        <v>0.31533651181219213</v>
      </c>
      <c r="O706">
        <v>0.14881536778736168</v>
      </c>
      <c r="P706">
        <v>1.9869921782221262E-2</v>
      </c>
      <c r="Q706">
        <v>1.3131988560971587E-3</v>
      </c>
      <c r="R706">
        <v>3.7423705726391094E-3</v>
      </c>
      <c r="S706">
        <v>0.45619076395886565</v>
      </c>
      <c r="T706">
        <v>3.9356459808118034</v>
      </c>
      <c r="U706">
        <v>0</v>
      </c>
      <c r="V706">
        <v>1.1304767209823829E-2</v>
      </c>
      <c r="W706">
        <v>0.18916189839460132</v>
      </c>
      <c r="X706">
        <v>2.4761808659319193E-2</v>
      </c>
      <c r="Y706">
        <v>1.0576224954755192E-2</v>
      </c>
    </row>
    <row r="707" spans="1:25" x14ac:dyDescent="0.25">
      <c r="A707" s="1093"/>
      <c r="B707" s="1452">
        <v>457</v>
      </c>
      <c r="C707" s="1097">
        <v>0.99991781483363329</v>
      </c>
      <c r="D707" s="1097">
        <v>1.0141700924600017</v>
      </c>
      <c r="E707" s="1097">
        <v>1.0081424606131681</v>
      </c>
      <c r="F707" s="1097">
        <v>1.0158067326161171</v>
      </c>
      <c r="G707" s="1097">
        <v>1.0390378988050042</v>
      </c>
      <c r="H707" s="1097">
        <v>0.9765736349409021</v>
      </c>
      <c r="I707" s="1097">
        <v>0.98453305913231948</v>
      </c>
      <c r="K707">
        <v>5.2287836174145745</v>
      </c>
      <c r="L707">
        <v>0</v>
      </c>
      <c r="M707">
        <v>3.5066903770677154E-3</v>
      </c>
      <c r="N707">
        <v>0.31164136961907868</v>
      </c>
      <c r="O707">
        <v>0.14967392523314543</v>
      </c>
      <c r="P707">
        <v>2.0701881637795787E-2</v>
      </c>
      <c r="Q707">
        <v>1.3054306511959539E-3</v>
      </c>
      <c r="R707">
        <v>3.5008245529232103E-3</v>
      </c>
      <c r="S707">
        <v>0.45571802440676307</v>
      </c>
      <c r="T707">
        <v>4.0574474527590052</v>
      </c>
      <c r="U707">
        <v>0</v>
      </c>
      <c r="V707">
        <v>1.130476720982381E-2</v>
      </c>
      <c r="W707">
        <v>0.18461573967501435</v>
      </c>
      <c r="X707">
        <v>2.6487294585027448E-2</v>
      </c>
      <c r="Y707">
        <v>9.8935974618718329E-3</v>
      </c>
    </row>
    <row r="708" spans="1:25" x14ac:dyDescent="0.25">
      <c r="A708" s="1093"/>
      <c r="B708" s="1452">
        <v>458</v>
      </c>
      <c r="C708" s="1097">
        <v>1.0426134188554843</v>
      </c>
      <c r="D708" s="1097">
        <v>0.95132479643696377</v>
      </c>
      <c r="E708" s="1097">
        <v>0.99687897157139516</v>
      </c>
      <c r="F708" s="1097">
        <v>1.0403165216360308</v>
      </c>
      <c r="G708" s="1097">
        <v>1.0134307838188137</v>
      </c>
      <c r="H708" s="1097">
        <v>1.0001192154423635</v>
      </c>
      <c r="I708" s="1097">
        <v>0.9896309191647934</v>
      </c>
      <c r="K708">
        <v>5.3448044316947945</v>
      </c>
      <c r="L708">
        <v>0</v>
      </c>
      <c r="M708">
        <v>3.7054519983679072E-3</v>
      </c>
      <c r="N708">
        <v>0.31852356840827484</v>
      </c>
      <c r="O708">
        <v>0.15113755314336377</v>
      </c>
      <c r="P708">
        <v>2.0991465291912651E-2</v>
      </c>
      <c r="Q708">
        <v>1.2721020699169362E-3</v>
      </c>
      <c r="R708">
        <v>3.699541986694315E-3</v>
      </c>
      <c r="S708">
        <v>0.45824365930415512</v>
      </c>
      <c r="T708">
        <v>4.1568165990004609</v>
      </c>
      <c r="U708">
        <v>0</v>
      </c>
      <c r="V708">
        <v>1.1304767209823803E-2</v>
      </c>
      <c r="W708">
        <v>0.19013222589371698</v>
      </c>
      <c r="X708">
        <v>2.5933213283776135E-2</v>
      </c>
      <c r="Y708">
        <v>1.0455188101067343E-2</v>
      </c>
    </row>
    <row r="709" spans="1:25" x14ac:dyDescent="0.25">
      <c r="A709" s="1093"/>
      <c r="B709" s="1452">
        <v>459</v>
      </c>
      <c r="C709" s="1097">
        <v>0.99390528295939051</v>
      </c>
      <c r="D709" s="1097">
        <v>0.98309805430944885</v>
      </c>
      <c r="E709" s="1097">
        <v>0.97619715439720744</v>
      </c>
      <c r="F709" s="1097">
        <v>0.99169175550026889</v>
      </c>
      <c r="G709" s="1097">
        <v>1.0159135084519513</v>
      </c>
      <c r="H709" s="1097">
        <v>1.0123795118264245</v>
      </c>
      <c r="I709" s="1097">
        <v>1.0031505586887877</v>
      </c>
      <c r="K709">
        <v>5.1515122462210572</v>
      </c>
      <c r="L709">
        <v>0</v>
      </c>
      <c r="M709">
        <v>3.8665595554425339E-3</v>
      </c>
      <c r="N709">
        <v>0.31257917155963028</v>
      </c>
      <c r="O709">
        <v>0.14973893205742228</v>
      </c>
      <c r="P709">
        <v>1.9850903268334052E-2</v>
      </c>
      <c r="Q709">
        <v>1.2936858315090926E-3</v>
      </c>
      <c r="R709">
        <v>3.8601690515783892E-3</v>
      </c>
      <c r="S709">
        <v>0.46738615826915864</v>
      </c>
      <c r="T709">
        <v>3.9651168584210033</v>
      </c>
      <c r="U709">
        <v>0</v>
      </c>
      <c r="V709">
        <v>1.1304767209823811E-2</v>
      </c>
      <c r="W709">
        <v>0.18923469551359093</v>
      </c>
      <c r="X709">
        <v>2.410433214472044E-2</v>
      </c>
      <c r="Y709">
        <v>1.0909132449726015E-2</v>
      </c>
    </row>
    <row r="710" spans="1:25" x14ac:dyDescent="0.25">
      <c r="A710" s="1093"/>
      <c r="B710" s="1452">
        <v>460</v>
      </c>
      <c r="C710" s="1097">
        <v>1.0211678129516457</v>
      </c>
      <c r="D710" s="1097">
        <v>0.9694176787564609</v>
      </c>
      <c r="E710" s="1097">
        <v>1.0027231741700418</v>
      </c>
      <c r="F710" s="1097">
        <v>1.0067739222024086</v>
      </c>
      <c r="G710" s="1097">
        <v>0.98343785499950209</v>
      </c>
      <c r="H710" s="1097">
        <v>0.97973653895819712</v>
      </c>
      <c r="I710" s="1097">
        <v>0.99203863987159269</v>
      </c>
      <c r="K710">
        <v>5.1800930549784736</v>
      </c>
      <c r="L710">
        <v>0</v>
      </c>
      <c r="M710">
        <v>3.5163872980806953E-3</v>
      </c>
      <c r="N710">
        <v>0.3075243528340611</v>
      </c>
      <c r="O710">
        <v>0.14805262838069347</v>
      </c>
      <c r="P710">
        <v>2.0435140483129978E-2</v>
      </c>
      <c r="Q710">
        <v>1.295539969879465E-3</v>
      </c>
      <c r="R710">
        <v>3.5104717256821635E-3</v>
      </c>
      <c r="S710">
        <v>0.4508119276360561</v>
      </c>
      <c r="T710">
        <v>4.022050868112621</v>
      </c>
      <c r="U710">
        <v>0</v>
      </c>
      <c r="V710">
        <v>1.1304767209823817E-2</v>
      </c>
      <c r="W710">
        <v>0.18284285773612169</v>
      </c>
      <c r="X710">
        <v>2.5860027079868658E-2</v>
      </c>
      <c r="Y710">
        <v>9.9208611086154339E-3</v>
      </c>
    </row>
    <row r="711" spans="1:25" x14ac:dyDescent="0.25">
      <c r="A711" s="1093"/>
      <c r="B711" s="1452">
        <v>461</v>
      </c>
      <c r="C711" s="1097">
        <v>0.98258253540916041</v>
      </c>
      <c r="D711" s="1097">
        <v>1.0031738667164738</v>
      </c>
      <c r="E711" s="1097">
        <v>1.0041117795061849</v>
      </c>
      <c r="F711" s="1097">
        <v>0.98983998094635695</v>
      </c>
      <c r="G711" s="1097">
        <v>1.0191546919670387</v>
      </c>
      <c r="H711" s="1097">
        <v>0.99562241374485494</v>
      </c>
      <c r="I711" s="1097">
        <v>1.0196180122978595</v>
      </c>
      <c r="K711">
        <v>5.1496547692500698</v>
      </c>
      <c r="L711">
        <v>0</v>
      </c>
      <c r="M711">
        <v>3.5911920232520596E-3</v>
      </c>
      <c r="N711">
        <v>0.31536044419616738</v>
      </c>
      <c r="O711">
        <v>0.14918251405019831</v>
      </c>
      <c r="P711">
        <v>2.0255551923197116E-2</v>
      </c>
      <c r="Q711">
        <v>1.3296841908100028E-3</v>
      </c>
      <c r="R711">
        <v>3.585145467524916E-3</v>
      </c>
      <c r="S711">
        <v>0.47463257847838441</v>
      </c>
      <c r="T711">
        <v>3.954227662335041</v>
      </c>
      <c r="U711">
        <v>0</v>
      </c>
      <c r="V711">
        <v>1.1304767209823818E-2</v>
      </c>
      <c r="W711">
        <v>0.18732642903818403</v>
      </c>
      <c r="X711">
        <v>2.5909289579855475E-2</v>
      </c>
      <c r="Y711">
        <v>1.0131894804133545E-2</v>
      </c>
    </row>
    <row r="712" spans="1:25" x14ac:dyDescent="0.25">
      <c r="A712" s="1093"/>
      <c r="B712" s="1452">
        <v>462</v>
      </c>
      <c r="C712" s="1097">
        <v>1.0014119627010865</v>
      </c>
      <c r="D712" s="1097">
        <v>1.009312995993549</v>
      </c>
      <c r="E712" s="1097">
        <v>1.0480107253718376</v>
      </c>
      <c r="F712" s="1097">
        <v>1.0054868242622055</v>
      </c>
      <c r="G712" s="1097">
        <v>0.99499873982055942</v>
      </c>
      <c r="H712" s="1097">
        <v>1.0284284500593743</v>
      </c>
      <c r="I712" s="1097">
        <v>1.0190917795978158</v>
      </c>
      <c r="K712">
        <v>5.2374130609287626</v>
      </c>
      <c r="L712">
        <v>0</v>
      </c>
      <c r="M712">
        <v>3.3612919178769049E-3</v>
      </c>
      <c r="N712">
        <v>0.33611624865135031</v>
      </c>
      <c r="O712">
        <v>0.14710624124798011</v>
      </c>
      <c r="P712">
        <v>2.1195212454300911E-2</v>
      </c>
      <c r="Q712">
        <v>1.3505694881288484E-3</v>
      </c>
      <c r="R712">
        <v>3.3558981011853092E-3</v>
      </c>
      <c r="S712">
        <v>0.47732844921999668</v>
      </c>
      <c r="T712">
        <v>4.0112602866376967</v>
      </c>
      <c r="U712">
        <v>0</v>
      </c>
      <c r="V712">
        <v>1.1304767209823813E-2</v>
      </c>
      <c r="W712">
        <v>0.19391894362044834</v>
      </c>
      <c r="X712">
        <v>2.8353711971080355E-2</v>
      </c>
      <c r="Y712">
        <v>9.4840242446493587E-3</v>
      </c>
    </row>
    <row r="713" spans="1:25" x14ac:dyDescent="0.25">
      <c r="A713" s="1093"/>
      <c r="B713" s="1452">
        <v>463</v>
      </c>
      <c r="C713" s="1097">
        <v>1.0106635626808382</v>
      </c>
      <c r="D713" s="1097">
        <v>0.99368274919268018</v>
      </c>
      <c r="E713" s="1097">
        <v>0.98054722947786255</v>
      </c>
      <c r="F713" s="1097">
        <v>0.98478545313098687</v>
      </c>
      <c r="G713" s="1097">
        <v>0.99283206192582041</v>
      </c>
      <c r="H713" s="1097">
        <v>1.0063486056482487</v>
      </c>
      <c r="I713" s="1097">
        <v>0.99981929844957318</v>
      </c>
      <c r="K713">
        <v>5.0887615916331468</v>
      </c>
      <c r="L713">
        <v>0</v>
      </c>
      <c r="M713">
        <v>3.7035038282783555E-3</v>
      </c>
      <c r="N713">
        <v>0.30328114384147797</v>
      </c>
      <c r="O713">
        <v>0.14548724989855194</v>
      </c>
      <c r="P713">
        <v>1.972760273018144E-2</v>
      </c>
      <c r="Q713">
        <v>1.271593935847828E-3</v>
      </c>
      <c r="R713">
        <v>3.6973030232513005E-3</v>
      </c>
      <c r="S713">
        <v>0.45336247545455616</v>
      </c>
      <c r="T713">
        <v>3.9369598337253184</v>
      </c>
      <c r="U713">
        <v>0</v>
      </c>
      <c r="V713">
        <v>1.1304767209823827E-2</v>
      </c>
      <c r="W713">
        <v>0.18305868593472779</v>
      </c>
      <c r="X713">
        <v>2.3865579088241957E-2</v>
      </c>
      <c r="Y713">
        <v>1.0448860619440616E-2</v>
      </c>
    </row>
    <row r="714" spans="1:25" x14ac:dyDescent="0.25">
      <c r="A714" s="1093"/>
      <c r="B714" s="1452">
        <v>464</v>
      </c>
      <c r="C714" s="1097">
        <v>0.97982051650840085</v>
      </c>
      <c r="D714" s="1097">
        <v>0.96567854467333225</v>
      </c>
      <c r="E714" s="1097">
        <v>0.98977531722214196</v>
      </c>
      <c r="F714" s="1097">
        <v>0.96468582530824876</v>
      </c>
      <c r="G714" s="1097">
        <v>1.01420588757385</v>
      </c>
      <c r="H714" s="1097">
        <v>1.0204047353258572</v>
      </c>
      <c r="I714" s="1097">
        <v>1.0030385110854585</v>
      </c>
      <c r="K714">
        <v>5.0446167149533103</v>
      </c>
      <c r="L714">
        <v>0</v>
      </c>
      <c r="M714">
        <v>3.7644548605950765E-3</v>
      </c>
      <c r="N714">
        <v>0.31682362144162679</v>
      </c>
      <c r="O714">
        <v>0.14843829245049661</v>
      </c>
      <c r="P714">
        <v>1.9557049276683822E-2</v>
      </c>
      <c r="Q714">
        <v>1.3373404029367721E-3</v>
      </c>
      <c r="R714">
        <v>3.7581095360912941E-3</v>
      </c>
      <c r="S714">
        <v>0.46645957878106703</v>
      </c>
      <c r="T714">
        <v>3.8554803765427956</v>
      </c>
      <c r="U714">
        <v>0</v>
      </c>
      <c r="V714">
        <v>1.1304767209823808E-2</v>
      </c>
      <c r="W714">
        <v>0.1900318128698972</v>
      </c>
      <c r="X714">
        <v>2.4569516835404263E-2</v>
      </c>
      <c r="Y714">
        <v>1.0620704467084078E-2</v>
      </c>
    </row>
    <row r="715" spans="1:25" x14ac:dyDescent="0.25">
      <c r="A715" s="1093"/>
      <c r="B715" s="1452">
        <v>465</v>
      </c>
      <c r="C715" s="1097">
        <v>1.0064289085219817</v>
      </c>
      <c r="D715" s="1097">
        <v>0.96687292580486262</v>
      </c>
      <c r="E715" s="1097">
        <v>0.98802343950189564</v>
      </c>
      <c r="F715" s="1097">
        <v>1.0298427359704339</v>
      </c>
      <c r="G715" s="1097">
        <v>1.0264478847257501</v>
      </c>
      <c r="H715" s="1097">
        <v>1.0009315549473141</v>
      </c>
      <c r="I715" s="1097">
        <v>1.0083352205465204</v>
      </c>
      <c r="K715">
        <v>5.3344216793554358</v>
      </c>
      <c r="L715">
        <v>0</v>
      </c>
      <c r="M715">
        <v>3.8496384559749009E-3</v>
      </c>
      <c r="N715">
        <v>0.32233850554107363</v>
      </c>
      <c r="O715">
        <v>0.15424888897260514</v>
      </c>
      <c r="P715">
        <v>2.0758994887837307E-2</v>
      </c>
      <c r="Q715">
        <v>1.2993734290665541E-3</v>
      </c>
      <c r="R715">
        <v>3.8434411630823163E-3</v>
      </c>
      <c r="S715">
        <v>0.47821742387929006</v>
      </c>
      <c r="T715">
        <v>4.1161153325712432</v>
      </c>
      <c r="U715">
        <v>0</v>
      </c>
      <c r="V715">
        <v>1.1304767209823806E-2</v>
      </c>
      <c r="W715">
        <v>0.19357045230876385</v>
      </c>
      <c r="X715">
        <v>2.5712279688908331E-2</v>
      </c>
      <c r="Y715">
        <v>1.0861858159722239E-2</v>
      </c>
    </row>
    <row r="716" spans="1:25" x14ac:dyDescent="0.25">
      <c r="A716" s="1093"/>
      <c r="B716" s="1452">
        <v>466</v>
      </c>
      <c r="C716" s="1097">
        <v>1.0121917415995298</v>
      </c>
      <c r="D716" s="1097">
        <v>0.96783911313802351</v>
      </c>
      <c r="E716" s="1097">
        <v>1.0422942245020042</v>
      </c>
      <c r="F716" s="1097">
        <v>0.96446763804257007</v>
      </c>
      <c r="G716" s="1097">
        <v>1.0092524719545184</v>
      </c>
      <c r="H716" s="1097">
        <v>1.0129083469010678</v>
      </c>
      <c r="I716" s="1097">
        <v>0.99703593228463716</v>
      </c>
      <c r="K716">
        <v>5.0087286462853262</v>
      </c>
      <c r="L716">
        <v>0</v>
      </c>
      <c r="M716">
        <v>3.2340510017273218E-3</v>
      </c>
      <c r="N716">
        <v>0.31794931218167027</v>
      </c>
      <c r="O716">
        <v>0.14211869540585845</v>
      </c>
      <c r="P716">
        <v>2.020277741516022E-2</v>
      </c>
      <c r="Q716">
        <v>1.3523474267173007E-3</v>
      </c>
      <c r="R716">
        <v>3.2285581358901618E-3</v>
      </c>
      <c r="S716">
        <v>0.44719654753708654</v>
      </c>
      <c r="T716">
        <v>3.8482969443816422</v>
      </c>
      <c r="U716">
        <v>0</v>
      </c>
      <c r="V716">
        <v>1.1304767209823817E-2</v>
      </c>
      <c r="W716">
        <v>0.18412647224124651</v>
      </c>
      <c r="X716">
        <v>2.706212357117815E-2</v>
      </c>
      <c r="Y716">
        <v>9.1241517807788292E-3</v>
      </c>
    </row>
    <row r="717" spans="1:25" x14ac:dyDescent="0.25">
      <c r="A717" s="1093"/>
      <c r="B717" s="1452">
        <v>467</v>
      </c>
      <c r="C717" s="1097">
        <v>0.97665698492689224</v>
      </c>
      <c r="D717" s="1097">
        <v>0.96872342024658586</v>
      </c>
      <c r="E717" s="1097">
        <v>1.0044723065921835</v>
      </c>
      <c r="F717" s="1097">
        <v>0.97056277699578886</v>
      </c>
      <c r="G717" s="1097">
        <v>1.0431224589605883</v>
      </c>
      <c r="H717" s="1097">
        <v>1.0124634106654882</v>
      </c>
      <c r="I717" s="1097">
        <v>0.96278666859822271</v>
      </c>
      <c r="K717">
        <v>5.0560429752545781</v>
      </c>
      <c r="L717">
        <v>0</v>
      </c>
      <c r="M717">
        <v>3.6505978131815609E-3</v>
      </c>
      <c r="N717">
        <v>0.3209181355341405</v>
      </c>
      <c r="O717">
        <v>0.14922607283971764</v>
      </c>
      <c r="P717">
        <v>1.9795729829835611E-2</v>
      </c>
      <c r="Q717">
        <v>1.3570000804346918E-3</v>
      </c>
      <c r="R717">
        <v>3.6444336283889107E-3</v>
      </c>
      <c r="S717">
        <v>0.44973167006506937</v>
      </c>
      <c r="T717">
        <v>3.8771749536751781</v>
      </c>
      <c r="U717">
        <v>0</v>
      </c>
      <c r="V717">
        <v>1.1304767209823827E-2</v>
      </c>
      <c r="W717">
        <v>0.19058142885615958</v>
      </c>
      <c r="X717">
        <v>2.5659933675833916E-2</v>
      </c>
      <c r="Y717">
        <v>1.029944767317215E-2</v>
      </c>
    </row>
    <row r="718" spans="1:25" x14ac:dyDescent="0.25">
      <c r="A718" s="1093"/>
      <c r="B718" s="1452">
        <v>468</v>
      </c>
      <c r="C718" s="1097">
        <v>1.0153945542557132</v>
      </c>
      <c r="D718" s="1097">
        <v>1.0235807732969164</v>
      </c>
      <c r="E718" s="1097">
        <v>0.998312063415563</v>
      </c>
      <c r="F718" s="1097">
        <v>1.0053653648686665</v>
      </c>
      <c r="G718" s="1097">
        <v>1.0162065635549857</v>
      </c>
      <c r="H718" s="1097">
        <v>0.97230594096366629</v>
      </c>
      <c r="I718" s="1097">
        <v>1.0142868124212672</v>
      </c>
      <c r="K718">
        <v>5.1643101523659576</v>
      </c>
      <c r="L718">
        <v>0</v>
      </c>
      <c r="M718">
        <v>3.4612726908987974E-3</v>
      </c>
      <c r="N718">
        <v>0.29876932717886956</v>
      </c>
      <c r="O718">
        <v>0.1456080154342782</v>
      </c>
      <c r="P718">
        <v>2.0371969133690087E-2</v>
      </c>
      <c r="Q718">
        <v>1.2700690641477604E-3</v>
      </c>
      <c r="R718">
        <v>3.4553971305909866E-3</v>
      </c>
      <c r="S718">
        <v>0.45673806060098426</v>
      </c>
      <c r="T718">
        <v>4.016980360935996</v>
      </c>
      <c r="U718">
        <v>0</v>
      </c>
      <c r="V718">
        <v>1.1304767209823803E-2</v>
      </c>
      <c r="W718">
        <v>0.17816764059454399</v>
      </c>
      <c r="X718">
        <v>2.5340601675792409E-2</v>
      </c>
      <c r="Y718">
        <v>9.7652160981413442E-3</v>
      </c>
    </row>
    <row r="719" spans="1:25" x14ac:dyDescent="0.25">
      <c r="A719" s="1093"/>
      <c r="B719" s="1452">
        <v>469</v>
      </c>
      <c r="C719" s="1097">
        <v>1.0288953705893109</v>
      </c>
      <c r="D719" s="1097">
        <v>1.0036572496502776</v>
      </c>
      <c r="E719" s="1097">
        <v>0.96716461725057923</v>
      </c>
      <c r="F719" s="1097">
        <v>0.99534870904958939</v>
      </c>
      <c r="G719" s="1097">
        <v>1.0071477229471035</v>
      </c>
      <c r="H719" s="1097">
        <v>0.97693910871757195</v>
      </c>
      <c r="I719" s="1097">
        <v>0.99247152555495577</v>
      </c>
      <c r="K719">
        <v>5.0937315283398785</v>
      </c>
      <c r="L719">
        <v>0</v>
      </c>
      <c r="M719">
        <v>3.6563462659279264E-3</v>
      </c>
      <c r="N719">
        <v>0.28774766713369482</v>
      </c>
      <c r="O719">
        <v>0.14422581073351981</v>
      </c>
      <c r="P719">
        <v>1.9661982052982762E-2</v>
      </c>
      <c r="Q719">
        <v>1.2296567956755903E-3</v>
      </c>
      <c r="R719">
        <v>3.6501069398569316E-3</v>
      </c>
      <c r="S719">
        <v>0.43985648122098558</v>
      </c>
      <c r="T719">
        <v>3.9808823377378131</v>
      </c>
      <c r="U719">
        <v>0</v>
      </c>
      <c r="V719">
        <v>1.1304767209823804E-2</v>
      </c>
      <c r="W719">
        <v>0.17528932725297725</v>
      </c>
      <c r="X719">
        <v>2.3224256643958833E-2</v>
      </c>
      <c r="Y719">
        <v>1.0315480884517617E-2</v>
      </c>
    </row>
    <row r="720" spans="1:25" x14ac:dyDescent="0.25">
      <c r="A720" s="1093"/>
      <c r="B720" s="1452">
        <v>470</v>
      </c>
      <c r="C720" s="1097">
        <v>0.96165239635529554</v>
      </c>
      <c r="D720" s="1097">
        <v>0.9981631108608997</v>
      </c>
      <c r="E720" s="1097">
        <v>0.99795574148775679</v>
      </c>
      <c r="F720" s="1097">
        <v>1.0253045691902372</v>
      </c>
      <c r="G720" s="1097">
        <v>1.0041521273293548</v>
      </c>
      <c r="H720" s="1097">
        <v>0.9967243077721667</v>
      </c>
      <c r="I720" s="1097">
        <v>0.99128320789312518</v>
      </c>
      <c r="K720">
        <v>5.3443934447002626</v>
      </c>
      <c r="L720">
        <v>0</v>
      </c>
      <c r="M720">
        <v>3.8621906550572629E-3</v>
      </c>
      <c r="N720">
        <v>0.33304843798907718</v>
      </c>
      <c r="O720">
        <v>0.15839017017117898</v>
      </c>
      <c r="P720">
        <v>2.0862827660327012E-2</v>
      </c>
      <c r="Q720">
        <v>1.3541897089345072E-3</v>
      </c>
      <c r="R720">
        <v>3.8559193195212009E-3</v>
      </c>
      <c r="S720">
        <v>0.48630631324587442</v>
      </c>
      <c r="T720">
        <v>4.0966942151176822</v>
      </c>
      <c r="U720">
        <v>0</v>
      </c>
      <c r="V720">
        <v>1.1304767209823813E-2</v>
      </c>
      <c r="W720">
        <v>0.19865749006257191</v>
      </c>
      <c r="X720">
        <v>2.6884182487850329E-2</v>
      </c>
      <c r="Y720">
        <v>1.0897122382480704E-2</v>
      </c>
    </row>
    <row r="721" spans="1:25" x14ac:dyDescent="0.25">
      <c r="A721" s="1093"/>
      <c r="B721" s="1452">
        <v>471</v>
      </c>
      <c r="C721" s="1097">
        <v>1.0292811911069712</v>
      </c>
      <c r="D721" s="1097">
        <v>1.0052012998920263</v>
      </c>
      <c r="E721" s="1097">
        <v>1.0136558413596353</v>
      </c>
      <c r="F721" s="1097">
        <v>1.0036704898308346</v>
      </c>
      <c r="G721" s="1097">
        <v>0.95858268039664629</v>
      </c>
      <c r="H721" s="1097">
        <v>0.98706132379395062</v>
      </c>
      <c r="I721" s="1097">
        <v>1.0004062711768593</v>
      </c>
      <c r="K721">
        <v>5.1536721250097504</v>
      </c>
      <c r="L721">
        <v>0</v>
      </c>
      <c r="M721">
        <v>3.3747968048660091E-3</v>
      </c>
      <c r="N721">
        <v>0.30485494176440858</v>
      </c>
      <c r="O721">
        <v>0.14402883573675784</v>
      </c>
      <c r="P721">
        <v>2.0525067357198921E-2</v>
      </c>
      <c r="Q721">
        <v>1.2786895427901921E-3</v>
      </c>
      <c r="R721">
        <v>3.3691441631412229E-3</v>
      </c>
      <c r="S721">
        <v>0.44801833978526445</v>
      </c>
      <c r="T721">
        <v>4.0082803373261635</v>
      </c>
      <c r="U721">
        <v>0</v>
      </c>
      <c r="V721">
        <v>1.1304767209823824E-2</v>
      </c>
      <c r="W721">
        <v>0.17992869581252041</v>
      </c>
      <c r="X721">
        <v>2.5936644489519288E-2</v>
      </c>
      <c r="Y721">
        <v>9.5214586270257594E-3</v>
      </c>
    </row>
    <row r="722" spans="1:25" x14ac:dyDescent="0.25">
      <c r="A722" s="1093"/>
      <c r="B722" s="1452">
        <v>472</v>
      </c>
      <c r="C722" s="1097">
        <v>0.98149153587771842</v>
      </c>
      <c r="D722" s="1097">
        <v>0.99186288199418626</v>
      </c>
      <c r="E722" s="1097">
        <v>1.0008470039586388</v>
      </c>
      <c r="F722" s="1097">
        <v>0.96506322273354717</v>
      </c>
      <c r="G722" s="1097">
        <v>1.0158594058032615</v>
      </c>
      <c r="H722" s="1097">
        <v>0.998361073891046</v>
      </c>
      <c r="I722" s="1097">
        <v>1.0299113293187183</v>
      </c>
      <c r="K722">
        <v>5.0343509138605311</v>
      </c>
      <c r="L722">
        <v>0</v>
      </c>
      <c r="M722">
        <v>3.5553345014353267E-3</v>
      </c>
      <c r="N722">
        <v>0.30919467740337431</v>
      </c>
      <c r="O722">
        <v>0.14636158497816981</v>
      </c>
      <c r="P722">
        <v>1.9743509392997374E-2</v>
      </c>
      <c r="Q722">
        <v>1.3334832620905074E-3</v>
      </c>
      <c r="R722">
        <v>3.5492117382799476E-3</v>
      </c>
      <c r="S722">
        <v>0.47149409909429946</v>
      </c>
      <c r="T722">
        <v>3.8556442156300217</v>
      </c>
      <c r="U722">
        <v>0</v>
      </c>
      <c r="V722">
        <v>1.1304767209823822E-2</v>
      </c>
      <c r="W722">
        <v>0.18406895186575611</v>
      </c>
      <c r="X722">
        <v>2.5181404445273513E-2</v>
      </c>
      <c r="Y722">
        <v>1.0030343341876819E-2</v>
      </c>
    </row>
    <row r="723" spans="1:25" x14ac:dyDescent="0.25">
      <c r="A723" s="1093"/>
      <c r="B723" s="1452">
        <v>473</v>
      </c>
      <c r="C723" s="1097">
        <v>1.0125430108806981</v>
      </c>
      <c r="D723" s="1097">
        <v>0.97541028874501379</v>
      </c>
      <c r="E723" s="1097">
        <v>0.99332354956117197</v>
      </c>
      <c r="F723" s="1097">
        <v>0.97788969157169103</v>
      </c>
      <c r="G723" s="1097">
        <v>1.0207970136347402</v>
      </c>
      <c r="H723" s="1097">
        <v>0.9584537613212688</v>
      </c>
      <c r="I723" s="1097">
        <v>1.0166478949504008</v>
      </c>
      <c r="K723">
        <v>5.0360170837338361</v>
      </c>
      <c r="L723">
        <v>0</v>
      </c>
      <c r="M723">
        <v>3.4288216920291006E-3</v>
      </c>
      <c r="N723">
        <v>0.29160314665373083</v>
      </c>
      <c r="O723">
        <v>0.14492807598304597</v>
      </c>
      <c r="P723">
        <v>1.977272202268987E-2</v>
      </c>
      <c r="Q723">
        <v>1.2928880079331737E-3</v>
      </c>
      <c r="R723">
        <v>3.4227514772322701E-3</v>
      </c>
      <c r="S723">
        <v>0.45025654888006511</v>
      </c>
      <c r="T723">
        <v>3.907813810624913</v>
      </c>
      <c r="U723">
        <v>0</v>
      </c>
      <c r="V723">
        <v>1.1304767209823822E-2</v>
      </c>
      <c r="W723">
        <v>0.17448313703435775</v>
      </c>
      <c r="X723">
        <v>2.4895100542695121E-2</v>
      </c>
      <c r="Y723">
        <v>9.6729569893718795E-3</v>
      </c>
    </row>
    <row r="724" spans="1:25" x14ac:dyDescent="0.25">
      <c r="A724" s="1093"/>
      <c r="B724" s="1452">
        <v>474</v>
      </c>
      <c r="C724" s="1097">
        <v>1.0216907968448685</v>
      </c>
      <c r="D724" s="1097">
        <v>1.0086671985389004</v>
      </c>
      <c r="E724" s="1097">
        <v>0.98372842759284096</v>
      </c>
      <c r="F724" s="1097">
        <v>1.033125879475997</v>
      </c>
      <c r="G724" s="1097">
        <v>0.96553882076089559</v>
      </c>
      <c r="H724" s="1097">
        <v>1.0051349122365256</v>
      </c>
      <c r="I724" s="1097">
        <v>1.0011066293849133</v>
      </c>
      <c r="K724">
        <v>5.3165740438166482</v>
      </c>
      <c r="L724">
        <v>0</v>
      </c>
      <c r="M724">
        <v>3.7901096926985455E-3</v>
      </c>
      <c r="N724">
        <v>0.31334052100337123</v>
      </c>
      <c r="O724">
        <v>0.14999108447559678</v>
      </c>
      <c r="P724">
        <v>2.0697808976179562E-2</v>
      </c>
      <c r="Q724">
        <v>1.253814043735618E-3</v>
      </c>
      <c r="R724">
        <v>3.7840530246246924E-3</v>
      </c>
      <c r="S724">
        <v>0.46588161583962273</v>
      </c>
      <c r="T724">
        <v>4.1297983352335672</v>
      </c>
      <c r="U724">
        <v>0</v>
      </c>
      <c r="V724">
        <v>1.130476720982382E-2</v>
      </c>
      <c r="W724">
        <v>0.18871929625350983</v>
      </c>
      <c r="X724">
        <v>2.4898834702942154E-2</v>
      </c>
      <c r="Y724">
        <v>1.069402274637111E-2</v>
      </c>
    </row>
    <row r="725" spans="1:25" x14ac:dyDescent="0.25">
      <c r="A725" s="1093"/>
      <c r="B725" s="1452">
        <v>475</v>
      </c>
      <c r="C725" s="1097">
        <v>0.9509405118703872</v>
      </c>
      <c r="D725" s="1097">
        <v>0.98549877259807983</v>
      </c>
      <c r="E725" s="1097">
        <v>1.0077869880055084</v>
      </c>
      <c r="F725" s="1097">
        <v>1.0158382692284469</v>
      </c>
      <c r="G725" s="1097">
        <v>0.96900893656341114</v>
      </c>
      <c r="H725" s="1097">
        <v>1.0229373409287548</v>
      </c>
      <c r="I725" s="1097">
        <v>0.96053494802783024</v>
      </c>
      <c r="K725">
        <v>5.3206468250083665</v>
      </c>
      <c r="L725">
        <v>0</v>
      </c>
      <c r="M725">
        <v>3.9099686237940657E-3</v>
      </c>
      <c r="N725">
        <v>0.34714171533304095</v>
      </c>
      <c r="O725">
        <v>0.15921408214334437</v>
      </c>
      <c r="P725">
        <v>2.0804129564721673E-2</v>
      </c>
      <c r="Q725">
        <v>1.3880816296854429E-3</v>
      </c>
      <c r="R725">
        <v>3.9037248466763327E-3</v>
      </c>
      <c r="S725">
        <v>0.47908332228694445</v>
      </c>
      <c r="T725">
        <v>4.0576185872262096</v>
      </c>
      <c r="U725">
        <v>0</v>
      </c>
      <c r="V725">
        <v>1.1304767209823808E-2</v>
      </c>
      <c r="W725">
        <v>0.20569522255150721</v>
      </c>
      <c r="X725">
        <v>2.7370936388208065E-2</v>
      </c>
      <c r="Y725">
        <v>1.1032224452000449E-2</v>
      </c>
    </row>
    <row r="726" spans="1:25" x14ac:dyDescent="0.25">
      <c r="A726" s="1093"/>
      <c r="B726" s="1452">
        <v>476</v>
      </c>
      <c r="C726" s="1097">
        <v>0.98736728141727459</v>
      </c>
      <c r="D726" s="1097">
        <v>0.97680766939075836</v>
      </c>
      <c r="E726" s="1097">
        <v>1.0074334963795044</v>
      </c>
      <c r="F726" s="1097">
        <v>1.0024335383383018</v>
      </c>
      <c r="G726" s="1097">
        <v>1.0430734494626672</v>
      </c>
      <c r="H726" s="1097">
        <v>1.0075749055304615</v>
      </c>
      <c r="I726" s="1097">
        <v>0.98888637252822897</v>
      </c>
      <c r="K726">
        <v>5.2128500409202569</v>
      </c>
      <c r="L726">
        <v>0</v>
      </c>
      <c r="M726">
        <v>3.676031266207933E-3</v>
      </c>
      <c r="N726">
        <v>0.32601539376240962</v>
      </c>
      <c r="O726">
        <v>0.15186397607134522</v>
      </c>
      <c r="P726">
        <v>2.0501869907945332E-2</v>
      </c>
      <c r="Q726">
        <v>1.3412122127299084E-3</v>
      </c>
      <c r="R726">
        <v>3.6699919954506681E-3</v>
      </c>
      <c r="S726">
        <v>0.467679857942914</v>
      </c>
      <c r="T726">
        <v>4.0041196649403075</v>
      </c>
      <c r="U726">
        <v>0</v>
      </c>
      <c r="V726">
        <v>1.1304767209823813E-2</v>
      </c>
      <c r="W726">
        <v>0.19322296088568131</v>
      </c>
      <c r="X726">
        <v>2.6434699688078392E-2</v>
      </c>
      <c r="Y726">
        <v>1.0371677569777691E-2</v>
      </c>
    </row>
    <row r="727" spans="1:25" x14ac:dyDescent="0.25">
      <c r="A727" s="1093"/>
      <c r="B727" s="1452">
        <v>477</v>
      </c>
      <c r="C727" s="1097">
        <v>1.0191216579831854</v>
      </c>
      <c r="D727" s="1097">
        <v>1.0100166711117446</v>
      </c>
      <c r="E727" s="1097">
        <v>1.0291535172992485</v>
      </c>
      <c r="F727" s="1097">
        <v>0.99842972514061046</v>
      </c>
      <c r="G727" s="1097">
        <v>0.9712017577224864</v>
      </c>
      <c r="H727" s="1097">
        <v>0.97484524901520975</v>
      </c>
      <c r="I727" s="1097">
        <v>0.95977575417743677</v>
      </c>
      <c r="K727">
        <v>5.1128777876621365</v>
      </c>
      <c r="L727">
        <v>0</v>
      </c>
      <c r="M727">
        <v>3.2346458346914999E-3</v>
      </c>
      <c r="N727">
        <v>0.30589344295550813</v>
      </c>
      <c r="O727">
        <v>0.14400768919841314</v>
      </c>
      <c r="P727">
        <v>2.056758284109296E-2</v>
      </c>
      <c r="Q727">
        <v>1.3059705352393943E-3</v>
      </c>
      <c r="R727">
        <v>3.2291312995763686E-3</v>
      </c>
      <c r="S727">
        <v>0.42966266605989295</v>
      </c>
      <c r="T727">
        <v>3.9854276089547849</v>
      </c>
      <c r="U727">
        <v>0</v>
      </c>
      <c r="V727">
        <v>1.1304767209823822E-2</v>
      </c>
      <c r="W727">
        <v>0.17868732128671436</v>
      </c>
      <c r="X727">
        <v>2.6900481570663621E-2</v>
      </c>
      <c r="Y727">
        <v>9.1257715851150323E-3</v>
      </c>
    </row>
    <row r="728" spans="1:25" x14ac:dyDescent="0.25">
      <c r="A728" s="1093"/>
      <c r="B728" s="1452">
        <v>478</v>
      </c>
      <c r="C728" s="1097">
        <v>1.0003305596430783</v>
      </c>
      <c r="D728" s="1097">
        <v>1.0065872605140034</v>
      </c>
      <c r="E728" s="1097">
        <v>1.0336207583540133</v>
      </c>
      <c r="F728" s="1097">
        <v>1.0196227994794347</v>
      </c>
      <c r="G728" s="1097">
        <v>1.0216106936384117</v>
      </c>
      <c r="H728" s="1097">
        <v>0.9780624405934365</v>
      </c>
      <c r="I728" s="1097">
        <v>1.0118487471103657</v>
      </c>
      <c r="K728">
        <v>5.2693135748368025</v>
      </c>
      <c r="L728">
        <v>0</v>
      </c>
      <c r="M728">
        <v>3.3491365618878726E-3</v>
      </c>
      <c r="N728">
        <v>0.32094393424946643</v>
      </c>
      <c r="O728">
        <v>0.14990457106105998</v>
      </c>
      <c r="P728">
        <v>2.1216959146484218E-2</v>
      </c>
      <c r="Q728">
        <v>1.3373240922679443E-3</v>
      </c>
      <c r="R728">
        <v>3.3435637152523421E-3</v>
      </c>
      <c r="S728">
        <v>0.47060746403865611</v>
      </c>
      <c r="T728">
        <v>4.0694605140137101</v>
      </c>
      <c r="U728">
        <v>0</v>
      </c>
      <c r="V728">
        <v>1.130476720982381E-2</v>
      </c>
      <c r="W728">
        <v>0.18692569414936105</v>
      </c>
      <c r="X728">
        <v>2.8168753394291601E-2</v>
      </c>
      <c r="Y728">
        <v>9.4491663283169727E-3</v>
      </c>
    </row>
    <row r="729" spans="1:25" x14ac:dyDescent="0.25">
      <c r="A729" s="1093"/>
      <c r="B729" s="1452">
        <v>479</v>
      </c>
      <c r="C729" s="1097">
        <v>0.98701306476434514</v>
      </c>
      <c r="D729" s="1097">
        <v>0.99649208285066115</v>
      </c>
      <c r="E729" s="1097">
        <v>1.0008070356162324</v>
      </c>
      <c r="F729" s="1097">
        <v>0.99044363703635818</v>
      </c>
      <c r="G729" s="1097">
        <v>1.0383091909964244</v>
      </c>
      <c r="H729" s="1097">
        <v>0.97848718100548771</v>
      </c>
      <c r="I729" s="1097">
        <v>1.0071749421683907</v>
      </c>
      <c r="K729">
        <v>5.131536908028588</v>
      </c>
      <c r="L729">
        <v>0</v>
      </c>
      <c r="M729">
        <v>3.5497205562627903E-3</v>
      </c>
      <c r="N729">
        <v>0.30867298238370172</v>
      </c>
      <c r="O729">
        <v>0.14909364513893292</v>
      </c>
      <c r="P729">
        <v>2.0171802306676919E-2</v>
      </c>
      <c r="Q729">
        <v>1.3235107461501852E-3</v>
      </c>
      <c r="R729">
        <v>3.5436428628109942E-3</v>
      </c>
      <c r="S729">
        <v>0.46433971854607847</v>
      </c>
      <c r="T729">
        <v>3.9570496365115009</v>
      </c>
      <c r="U729">
        <v>0</v>
      </c>
      <c r="V729">
        <v>1.1304767209823811E-2</v>
      </c>
      <c r="W729">
        <v>0.18376333902894371</v>
      </c>
      <c r="X729">
        <v>2.5808978575593701E-2</v>
      </c>
      <c r="Y729">
        <v>1.0014605274638027E-2</v>
      </c>
    </row>
    <row r="730" spans="1:25" x14ac:dyDescent="0.25">
      <c r="A730" s="1093"/>
      <c r="B730" s="1452">
        <v>480</v>
      </c>
      <c r="C730" s="1097">
        <v>0.99886152167071596</v>
      </c>
      <c r="D730" s="1097">
        <v>1.0059504319368806</v>
      </c>
      <c r="E730" s="1097">
        <v>0.97440493700321207</v>
      </c>
      <c r="F730" s="1097">
        <v>0.98082788079589633</v>
      </c>
      <c r="G730" s="1097">
        <v>1.0050144159457779</v>
      </c>
      <c r="H730" s="1097">
        <v>1.0304877378098232</v>
      </c>
      <c r="I730" s="1097">
        <v>0.97737157990381329</v>
      </c>
      <c r="K730">
        <v>5.08200493554238</v>
      </c>
      <c r="L730">
        <v>0</v>
      </c>
      <c r="M730">
        <v>3.8523783811578454E-3</v>
      </c>
      <c r="N730">
        <v>0.30978375739158803</v>
      </c>
      <c r="O730">
        <v>0.14606423206113373</v>
      </c>
      <c r="P730">
        <v>1.9554138204517426E-2</v>
      </c>
      <c r="Q730">
        <v>1.2735000780093027E-3</v>
      </c>
      <c r="R730">
        <v>3.8460540339377213E-3</v>
      </c>
      <c r="S730">
        <v>0.45015605218558613</v>
      </c>
      <c r="T730">
        <v>3.9219026945833373</v>
      </c>
      <c r="U730">
        <v>0</v>
      </c>
      <c r="V730">
        <v>1.1304767209823832E-2</v>
      </c>
      <c r="W730">
        <v>0.18777352442845519</v>
      </c>
      <c r="X730">
        <v>2.3329351414900907E-2</v>
      </c>
      <c r="Y730">
        <v>1.0869242332242868E-2</v>
      </c>
    </row>
    <row r="731" spans="1:25" x14ac:dyDescent="0.25">
      <c r="A731" s="1093"/>
      <c r="B731" s="1452">
        <v>481</v>
      </c>
      <c r="C731" s="1097">
        <v>1.0121386894298252</v>
      </c>
      <c r="D731" s="1097">
        <v>1.0023167570393929</v>
      </c>
      <c r="E731" s="1097">
        <v>1.0061314396127468</v>
      </c>
      <c r="F731" s="1097">
        <v>1.0059735931273426</v>
      </c>
      <c r="G731" s="1097">
        <v>1.0149951370697619</v>
      </c>
      <c r="H731" s="1097">
        <v>1.0057466713831862</v>
      </c>
      <c r="I731" s="1097">
        <v>1.0016264011654663</v>
      </c>
      <c r="K731">
        <v>5.1971249353813658</v>
      </c>
      <c r="L731">
        <v>0</v>
      </c>
      <c r="M731">
        <v>3.5650970123837149E-3</v>
      </c>
      <c r="N731">
        <v>0.31496103985124158</v>
      </c>
      <c r="O731">
        <v>0.14718119003116112</v>
      </c>
      <c r="P731">
        <v>2.0515898549573402E-2</v>
      </c>
      <c r="Q731">
        <v>1.2935263735104107E-3</v>
      </c>
      <c r="R731">
        <v>3.5592499607023276E-3</v>
      </c>
      <c r="S731">
        <v>0.46077654790908446</v>
      </c>
      <c r="T731">
        <v>4.0184239851742651</v>
      </c>
      <c r="U731">
        <v>0</v>
      </c>
      <c r="V731">
        <v>1.1304767209823822E-2</v>
      </c>
      <c r="W731">
        <v>0.18683485477632339</v>
      </c>
      <c r="X731">
        <v>2.5780260433237646E-2</v>
      </c>
      <c r="Y731">
        <v>1.005871212482449E-2</v>
      </c>
    </row>
    <row r="732" spans="1:25" x14ac:dyDescent="0.25">
      <c r="A732" s="1093"/>
      <c r="B732" s="1452">
        <v>482</v>
      </c>
      <c r="C732" s="1097">
        <v>0.99789314546272978</v>
      </c>
      <c r="D732" s="1097">
        <v>0.99527232281073974</v>
      </c>
      <c r="E732" s="1097">
        <v>1.0116690840790645</v>
      </c>
      <c r="F732" s="1097">
        <v>1.0277383050139957</v>
      </c>
      <c r="G732" s="1097">
        <v>1.0199986355288029</v>
      </c>
      <c r="H732" s="1097">
        <v>0.96850097100761001</v>
      </c>
      <c r="I732" s="1097">
        <v>1.0051196221351795</v>
      </c>
      <c r="K732">
        <v>5.3030093083811147</v>
      </c>
      <c r="L732">
        <v>0</v>
      </c>
      <c r="M732">
        <v>3.5259258878205702E-3</v>
      </c>
      <c r="N732">
        <v>0.31664164122278771</v>
      </c>
      <c r="O732">
        <v>0.15278388425464304</v>
      </c>
      <c r="P732">
        <v>2.104220678796339E-2</v>
      </c>
      <c r="Q732">
        <v>1.3219225300625617E-3</v>
      </c>
      <c r="R732">
        <v>3.5200476586793451E-3</v>
      </c>
      <c r="S732">
        <v>0.47091900464611386</v>
      </c>
      <c r="T732">
        <v>4.1046529208695697</v>
      </c>
      <c r="U732">
        <v>0</v>
      </c>
      <c r="V732">
        <v>1.1304767209823808E-2</v>
      </c>
      <c r="W732">
        <v>0.18713430529752331</v>
      </c>
      <c r="X732">
        <v>2.7266610365417457E-2</v>
      </c>
      <c r="Y732">
        <v>9.9479234263533684E-3</v>
      </c>
    </row>
    <row r="733" spans="1:25" x14ac:dyDescent="0.25">
      <c r="A733" s="1093"/>
      <c r="B733" s="1452">
        <v>483</v>
      </c>
      <c r="C733" s="1097">
        <v>0.97399462221931477</v>
      </c>
      <c r="D733" s="1097">
        <v>0.98818341219107364</v>
      </c>
      <c r="E733" s="1097">
        <v>1.0160028474890066</v>
      </c>
      <c r="F733" s="1097">
        <v>1.0036079571218124</v>
      </c>
      <c r="G733" s="1097">
        <v>0.98264395136371596</v>
      </c>
      <c r="H733" s="1097">
        <v>1.0240033177153012</v>
      </c>
      <c r="I733" s="1097">
        <v>0.99574227749434996</v>
      </c>
      <c r="K733">
        <v>5.247602763035025</v>
      </c>
      <c r="L733">
        <v>0</v>
      </c>
      <c r="M733">
        <v>3.7065518220463878E-3</v>
      </c>
      <c r="N733">
        <v>0.33717761842600885</v>
      </c>
      <c r="O733">
        <v>0.15317020391913397</v>
      </c>
      <c r="P733">
        <v>2.0704938879053496E-2</v>
      </c>
      <c r="Q733">
        <v>1.3632457630582855E-3</v>
      </c>
      <c r="R733">
        <v>3.7005671040226695E-3</v>
      </c>
      <c r="S733">
        <v>0.47992836950562012</v>
      </c>
      <c r="T733">
        <v>4.0077369362975972</v>
      </c>
      <c r="U733">
        <v>0</v>
      </c>
      <c r="V733">
        <v>1.1304767209823818E-2</v>
      </c>
      <c r="W733">
        <v>0.19869361100144475</v>
      </c>
      <c r="X733">
        <v>2.7070971590401668E-2</v>
      </c>
      <c r="Y733">
        <v>1.0458085160901276E-2</v>
      </c>
    </row>
    <row r="734" spans="1:25" x14ac:dyDescent="0.25">
      <c r="A734" s="1093"/>
      <c r="B734" s="1452">
        <v>484</v>
      </c>
      <c r="C734" s="1097">
        <v>1.0166868310003661</v>
      </c>
      <c r="D734" s="1097">
        <v>1.0076681066274282</v>
      </c>
      <c r="E734" s="1097">
        <v>1.0343481991570724</v>
      </c>
      <c r="F734" s="1097">
        <v>0.98440272277775276</v>
      </c>
      <c r="G734" s="1097">
        <v>1.038986986201174</v>
      </c>
      <c r="H734" s="1097">
        <v>1.0030668925476249</v>
      </c>
      <c r="I734" s="1097">
        <v>1.0114634455923197</v>
      </c>
      <c r="K734">
        <v>5.0889053618814026</v>
      </c>
      <c r="L734">
        <v>0</v>
      </c>
      <c r="M734">
        <v>3.2565360939370118E-3</v>
      </c>
      <c r="N734">
        <v>0.31273663946860586</v>
      </c>
      <c r="O734">
        <v>0.14231752798389788</v>
      </c>
      <c r="P734">
        <v>2.0494234268735534E-2</v>
      </c>
      <c r="Q734">
        <v>1.3160474784516521E-3</v>
      </c>
      <c r="R734">
        <v>3.2510636885586305E-3</v>
      </c>
      <c r="S734">
        <v>0.45391532305403348</v>
      </c>
      <c r="T734">
        <v>3.9288036842025535</v>
      </c>
      <c r="U734">
        <v>0</v>
      </c>
      <c r="V734">
        <v>1.1304767209823808E-2</v>
      </c>
      <c r="W734">
        <v>0.18205806281403042</v>
      </c>
      <c r="X734">
        <v>2.6776793615813699E-2</v>
      </c>
      <c r="Y734">
        <v>9.1877541908375847E-3</v>
      </c>
    </row>
    <row r="735" spans="1:25" x14ac:dyDescent="0.25">
      <c r="A735" s="1093"/>
      <c r="B735" s="1452">
        <v>485</v>
      </c>
      <c r="C735" s="1097">
        <v>0.96783132249314074</v>
      </c>
      <c r="D735" s="1097">
        <v>1.009040649882599</v>
      </c>
      <c r="E735" s="1097">
        <v>1.0030993207201806</v>
      </c>
      <c r="F735" s="1097">
        <v>1.0185505326676214</v>
      </c>
      <c r="G735" s="1097">
        <v>1.0070501753062331</v>
      </c>
      <c r="H735" s="1097">
        <v>0.97145366189853333</v>
      </c>
      <c r="I735" s="1097">
        <v>1.017668612234881</v>
      </c>
      <c r="K735">
        <v>5.2934813570036603</v>
      </c>
      <c r="L735">
        <v>0</v>
      </c>
      <c r="M735">
        <v>3.6597044179207633E-3</v>
      </c>
      <c r="N735">
        <v>0.3204166100439676</v>
      </c>
      <c r="O735">
        <v>0.15551577065377015</v>
      </c>
      <c r="P735">
        <v>2.0821136682738838E-2</v>
      </c>
      <c r="Q735">
        <v>1.3456400790362139E-3</v>
      </c>
      <c r="R735">
        <v>3.6535669257526035E-3</v>
      </c>
      <c r="S735">
        <v>0.48722624669461362</v>
      </c>
      <c r="T735">
        <v>4.0690502623244633</v>
      </c>
      <c r="U735">
        <v>0</v>
      </c>
      <c r="V735">
        <v>1.1304767209823811E-2</v>
      </c>
      <c r="W735">
        <v>0.19045979680736164</v>
      </c>
      <c r="X735">
        <v>2.7022004931235671E-2</v>
      </c>
      <c r="Y735">
        <v>1.032525906881621E-2</v>
      </c>
    </row>
    <row r="736" spans="1:25" x14ac:dyDescent="0.25">
      <c r="A736" s="1093"/>
      <c r="B736" s="1452">
        <v>486</v>
      </c>
      <c r="C736" s="1097">
        <v>1.0219577733677587</v>
      </c>
      <c r="D736" s="1097">
        <v>0.964612876848703</v>
      </c>
      <c r="E736" s="1097">
        <v>1.0089943398167589</v>
      </c>
      <c r="F736" s="1097">
        <v>1.0227067009846722</v>
      </c>
      <c r="G736" s="1097">
        <v>0.97794686926982133</v>
      </c>
      <c r="H736" s="1097">
        <v>1.0235193706399692</v>
      </c>
      <c r="I736" s="1097">
        <v>1.015425491872944</v>
      </c>
      <c r="K736">
        <v>5.3047255313288684</v>
      </c>
      <c r="L736">
        <v>0</v>
      </c>
      <c r="M736">
        <v>3.6870414630997936E-3</v>
      </c>
      <c r="N736">
        <v>0.32852563060380352</v>
      </c>
      <c r="O736">
        <v>0.15040112891420859</v>
      </c>
      <c r="P736">
        <v>2.0933905199891165E-2</v>
      </c>
      <c r="Q736">
        <v>1.3040781188541244E-3</v>
      </c>
      <c r="R736">
        <v>3.6811964789254426E-3</v>
      </c>
      <c r="S736">
        <v>0.47608805057628567</v>
      </c>
      <c r="T736">
        <v>4.0848991254336342</v>
      </c>
      <c r="U736">
        <v>0</v>
      </c>
      <c r="V736">
        <v>1.1304767209823806E-2</v>
      </c>
      <c r="W736">
        <v>0.19450656986362777</v>
      </c>
      <c r="X736">
        <v>2.6364778097413503E-2</v>
      </c>
      <c r="Y736">
        <v>1.0403342295499251E-2</v>
      </c>
    </row>
    <row r="737" spans="1:25" x14ac:dyDescent="0.25">
      <c r="A737" s="1093"/>
      <c r="B737" s="1452">
        <v>487</v>
      </c>
      <c r="C737" s="1097">
        <v>0.98949948023694856</v>
      </c>
      <c r="D737" s="1097">
        <v>1.0288163859117136</v>
      </c>
      <c r="E737" s="1097">
        <v>1.0396559476606946</v>
      </c>
      <c r="F737" s="1097">
        <v>1.0032717677868797</v>
      </c>
      <c r="G737" s="1097">
        <v>0.97151876542938476</v>
      </c>
      <c r="H737" s="1097">
        <v>0.96039556278941662</v>
      </c>
      <c r="I737" s="1097">
        <v>1.0097245719645505</v>
      </c>
      <c r="K737">
        <v>5.1785429838300203</v>
      </c>
      <c r="L737">
        <v>0</v>
      </c>
      <c r="M737">
        <v>3.2017696095265713E-3</v>
      </c>
      <c r="N737">
        <v>0.31232455929668457</v>
      </c>
      <c r="O737">
        <v>0.1476495497281472</v>
      </c>
      <c r="P737">
        <v>2.0965189393938145E-2</v>
      </c>
      <c r="Q737">
        <v>1.3469913519107216E-3</v>
      </c>
      <c r="R737">
        <v>3.1962556931226542E-3</v>
      </c>
      <c r="S737">
        <v>0.46305665715092403</v>
      </c>
      <c r="T737">
        <v>4.0034541646920276</v>
      </c>
      <c r="U737">
        <v>0</v>
      </c>
      <c r="V737">
        <v>1.1304767209823811E-2</v>
      </c>
      <c r="W737">
        <v>0.18118313180490866</v>
      </c>
      <c r="X737">
        <v>2.8230624506713733E-2</v>
      </c>
      <c r="Y737">
        <v>9.0328626113430153E-3</v>
      </c>
    </row>
    <row r="738" spans="1:25" x14ac:dyDescent="0.25">
      <c r="A738" s="1093"/>
      <c r="B738" s="1452">
        <v>488</v>
      </c>
      <c r="C738" s="1097">
        <v>1.0373192881819917</v>
      </c>
      <c r="D738" s="1097">
        <v>0.99335988633061523</v>
      </c>
      <c r="E738" s="1097">
        <v>1.0008378204528325</v>
      </c>
      <c r="F738" s="1097">
        <v>1.0018170079398534</v>
      </c>
      <c r="G738" s="1097">
        <v>0.98860719763336202</v>
      </c>
      <c r="H738" s="1097">
        <v>0.95326591119266502</v>
      </c>
      <c r="I738" s="1097">
        <v>1.0238311187043856</v>
      </c>
      <c r="K738">
        <v>5.1250971218906258</v>
      </c>
      <c r="L738">
        <v>0</v>
      </c>
      <c r="M738">
        <v>3.3322121568876146E-3</v>
      </c>
      <c r="N738">
        <v>0.28977817079273244</v>
      </c>
      <c r="O738">
        <v>0.14367215313213827</v>
      </c>
      <c r="P738">
        <v>2.0309318263102342E-2</v>
      </c>
      <c r="Q738">
        <v>1.260945353777497E-3</v>
      </c>
      <c r="R738">
        <v>3.3264222980725327E-3</v>
      </c>
      <c r="S738">
        <v>0.44902689924218359</v>
      </c>
      <c r="T738">
        <v>4.0024849928030646</v>
      </c>
      <c r="U738">
        <v>0</v>
      </c>
      <c r="V738">
        <v>1.130476720982383E-2</v>
      </c>
      <c r="W738">
        <v>0.17251103900556758</v>
      </c>
      <c r="X738">
        <v>2.5353902572361184E-2</v>
      </c>
      <c r="Y738">
        <v>9.4007233746815425E-3</v>
      </c>
    </row>
    <row r="739" spans="1:25" x14ac:dyDescent="0.25">
      <c r="A739" s="1093"/>
      <c r="B739" s="1452">
        <v>489</v>
      </c>
      <c r="C739" s="1097">
        <v>1.0134127804713842</v>
      </c>
      <c r="D739" s="1097">
        <v>0.99046211332472611</v>
      </c>
      <c r="E739" s="1097">
        <v>1.0135978946598119</v>
      </c>
      <c r="F739" s="1097">
        <v>0.97331037305079326</v>
      </c>
      <c r="G739" s="1097">
        <v>1.0270759642946163</v>
      </c>
      <c r="H739" s="1097">
        <v>0.99302899746105555</v>
      </c>
      <c r="I739" s="1097">
        <v>0.95263745229341046</v>
      </c>
      <c r="K739">
        <v>5.0049907366951496</v>
      </c>
      <c r="L739">
        <v>0</v>
      </c>
      <c r="M739">
        <v>3.3644560164230309E-3</v>
      </c>
      <c r="N739">
        <v>0.30385598847584822</v>
      </c>
      <c r="O739">
        <v>0.14270135916770046</v>
      </c>
      <c r="P739">
        <v>1.9859559445937505E-2</v>
      </c>
      <c r="Q739">
        <v>1.3063437163034063E-3</v>
      </c>
      <c r="R739">
        <v>3.3586801346167337E-3</v>
      </c>
      <c r="S739">
        <v>0.42458716410156538</v>
      </c>
      <c r="T739">
        <v>3.8870405491481921</v>
      </c>
      <c r="U739">
        <v>0</v>
      </c>
      <c r="V739">
        <v>1.1304767209823817E-2</v>
      </c>
      <c r="W739">
        <v>0.17934606209867032</v>
      </c>
      <c r="X739">
        <v>2.5502832729386655E-2</v>
      </c>
      <c r="Y739">
        <v>9.4918864835247703E-3</v>
      </c>
    </row>
    <row r="740" spans="1:25" x14ac:dyDescent="0.25">
      <c r="A740" s="1093"/>
      <c r="B740" s="1452">
        <v>490</v>
      </c>
      <c r="C740" s="1097">
        <v>1.0365341350028907</v>
      </c>
      <c r="D740" s="1097">
        <v>0.96724239823244529</v>
      </c>
      <c r="E740" s="1097">
        <v>0.96073876819341675</v>
      </c>
      <c r="F740" s="1097">
        <v>0.98643205009814072</v>
      </c>
      <c r="G740" s="1097">
        <v>0.99860591804427679</v>
      </c>
      <c r="H740" s="1097">
        <v>0.99039933364652377</v>
      </c>
      <c r="I740" s="1097">
        <v>0.97485974935538389</v>
      </c>
      <c r="K740">
        <v>5.0533178809190886</v>
      </c>
      <c r="L740">
        <v>0</v>
      </c>
      <c r="M740">
        <v>3.7509368632201875E-3</v>
      </c>
      <c r="N740">
        <v>0.28961217620168733</v>
      </c>
      <c r="O740">
        <v>0.14416569613903224</v>
      </c>
      <c r="P740">
        <v>1.9372583614668214E-2</v>
      </c>
      <c r="Q740">
        <v>1.2318111574424315E-3</v>
      </c>
      <c r="R740">
        <v>3.7445661388809709E-3</v>
      </c>
      <c r="S740">
        <v>0.43114916459090635</v>
      </c>
      <c r="T740">
        <v>3.9460295408706587</v>
      </c>
      <c r="U740">
        <v>0</v>
      </c>
      <c r="V740">
        <v>1.1304767209823827E-2</v>
      </c>
      <c r="W740">
        <v>0.17721217934500624</v>
      </c>
      <c r="X740">
        <v>2.2663902721620579E-2</v>
      </c>
      <c r="Y740">
        <v>1.0582429792578242E-2</v>
      </c>
    </row>
    <row r="741" spans="1:25" x14ac:dyDescent="0.25">
      <c r="A741" s="1093"/>
      <c r="B741" s="1452">
        <v>491</v>
      </c>
      <c r="C741" s="1097">
        <v>1.0377000768251954</v>
      </c>
      <c r="D741" s="1097">
        <v>1.0046131310093531</v>
      </c>
      <c r="E741" s="1097">
        <v>0.98151601018450485</v>
      </c>
      <c r="F741" s="1097">
        <v>0.9962375162633208</v>
      </c>
      <c r="G741" s="1097">
        <v>0.9908685005010045</v>
      </c>
      <c r="H741" s="1097">
        <v>1.0109415586887345</v>
      </c>
      <c r="I741" s="1097">
        <v>0.97525140384601239</v>
      </c>
      <c r="K741">
        <v>5.1058817812804005</v>
      </c>
      <c r="L741">
        <v>0</v>
      </c>
      <c r="M741">
        <v>3.6421192859249075E-3</v>
      </c>
      <c r="N741">
        <v>0.2991209190140155</v>
      </c>
      <c r="O741">
        <v>0.14269275343795448</v>
      </c>
      <c r="P741">
        <v>1.9863394405691022E-2</v>
      </c>
      <c r="Q741">
        <v>1.2340925728344563E-3</v>
      </c>
      <c r="R741">
        <v>3.6361186263848678E-3</v>
      </c>
      <c r="S741">
        <v>0.43475176343551081</v>
      </c>
      <c r="T741">
        <v>3.9826204585842908</v>
      </c>
      <c r="U741">
        <v>0</v>
      </c>
      <c r="V741">
        <v>1.1304767209823822E-2</v>
      </c>
      <c r="W741">
        <v>0.18042788594240822</v>
      </c>
      <c r="X741">
        <v>2.3595798494718666E-2</v>
      </c>
      <c r="Y741">
        <v>1.0275948842688353E-2</v>
      </c>
    </row>
    <row r="742" spans="1:25" x14ac:dyDescent="0.25">
      <c r="A742" s="1093"/>
      <c r="B742" s="1452">
        <v>492</v>
      </c>
      <c r="C742" s="1097">
        <v>1.0399757309086421</v>
      </c>
      <c r="D742" s="1097">
        <v>0.96668946023628211</v>
      </c>
      <c r="E742" s="1097">
        <v>0.99945242726930439</v>
      </c>
      <c r="F742" s="1097">
        <v>1.0015698790412628</v>
      </c>
      <c r="G742" s="1097">
        <v>0.98757470432403194</v>
      </c>
      <c r="H742" s="1097">
        <v>0.98211695306871738</v>
      </c>
      <c r="I742" s="1097">
        <v>1.0089380520255991</v>
      </c>
      <c r="K742">
        <v>5.1431188398243206</v>
      </c>
      <c r="L742">
        <v>0</v>
      </c>
      <c r="M742">
        <v>3.4710352632859537E-3</v>
      </c>
      <c r="N742">
        <v>0.30062934467993929</v>
      </c>
      <c r="O742">
        <v>0.14487565779124301</v>
      </c>
      <c r="P742">
        <v>2.0284299338952611E-2</v>
      </c>
      <c r="Q742">
        <v>1.2699825900239852E-3</v>
      </c>
      <c r="R742">
        <v>3.4651799224807685E-3</v>
      </c>
      <c r="S742">
        <v>0.4489481681544133</v>
      </c>
      <c r="T742">
        <v>4.0016718585407194</v>
      </c>
      <c r="U742">
        <v>0</v>
      </c>
      <c r="V742">
        <v>1.1304767209823829E-2</v>
      </c>
      <c r="W742">
        <v>0.1791386127393079</v>
      </c>
      <c r="X742">
        <v>2.5209141105795609E-2</v>
      </c>
      <c r="Y742">
        <v>9.792863014902696E-3</v>
      </c>
    </row>
    <row r="743" spans="1:25" x14ac:dyDescent="0.25">
      <c r="A743" s="1093"/>
      <c r="B743" s="1452">
        <v>493</v>
      </c>
      <c r="C743" s="1097">
        <v>0.9846000341468133</v>
      </c>
      <c r="D743" s="1097">
        <v>0.98732510742519575</v>
      </c>
      <c r="E743" s="1097">
        <v>0.99458415713258552</v>
      </c>
      <c r="F743" s="1097">
        <v>0.98096266504634588</v>
      </c>
      <c r="G743" s="1097">
        <v>0.99610985734957902</v>
      </c>
      <c r="H743" s="1097">
        <v>1.0287094624315063</v>
      </c>
      <c r="I743" s="1097">
        <v>1.0057202503130453</v>
      </c>
      <c r="K743">
        <v>5.1222599694964597</v>
      </c>
      <c r="L743">
        <v>0</v>
      </c>
      <c r="M743">
        <v>3.7680738360638694E-3</v>
      </c>
      <c r="N743">
        <v>0.32169508570233352</v>
      </c>
      <c r="O743">
        <v>0.14875003162523168</v>
      </c>
      <c r="P743">
        <v>1.9942180337234591E-2</v>
      </c>
      <c r="Q743">
        <v>1.3245745739407832E-3</v>
      </c>
      <c r="R743">
        <v>3.7618780460359725E-3</v>
      </c>
      <c r="S743">
        <v>0.47141056484821109</v>
      </c>
      <c r="T743">
        <v>3.9199382350548553</v>
      </c>
      <c r="U743">
        <v>0</v>
      </c>
      <c r="V743">
        <v>1.1304767209823834E-2</v>
      </c>
      <c r="W743">
        <v>0.19232428866273635</v>
      </c>
      <c r="X743">
        <v>2.4945082708213731E-2</v>
      </c>
      <c r="Y743">
        <v>1.0631354563899862E-2</v>
      </c>
    </row>
    <row r="744" spans="1:25" x14ac:dyDescent="0.25">
      <c r="A744" s="1093"/>
      <c r="B744" s="1452">
        <v>494</v>
      </c>
      <c r="C744" s="1097">
        <v>1.0073798975227481</v>
      </c>
      <c r="D744" s="1097">
        <v>0.97479363400748686</v>
      </c>
      <c r="E744" s="1097">
        <v>1.0013258916575567</v>
      </c>
      <c r="F744" s="1097">
        <v>0.98564489306573544</v>
      </c>
      <c r="G744" s="1097">
        <v>1.0114631688070681</v>
      </c>
      <c r="H744" s="1097">
        <v>1.0001774900546387</v>
      </c>
      <c r="I744" s="1097">
        <v>0.98837243973649735</v>
      </c>
      <c r="K744">
        <v>5.098337993063951</v>
      </c>
      <c r="L744">
        <v>0</v>
      </c>
      <c r="M744">
        <v>3.5652486212057713E-3</v>
      </c>
      <c r="N744">
        <v>0.31050921613961047</v>
      </c>
      <c r="O744">
        <v>0.14664310697604624</v>
      </c>
      <c r="P744">
        <v>2.0029305178205489E-2</v>
      </c>
      <c r="Q744">
        <v>1.3088038068811334E-3</v>
      </c>
      <c r="R744">
        <v>3.5592476953830018E-3</v>
      </c>
      <c r="S744">
        <v>0.45056534296819845</v>
      </c>
      <c r="T744">
        <v>3.9378133764682968</v>
      </c>
      <c r="U744">
        <v>0</v>
      </c>
      <c r="V744">
        <v>1.1304767209823822E-2</v>
      </c>
      <c r="W744">
        <v>0.18479174282008878</v>
      </c>
      <c r="X744">
        <v>2.5319626699761427E-2</v>
      </c>
      <c r="Y744">
        <v>1.0058705722859126E-2</v>
      </c>
    </row>
    <row r="745" spans="1:25" x14ac:dyDescent="0.25">
      <c r="A745" s="1093"/>
      <c r="B745" s="1452">
        <v>495</v>
      </c>
      <c r="C745" s="1097">
        <v>0.98629130580107038</v>
      </c>
      <c r="D745" s="1097">
        <v>0.95757743834984466</v>
      </c>
      <c r="E745" s="1097">
        <v>0.98325762790207594</v>
      </c>
      <c r="F745" s="1097">
        <v>0.97361287184084599</v>
      </c>
      <c r="G745" s="1097">
        <v>1.0016825192690657</v>
      </c>
      <c r="H745" s="1097">
        <v>0.99163434644659354</v>
      </c>
      <c r="I745" s="1097">
        <v>1.0051269292821954</v>
      </c>
      <c r="K745">
        <v>5.0656617028748974</v>
      </c>
      <c r="L745">
        <v>0</v>
      </c>
      <c r="M745">
        <v>3.7310239692330775E-3</v>
      </c>
      <c r="N745">
        <v>0.30798799811833727</v>
      </c>
      <c r="O745">
        <v>0.14951356768410867</v>
      </c>
      <c r="P745">
        <v>1.9610743899727303E-2</v>
      </c>
      <c r="Q745">
        <v>1.3255616068966131E-3</v>
      </c>
      <c r="R745">
        <v>3.7246117682502443E-3</v>
      </c>
      <c r="S745">
        <v>0.46330522041055028</v>
      </c>
      <c r="T745">
        <v>3.8919601324001185</v>
      </c>
      <c r="U745">
        <v>0</v>
      </c>
      <c r="V745">
        <v>1.1304767209823813E-2</v>
      </c>
      <c r="W745">
        <v>0.18555526982308704</v>
      </c>
      <c r="X745">
        <v>2.4578816705495967E-2</v>
      </c>
      <c r="Y745">
        <v>1.052603721773168E-2</v>
      </c>
    </row>
    <row r="746" spans="1:25" x14ac:dyDescent="0.25">
      <c r="A746" s="1093"/>
      <c r="B746" s="1452">
        <v>496</v>
      </c>
      <c r="C746" s="1097">
        <v>1.0017147185624034</v>
      </c>
      <c r="D746" s="1097">
        <v>1.0191739884258726</v>
      </c>
      <c r="E746" s="1097">
        <v>0.98615395930944394</v>
      </c>
      <c r="F746" s="1097">
        <v>1.0255144820322988</v>
      </c>
      <c r="G746" s="1097">
        <v>0.97336563862827175</v>
      </c>
      <c r="H746" s="1097">
        <v>0.97258505489214142</v>
      </c>
      <c r="I746" s="1097">
        <v>0.96375576798294582</v>
      </c>
      <c r="K746">
        <v>5.2572993339453529</v>
      </c>
      <c r="L746">
        <v>0</v>
      </c>
      <c r="M746">
        <v>3.678839517125213E-3</v>
      </c>
      <c r="N746">
        <v>0.30631741796330403</v>
      </c>
      <c r="O746">
        <v>0.15115840106445977</v>
      </c>
      <c r="P746">
        <v>2.0515674158368736E-2</v>
      </c>
      <c r="Q746">
        <v>1.2762033524982208E-3</v>
      </c>
      <c r="R746">
        <v>3.6727188907601355E-3</v>
      </c>
      <c r="S746">
        <v>0.44772269820383787</v>
      </c>
      <c r="T746">
        <v>4.0990581659928313</v>
      </c>
      <c r="U746">
        <v>0</v>
      </c>
      <c r="V746">
        <v>1.1304767209823827E-2</v>
      </c>
      <c r="W746">
        <v>0.18418410637373317</v>
      </c>
      <c r="X746">
        <v>2.5388636268743863E-2</v>
      </c>
      <c r="Y746">
        <v>1.0379383984110854E-2</v>
      </c>
    </row>
    <row r="747" spans="1:25" x14ac:dyDescent="0.25">
      <c r="A747" s="1093"/>
      <c r="B747" s="1452">
        <v>497</v>
      </c>
      <c r="C747" s="1097">
        <v>0.98622499679463638</v>
      </c>
      <c r="D747" s="1097">
        <v>1.0187021022012095</v>
      </c>
      <c r="E747" s="1097">
        <v>1.0272551078845589</v>
      </c>
      <c r="F747" s="1097">
        <v>1.004275307927847</v>
      </c>
      <c r="G747" s="1097">
        <v>1.0083240278186683</v>
      </c>
      <c r="H747" s="1097">
        <v>0.98638869409269703</v>
      </c>
      <c r="I747" s="1097">
        <v>1.028480043940776</v>
      </c>
      <c r="K747">
        <v>5.2157887978260504</v>
      </c>
      <c r="L747">
        <v>0</v>
      </c>
      <c r="M747">
        <v>3.40389769886364E-3</v>
      </c>
      <c r="N747">
        <v>0.32010694173322196</v>
      </c>
      <c r="O747">
        <v>0.14922412630257559</v>
      </c>
      <c r="P747">
        <v>2.0880226523989125E-2</v>
      </c>
      <c r="Q747">
        <v>1.3427707641385433E-3</v>
      </c>
      <c r="R747">
        <v>3.3981958568196683E-3</v>
      </c>
      <c r="S747">
        <v>0.47957133937681673</v>
      </c>
      <c r="T747">
        <v>4.0089975770768751</v>
      </c>
      <c r="U747">
        <v>0</v>
      </c>
      <c r="V747">
        <v>1.1304767209823803E-2</v>
      </c>
      <c r="W747">
        <v>0.18722566192359619</v>
      </c>
      <c r="X747">
        <v>2.7537527825706492E-2</v>
      </c>
      <c r="Y747">
        <v>9.6035609313529346E-3</v>
      </c>
    </row>
    <row r="748" spans="1:25" x14ac:dyDescent="0.25">
      <c r="A748" s="1093"/>
      <c r="B748" s="1452">
        <v>498</v>
      </c>
      <c r="C748" s="1097">
        <v>0.99778054411893036</v>
      </c>
      <c r="D748" s="1097">
        <v>1.0087590136551268</v>
      </c>
      <c r="E748" s="1097">
        <v>1.0280817371013247</v>
      </c>
      <c r="F748" s="1097">
        <v>1.0463412621880341</v>
      </c>
      <c r="G748" s="1097">
        <v>1.0147196791112849</v>
      </c>
      <c r="H748" s="1097">
        <v>1.0373639572052513</v>
      </c>
      <c r="I748" s="1097">
        <v>1.0125472577876737</v>
      </c>
      <c r="K748">
        <v>5.4501018096012084</v>
      </c>
      <c r="L748">
        <v>0</v>
      </c>
      <c r="M748">
        <v>3.6943408319443614E-3</v>
      </c>
      <c r="N748">
        <v>0.3483218337768052</v>
      </c>
      <c r="O748">
        <v>0.1542541243608869</v>
      </c>
      <c r="P748">
        <v>2.173932626429689E-2</v>
      </c>
      <c r="Q748">
        <v>1.3333650926767966E-3</v>
      </c>
      <c r="R748">
        <v>3.6886927517199046E-3</v>
      </c>
      <c r="S748">
        <v>0.49408291862027309</v>
      </c>
      <c r="T748">
        <v>4.1768147813415952</v>
      </c>
      <c r="U748">
        <v>0</v>
      </c>
      <c r="V748">
        <v>1.130476720982382E-2</v>
      </c>
      <c r="W748">
        <v>0.20361643928576051</v>
      </c>
      <c r="X748">
        <v>2.8215374394581237E-2</v>
      </c>
      <c r="Y748">
        <v>1.0424527334729754E-2</v>
      </c>
    </row>
    <row r="749" spans="1:25" x14ac:dyDescent="0.25">
      <c r="A749" s="1093"/>
      <c r="B749" s="1452">
        <v>499</v>
      </c>
      <c r="C749" s="1097">
        <v>0.9989440457872355</v>
      </c>
      <c r="D749" s="1097">
        <v>1.0046908688911367</v>
      </c>
      <c r="E749" s="1097">
        <v>1.0031531841554691</v>
      </c>
      <c r="F749" s="1097">
        <v>0.98675901785519304</v>
      </c>
      <c r="G749" s="1097">
        <v>0.99530581213801561</v>
      </c>
      <c r="H749" s="1097">
        <v>0.99676767996271542</v>
      </c>
      <c r="I749" s="1097">
        <v>1.0067417727687586</v>
      </c>
      <c r="K749">
        <v>5.1091053533951785</v>
      </c>
      <c r="L749">
        <v>0</v>
      </c>
      <c r="M749">
        <v>3.5304404766467344E-3</v>
      </c>
      <c r="N749">
        <v>0.30914544965563784</v>
      </c>
      <c r="O749">
        <v>0.14622026393761167</v>
      </c>
      <c r="P749">
        <v>2.0118104270776455E-2</v>
      </c>
      <c r="Q749">
        <v>1.3060443230624977E-3</v>
      </c>
      <c r="R749">
        <v>3.5244845319355521E-3</v>
      </c>
      <c r="S749">
        <v>0.45983906021559323</v>
      </c>
      <c r="T749">
        <v>3.9420383424448158</v>
      </c>
      <c r="U749">
        <v>0</v>
      </c>
      <c r="V749">
        <v>1.1304767209823827E-2</v>
      </c>
      <c r="W749">
        <v>0.18375339712701874</v>
      </c>
      <c r="X749">
        <v>2.5425417786629226E-2</v>
      </c>
      <c r="Y749">
        <v>9.960462368914659E-3</v>
      </c>
    </row>
    <row r="750" spans="1:25" x14ac:dyDescent="0.25">
      <c r="A750" s="1093"/>
      <c r="B750" s="1452">
        <v>500</v>
      </c>
      <c r="C750" s="1097">
        <v>0.98682648453844257</v>
      </c>
      <c r="D750" s="1097">
        <v>0.99612273095094062</v>
      </c>
      <c r="E750" s="1097">
        <v>0.98305831240324693</v>
      </c>
      <c r="F750" s="1097">
        <v>1.0289078144637658</v>
      </c>
      <c r="G750" s="1097">
        <v>0.99965625395501712</v>
      </c>
      <c r="H750" s="1097">
        <v>0.9619193516174106</v>
      </c>
      <c r="I750" s="1097">
        <v>0.9908204716863942</v>
      </c>
      <c r="K750">
        <v>5.3043666597356847</v>
      </c>
      <c r="L750">
        <v>0</v>
      </c>
      <c r="M750">
        <v>3.7640567576102536E-3</v>
      </c>
      <c r="N750">
        <v>0.31054416714168392</v>
      </c>
      <c r="O750">
        <v>0.15545180626699409</v>
      </c>
      <c r="P750">
        <v>2.0623849914035812E-2</v>
      </c>
      <c r="Q750">
        <v>1.3038684002010862E-3</v>
      </c>
      <c r="R750">
        <v>3.7577457635867913E-3</v>
      </c>
      <c r="S750">
        <v>0.46852091243674865</v>
      </c>
      <c r="T750">
        <v>4.1130243614528155</v>
      </c>
      <c r="U750">
        <v>0</v>
      </c>
      <c r="V750">
        <v>1.1304767209823803E-2</v>
      </c>
      <c r="W750">
        <v>0.18712079546632768</v>
      </c>
      <c r="X750">
        <v>2.5858766022866291E-2</v>
      </c>
      <c r="Y750">
        <v>1.0619676418213639E-2</v>
      </c>
    </row>
    <row r="751" spans="1:25" x14ac:dyDescent="0.25">
      <c r="A751" s="1093"/>
      <c r="B751" s="1452">
        <v>501</v>
      </c>
      <c r="C751" s="1097">
        <v>1.0257041875081063</v>
      </c>
      <c r="D751" s="1097">
        <v>1.0258844412484314</v>
      </c>
      <c r="E751" s="1097">
        <v>0.96641570836979429</v>
      </c>
      <c r="F751" s="1097">
        <v>1.0236014441742158</v>
      </c>
      <c r="G751" s="1097">
        <v>1.0223436665898737</v>
      </c>
      <c r="H751" s="1097">
        <v>1.0236845478821777</v>
      </c>
      <c r="I751" s="1097">
        <v>0.9879375662171247</v>
      </c>
      <c r="K751">
        <v>5.260884660510472</v>
      </c>
      <c r="L751">
        <v>0</v>
      </c>
      <c r="M751">
        <v>3.9237998633039322E-3</v>
      </c>
      <c r="N751">
        <v>0.30814752835453751</v>
      </c>
      <c r="O751">
        <v>0.14750375301932608</v>
      </c>
      <c r="P751">
        <v>2.0225046233097014E-2</v>
      </c>
      <c r="Q751">
        <v>1.2219208406783818E-3</v>
      </c>
      <c r="R751">
        <v>3.9175859825918711E-3</v>
      </c>
      <c r="S751">
        <v>0.45630684892336276</v>
      </c>
      <c r="T751">
        <v>4.0939764729050534</v>
      </c>
      <c r="U751">
        <v>0</v>
      </c>
      <c r="V751">
        <v>1.1304767209823811E-2</v>
      </c>
      <c r="W751">
        <v>0.18781367388915229</v>
      </c>
      <c r="X751">
        <v>2.3319465935805781E-2</v>
      </c>
      <c r="Y751">
        <v>1.1071397080345428E-2</v>
      </c>
    </row>
    <row r="752" spans="1:25" x14ac:dyDescent="0.25">
      <c r="A752" s="1093"/>
      <c r="B752" s="1452">
        <v>502</v>
      </c>
      <c r="C752" s="1097">
        <v>0.97337855766687464</v>
      </c>
      <c r="D752" s="1097">
        <v>1.0221154028861781</v>
      </c>
      <c r="E752" s="1097">
        <v>1.0166367668845151</v>
      </c>
      <c r="F752" s="1097">
        <v>1.0167948577616737</v>
      </c>
      <c r="G752" s="1097">
        <v>0.97004425782281023</v>
      </c>
      <c r="H752" s="1097">
        <v>0.97415598436721784</v>
      </c>
      <c r="I752" s="1097">
        <v>0.99003433334935564</v>
      </c>
      <c r="K752">
        <v>5.264527798894882</v>
      </c>
      <c r="L752">
        <v>0</v>
      </c>
      <c r="M752">
        <v>3.5219708303587116E-3</v>
      </c>
      <c r="N752">
        <v>0.32096876981422229</v>
      </c>
      <c r="O752">
        <v>0.15317982122455406</v>
      </c>
      <c r="P752">
        <v>2.0910844739879284E-2</v>
      </c>
      <c r="Q752">
        <v>1.3465345611170709E-3</v>
      </c>
      <c r="R752">
        <v>3.5160705547349898E-3</v>
      </c>
      <c r="S752">
        <v>0.46997898504324281</v>
      </c>
      <c r="T752">
        <v>4.0603162670201911</v>
      </c>
      <c r="U752">
        <v>0</v>
      </c>
      <c r="V752">
        <v>1.1304767209823804E-2</v>
      </c>
      <c r="W752">
        <v>0.18906185427025426</v>
      </c>
      <c r="X752">
        <v>2.7529171460252098E-2</v>
      </c>
      <c r="Y752">
        <v>9.9366838269690973E-3</v>
      </c>
    </row>
    <row r="753" spans="1:25" x14ac:dyDescent="0.25">
      <c r="A753" s="1093"/>
      <c r="B753" s="1452">
        <v>503</v>
      </c>
      <c r="C753" s="1097">
        <v>0.9777079880568833</v>
      </c>
      <c r="D753" s="1097">
        <v>1.0255317213635087</v>
      </c>
      <c r="E753" s="1097">
        <v>0.98424663647608224</v>
      </c>
      <c r="F753" s="1097">
        <v>1.0151083260269167</v>
      </c>
      <c r="G753" s="1097">
        <v>0.97010946177936863</v>
      </c>
      <c r="H753" s="1097">
        <v>1.0301802453412312</v>
      </c>
      <c r="I753" s="1097">
        <v>1.0117527434410369</v>
      </c>
      <c r="K753">
        <v>5.293074061111696</v>
      </c>
      <c r="L753">
        <v>0</v>
      </c>
      <c r="M753">
        <v>3.9579403353990098E-3</v>
      </c>
      <c r="N753">
        <v>0.3277227030650034</v>
      </c>
      <c r="O753">
        <v>0.15297214610370397</v>
      </c>
      <c r="P753">
        <v>2.0481861030149345E-2</v>
      </c>
      <c r="Q753">
        <v>1.302140436429047E-3</v>
      </c>
      <c r="R753">
        <v>3.9516598841784168E-3</v>
      </c>
      <c r="S753">
        <v>0.48810872591278354</v>
      </c>
      <c r="T753">
        <v>4.0577087575833701</v>
      </c>
      <c r="U753">
        <v>0</v>
      </c>
      <c r="V753">
        <v>1.1304767209823822E-2</v>
      </c>
      <c r="W753">
        <v>0.19731154689510466</v>
      </c>
      <c r="X753">
        <v>2.5000000798897571E-2</v>
      </c>
      <c r="Y753">
        <v>1.1167692527648326E-2</v>
      </c>
    </row>
    <row r="754" spans="1:25" x14ac:dyDescent="0.25">
      <c r="A754" s="1093"/>
      <c r="B754" s="1452">
        <v>504</v>
      </c>
      <c r="C754" s="1097">
        <v>1.0125886533987933</v>
      </c>
      <c r="D754" s="1097">
        <v>0.99076586683813073</v>
      </c>
      <c r="E754" s="1097">
        <v>1.0240029337658463</v>
      </c>
      <c r="F754" s="1097">
        <v>0.99673950426424118</v>
      </c>
      <c r="G754" s="1097">
        <v>1.0219260750309747</v>
      </c>
      <c r="H754" s="1097">
        <v>0.96486708126406673</v>
      </c>
      <c r="I754" s="1097">
        <v>1.0000968573627194</v>
      </c>
      <c r="K754">
        <v>5.1285465273171704</v>
      </c>
      <c r="L754">
        <v>0</v>
      </c>
      <c r="M754">
        <v>3.2770996800753865E-3</v>
      </c>
      <c r="N754">
        <v>0.30521748136489713</v>
      </c>
      <c r="O754">
        <v>0.14595118898375814</v>
      </c>
      <c r="P754">
        <v>2.0555568844269543E-2</v>
      </c>
      <c r="Q754">
        <v>1.3188164353955694E-3</v>
      </c>
      <c r="R754">
        <v>3.2714454351244772E-3</v>
      </c>
      <c r="S754">
        <v>0.44980450623434726</v>
      </c>
      <c r="T754">
        <v>3.9793172330512725</v>
      </c>
      <c r="U754">
        <v>0</v>
      </c>
      <c r="V754">
        <v>1.1304767209823818E-2</v>
      </c>
      <c r="W754">
        <v>0.17890310918231139</v>
      </c>
      <c r="X754">
        <v>2.6934155693339023E-2</v>
      </c>
      <c r="Y754">
        <v>9.2453545627054091E-3</v>
      </c>
    </row>
    <row r="755" spans="1:25" x14ac:dyDescent="0.25">
      <c r="A755" s="1093"/>
      <c r="B755" s="1452">
        <v>505</v>
      </c>
      <c r="C755" s="1097">
        <v>0.96415312847599788</v>
      </c>
      <c r="D755" s="1097">
        <v>1.0046197398881496</v>
      </c>
      <c r="E755" s="1097">
        <v>1.0325811284862643</v>
      </c>
      <c r="F755" s="1097">
        <v>1.0311158459945295</v>
      </c>
      <c r="G755" s="1097">
        <v>0.98519543073477933</v>
      </c>
      <c r="H755" s="1097">
        <v>1.0138358477199605</v>
      </c>
      <c r="I755" s="1097">
        <v>1.0345047784526245</v>
      </c>
      <c r="K755">
        <v>5.4105386230413295</v>
      </c>
      <c r="L755">
        <v>0</v>
      </c>
      <c r="M755">
        <v>3.6533138163689239E-3</v>
      </c>
      <c r="N755">
        <v>0.34904553283313799</v>
      </c>
      <c r="O755">
        <v>0.15743651072186712</v>
      </c>
      <c r="P755">
        <v>2.1605874190259711E-2</v>
      </c>
      <c r="Q755">
        <v>1.3873791487843759E-3</v>
      </c>
      <c r="R755">
        <v>3.647514589379691E-3</v>
      </c>
      <c r="S755">
        <v>0.5115130260038937</v>
      </c>
      <c r="T755">
        <v>4.1154633915637557</v>
      </c>
      <c r="U755">
        <v>0</v>
      </c>
      <c r="V755">
        <v>1.1304767209823822E-2</v>
      </c>
      <c r="W755">
        <v>0.20343249506896968</v>
      </c>
      <c r="X755">
        <v>2.9047290823671034E-2</v>
      </c>
      <c r="Y755">
        <v>1.0308154704152337E-2</v>
      </c>
    </row>
    <row r="756" spans="1:25" x14ac:dyDescent="0.25">
      <c r="A756" s="1093"/>
      <c r="B756" s="1452">
        <v>506</v>
      </c>
      <c r="C756" s="1097">
        <v>1.005557346290171</v>
      </c>
      <c r="D756" s="1097">
        <v>0.97277663567216743</v>
      </c>
      <c r="E756" s="1097">
        <v>0.98170251167086497</v>
      </c>
      <c r="F756" s="1097">
        <v>1.000892009266358</v>
      </c>
      <c r="G756" s="1097">
        <v>1.0210907760882919</v>
      </c>
      <c r="H756" s="1097">
        <v>1.0021903049802792</v>
      </c>
      <c r="I756" s="1097">
        <v>0.97334238643596438</v>
      </c>
      <c r="K756">
        <v>5.1690669331495434</v>
      </c>
      <c r="L756">
        <v>0</v>
      </c>
      <c r="M756">
        <v>3.7904300786733699E-3</v>
      </c>
      <c r="N756">
        <v>0.31147165164750351</v>
      </c>
      <c r="O756">
        <v>0.14985471340867776</v>
      </c>
      <c r="P756">
        <v>2.0021600263953363E-2</v>
      </c>
      <c r="Q756">
        <v>1.2902600996608437E-3</v>
      </c>
      <c r="R756">
        <v>3.7841597804300418E-3</v>
      </c>
      <c r="S756">
        <v>0.45080597562461505</v>
      </c>
      <c r="T756">
        <v>4.0012039076738892</v>
      </c>
      <c r="U756">
        <v>0</v>
      </c>
      <c r="V756">
        <v>1.130476720982383E-2</v>
      </c>
      <c r="W756">
        <v>0.18785379257014082</v>
      </c>
      <c r="X756">
        <v>2.4572210503087947E-2</v>
      </c>
      <c r="Y756">
        <v>1.069432444642745E-2</v>
      </c>
    </row>
    <row r="757" spans="1:25" x14ac:dyDescent="0.25">
      <c r="A757" s="1093"/>
      <c r="B757" s="1452">
        <v>507</v>
      </c>
      <c r="C757" s="1097">
        <v>0.98090708668759807</v>
      </c>
      <c r="D757" s="1097">
        <v>0.9993653667931407</v>
      </c>
      <c r="E757" s="1097">
        <v>0.99284080228806382</v>
      </c>
      <c r="F757" s="1097">
        <v>0.99862210601476387</v>
      </c>
      <c r="G757" s="1097">
        <v>0.9718150787768991</v>
      </c>
      <c r="H757" s="1097">
        <v>0.96679874892992501</v>
      </c>
      <c r="I757" s="1097">
        <v>1.0157971746465202</v>
      </c>
      <c r="K757">
        <v>5.1734602915229333</v>
      </c>
      <c r="L757">
        <v>0</v>
      </c>
      <c r="M757">
        <v>3.6142458378686259E-3</v>
      </c>
      <c r="N757">
        <v>0.30694880802314484</v>
      </c>
      <c r="O757">
        <v>0.15131219352352754</v>
      </c>
      <c r="P757">
        <v>2.0238758345972434E-2</v>
      </c>
      <c r="Q757">
        <v>1.3211473459724327E-3</v>
      </c>
      <c r="R757">
        <v>3.6080340598811647E-3</v>
      </c>
      <c r="S757">
        <v>0.47194672452288394</v>
      </c>
      <c r="T757">
        <v>3.9907247945210655</v>
      </c>
      <c r="U757">
        <v>0</v>
      </c>
      <c r="V757">
        <v>1.1304767209823801E-2</v>
      </c>
      <c r="W757">
        <v>0.18372555724607961</v>
      </c>
      <c r="X757">
        <v>2.5747172848860793E-2</v>
      </c>
      <c r="Y757">
        <v>1.0196579713593666E-2</v>
      </c>
    </row>
    <row r="758" spans="1:25" x14ac:dyDescent="0.25">
      <c r="A758" s="1093"/>
      <c r="B758" s="1452">
        <v>508</v>
      </c>
      <c r="C758" s="1097">
        <v>1.0083105625191988</v>
      </c>
      <c r="D758" s="1097">
        <v>1.0336118052713958</v>
      </c>
      <c r="E758" s="1097">
        <v>0.97739231565188733</v>
      </c>
      <c r="F758" s="1097">
        <v>0.99414142646865788</v>
      </c>
      <c r="G758" s="1097">
        <v>1.0181270908714446</v>
      </c>
      <c r="H758" s="1097">
        <v>1.0157393236805836</v>
      </c>
      <c r="I758" s="1097">
        <v>1.0309364296597414</v>
      </c>
      <c r="K758">
        <v>5.1448468843403692</v>
      </c>
      <c r="L758">
        <v>0</v>
      </c>
      <c r="M758">
        <v>3.7479227433892272E-3</v>
      </c>
      <c r="N758">
        <v>0.30406797568190919</v>
      </c>
      <c r="O758">
        <v>0.14499590996294448</v>
      </c>
      <c r="P758">
        <v>1.9925663652715052E-2</v>
      </c>
      <c r="Q758">
        <v>1.2511999861195828E-3</v>
      </c>
      <c r="R758">
        <v>3.7417639954334123E-3</v>
      </c>
      <c r="S758">
        <v>0.47042033523695109</v>
      </c>
      <c r="T758">
        <v>3.9747606671430096</v>
      </c>
      <c r="U758">
        <v>0</v>
      </c>
      <c r="V758">
        <v>1.1304767209823822E-2</v>
      </c>
      <c r="W758">
        <v>0.18393103527439103</v>
      </c>
      <c r="X758">
        <v>2.3620978219194226E-2</v>
      </c>
      <c r="Y758">
        <v>1.057451072126191E-2</v>
      </c>
    </row>
    <row r="759" spans="1:25" x14ac:dyDescent="0.25">
      <c r="A759" s="1093"/>
      <c r="B759" s="1452">
        <v>509</v>
      </c>
      <c r="C759" s="1097">
        <v>0.97764076581483339</v>
      </c>
      <c r="D759" s="1097">
        <v>1.0088424078509646</v>
      </c>
      <c r="E759" s="1097">
        <v>1.0065790324714383</v>
      </c>
      <c r="F759" s="1097">
        <v>1.0108826868723206</v>
      </c>
      <c r="G759" s="1097">
        <v>0.95253245720803337</v>
      </c>
      <c r="H759" s="1097">
        <v>0.99403787582830649</v>
      </c>
      <c r="I759" s="1097">
        <v>1.0450579878210831</v>
      </c>
      <c r="K759">
        <v>5.27260324945994</v>
      </c>
      <c r="L759">
        <v>0</v>
      </c>
      <c r="M759">
        <v>3.6527504357803798E-3</v>
      </c>
      <c r="N759">
        <v>0.32312924910339452</v>
      </c>
      <c r="O759">
        <v>0.15270855440146797</v>
      </c>
      <c r="P759">
        <v>2.0776587230558231E-2</v>
      </c>
      <c r="Q759">
        <v>1.3362096378058137E-3</v>
      </c>
      <c r="R759">
        <v>3.6467184466017657E-3</v>
      </c>
      <c r="S759">
        <v>0.49676418756407198</v>
      </c>
      <c r="T759">
        <v>4.0379770267804256</v>
      </c>
      <c r="U759">
        <v>0</v>
      </c>
      <c r="V759">
        <v>1.1304767209823818E-2</v>
      </c>
      <c r="W759">
        <v>0.19162250719582641</v>
      </c>
      <c r="X759">
        <v>2.6684287581863038E-2</v>
      </c>
      <c r="Y759">
        <v>1.0305904743879294E-2</v>
      </c>
    </row>
    <row r="760" spans="1:25" x14ac:dyDescent="0.25">
      <c r="A760" s="1093"/>
      <c r="B760" s="1452">
        <v>510</v>
      </c>
      <c r="C760" s="1097">
        <v>1.0277113808150085</v>
      </c>
      <c r="D760" s="1097">
        <v>0.99966066412540822</v>
      </c>
      <c r="E760" s="1097">
        <v>0.96734798153315971</v>
      </c>
      <c r="F760" s="1097">
        <v>0.98445473162625929</v>
      </c>
      <c r="G760" s="1097">
        <v>0.99128333231634536</v>
      </c>
      <c r="H760" s="1097">
        <v>0.97591841716683869</v>
      </c>
      <c r="I760" s="1097">
        <v>0.97636789844751537</v>
      </c>
      <c r="K760">
        <v>5.0337364322514304</v>
      </c>
      <c r="L760">
        <v>0</v>
      </c>
      <c r="M760">
        <v>3.6211638942738704E-3</v>
      </c>
      <c r="N760">
        <v>0.28512822814153743</v>
      </c>
      <c r="O760">
        <v>0.14303483734107469</v>
      </c>
      <c r="P760">
        <v>1.9424973208828886E-2</v>
      </c>
      <c r="Q760">
        <v>1.2332376673720702E-3</v>
      </c>
      <c r="R760">
        <v>3.6149098057668408E-3</v>
      </c>
      <c r="S760">
        <v>0.42941029453884366</v>
      </c>
      <c r="T760">
        <v>3.9372890261293052</v>
      </c>
      <c r="U760">
        <v>0</v>
      </c>
      <c r="V760">
        <v>1.130476720982382E-2</v>
      </c>
      <c r="W760">
        <v>0.17367161440557827</v>
      </c>
      <c r="X760">
        <v>2.3029696601168454E-2</v>
      </c>
      <c r="Y760">
        <v>1.0216011096404951E-2</v>
      </c>
    </row>
    <row r="761" spans="1:25" x14ac:dyDescent="0.25">
      <c r="A761" s="1093"/>
      <c r="B761" s="1452">
        <v>511</v>
      </c>
      <c r="C761" s="1097">
        <v>0.99518678481293632</v>
      </c>
      <c r="D761" s="1097">
        <v>0.99926059404271872</v>
      </c>
      <c r="E761" s="1097">
        <v>0.98440987618258147</v>
      </c>
      <c r="F761" s="1097">
        <v>0.99373104857827954</v>
      </c>
      <c r="G761" s="1097">
        <v>1.0022456422512493</v>
      </c>
      <c r="H761" s="1097">
        <v>1.0025538171873911</v>
      </c>
      <c r="I761" s="1097">
        <v>0.99233489455520962</v>
      </c>
      <c r="K761">
        <v>5.1443566723785246</v>
      </c>
      <c r="L761">
        <v>0</v>
      </c>
      <c r="M761">
        <v>3.7419607453873524E-3</v>
      </c>
      <c r="N761">
        <v>0.30996492996389935</v>
      </c>
      <c r="O761">
        <v>0.14865114980181746</v>
      </c>
      <c r="P761">
        <v>1.9970310121531311E-2</v>
      </c>
      <c r="Q761">
        <v>1.2928016326916362E-3</v>
      </c>
      <c r="R761">
        <v>3.7357283555258559E-3</v>
      </c>
      <c r="S761">
        <v>0.45922033419053543</v>
      </c>
      <c r="T761">
        <v>3.9722365078090589</v>
      </c>
      <c r="U761">
        <v>0</v>
      </c>
      <c r="V761">
        <v>1.1304767209823811E-2</v>
      </c>
      <c r="W761">
        <v>0.18659934032681919</v>
      </c>
      <c r="X761">
        <v>2.4565310170127291E-2</v>
      </c>
      <c r="Y761">
        <v>1.0557453542083846E-2</v>
      </c>
    </row>
    <row r="762" spans="1:25" x14ac:dyDescent="0.25">
      <c r="A762" s="1093"/>
      <c r="B762" s="1452">
        <v>512</v>
      </c>
      <c r="C762" s="1097">
        <v>1.0081278927346486</v>
      </c>
      <c r="D762" s="1097">
        <v>1.0386303106759844</v>
      </c>
      <c r="E762" s="1097">
        <v>1.0126553449053604</v>
      </c>
      <c r="F762" s="1097">
        <v>1.0095125610182794</v>
      </c>
      <c r="G762" s="1097">
        <v>0.97897243309645854</v>
      </c>
      <c r="H762" s="1097">
        <v>0.99912556396286312</v>
      </c>
      <c r="I762" s="1097">
        <v>1.0197444233764794</v>
      </c>
      <c r="K762">
        <v>5.2119116830901406</v>
      </c>
      <c r="L762">
        <v>0</v>
      </c>
      <c r="M762">
        <v>3.4697014119541305E-3</v>
      </c>
      <c r="N762">
        <v>0.31251040811058661</v>
      </c>
      <c r="O762">
        <v>0.14601146871391543</v>
      </c>
      <c r="P762">
        <v>2.0708833521124001E-2</v>
      </c>
      <c r="Q762">
        <v>1.2874520123557218E-3</v>
      </c>
      <c r="R762">
        <v>3.4639931541280543E-3</v>
      </c>
      <c r="S762">
        <v>0.46788028622159283</v>
      </c>
      <c r="T762">
        <v>4.0317373839889008</v>
      </c>
      <c r="U762">
        <v>0</v>
      </c>
      <c r="V762">
        <v>1.130476720982382E-2</v>
      </c>
      <c r="W762">
        <v>0.18457069491270459</v>
      </c>
      <c r="X762">
        <v>2.6116587540029743E-2</v>
      </c>
      <c r="Y762">
        <v>9.7895091169324482E-3</v>
      </c>
    </row>
    <row r="763" spans="1:25" x14ac:dyDescent="0.25">
      <c r="A763" s="1093"/>
      <c r="B763" s="1452">
        <v>513</v>
      </c>
      <c r="C763" s="1097">
        <v>0.98353590716768957</v>
      </c>
      <c r="D763" s="1097">
        <v>0.97582286053099188</v>
      </c>
      <c r="E763" s="1097">
        <v>0.97085273954514784</v>
      </c>
      <c r="F763" s="1097">
        <v>1.0262745855169635</v>
      </c>
      <c r="G763" s="1097">
        <v>1.0414386711067294</v>
      </c>
      <c r="H763" s="1097">
        <v>1.0071888765104768</v>
      </c>
      <c r="I763" s="1097">
        <v>1.0078882044522905</v>
      </c>
      <c r="K763">
        <v>5.3408021786984863</v>
      </c>
      <c r="L763">
        <v>0</v>
      </c>
      <c r="M763">
        <v>4.0800677912419146E-3</v>
      </c>
      <c r="N763">
        <v>0.32466286733293759</v>
      </c>
      <c r="O763">
        <v>0.15721704553891189</v>
      </c>
      <c r="P763">
        <v>2.0480320748741215E-2</v>
      </c>
      <c r="Q763">
        <v>1.3051211914760436E-3</v>
      </c>
      <c r="R763">
        <v>4.0735176929093979E-3</v>
      </c>
      <c r="S763">
        <v>0.4880653086789743</v>
      </c>
      <c r="T763">
        <v>4.104087807987681</v>
      </c>
      <c r="U763">
        <v>0</v>
      </c>
      <c r="V763">
        <v>1.130476720982381E-2</v>
      </c>
      <c r="W763">
        <v>0.19727434883506914</v>
      </c>
      <c r="X763">
        <v>2.489906927467983E-2</v>
      </c>
      <c r="Y763">
        <v>1.1512071998525667E-2</v>
      </c>
    </row>
    <row r="764" spans="1:25" x14ac:dyDescent="0.25">
      <c r="A764" s="1093"/>
      <c r="B764" s="1452">
        <v>514</v>
      </c>
      <c r="C764" s="1097">
        <v>0.99840924022480926</v>
      </c>
      <c r="D764" s="1097">
        <v>1.0381222727702175</v>
      </c>
      <c r="E764" s="1097">
        <v>0.98767238118995759</v>
      </c>
      <c r="F764" s="1097">
        <v>0.9782373949334261</v>
      </c>
      <c r="G764" s="1097">
        <v>0.98750051217382262</v>
      </c>
      <c r="H764" s="1097">
        <v>1.0380476375122696</v>
      </c>
      <c r="I764" s="1097">
        <v>1.0246742195425331</v>
      </c>
      <c r="K764">
        <v>5.0875713206343764</v>
      </c>
      <c r="L764">
        <v>0</v>
      </c>
      <c r="M764">
        <v>3.7186597911664952E-3</v>
      </c>
      <c r="N764">
        <v>0.31103984136065177</v>
      </c>
      <c r="O764">
        <v>0.14356440918906985</v>
      </c>
      <c r="P764">
        <v>1.9785399715613178E-2</v>
      </c>
      <c r="Q764">
        <v>1.2726974330274235E-3</v>
      </c>
      <c r="R764">
        <v>3.7125834051331911E-3</v>
      </c>
      <c r="S764">
        <v>0.46958518642618124</v>
      </c>
      <c r="T764">
        <v>3.9099004700451485</v>
      </c>
      <c r="U764">
        <v>0</v>
      </c>
      <c r="V764">
        <v>1.1304767209823808E-2</v>
      </c>
      <c r="W764">
        <v>0.18683007950560843</v>
      </c>
      <c r="X764">
        <v>2.3802501990046382E-2</v>
      </c>
      <c r="Y764">
        <v>1.0492044145240803E-2</v>
      </c>
    </row>
    <row r="765" spans="1:25" x14ac:dyDescent="0.25">
      <c r="A765" s="1093"/>
      <c r="B765" s="1452">
        <v>515</v>
      </c>
      <c r="C765" s="1097">
        <v>1.0286434880521251</v>
      </c>
      <c r="D765" s="1097">
        <v>1.0055674300731097</v>
      </c>
      <c r="E765" s="1097">
        <v>0.99508059832347662</v>
      </c>
      <c r="F765" s="1097">
        <v>1.0384286141635526</v>
      </c>
      <c r="G765" s="1097">
        <v>1.0176822667813372</v>
      </c>
      <c r="H765" s="1097">
        <v>1.0394405702966723</v>
      </c>
      <c r="I765" s="1097">
        <v>0.99525522110817777</v>
      </c>
      <c r="K765">
        <v>5.3601000875054607</v>
      </c>
      <c r="L765">
        <v>0</v>
      </c>
      <c r="M765">
        <v>3.8253460390331078E-3</v>
      </c>
      <c r="N765">
        <v>0.32710057526114245</v>
      </c>
      <c r="O765">
        <v>0.14960819895206168</v>
      </c>
      <c r="P765">
        <v>2.0977680076835994E-2</v>
      </c>
      <c r="Q765">
        <v>1.2591467795643563E-3</v>
      </c>
      <c r="R765">
        <v>3.8194649524703928E-3</v>
      </c>
      <c r="S765">
        <v>0.46873647744240016</v>
      </c>
      <c r="T765">
        <v>4.149507954914613</v>
      </c>
      <c r="U765">
        <v>0</v>
      </c>
      <c r="V765">
        <v>1.1304767209823815E-2</v>
      </c>
      <c r="W765">
        <v>0.19549010702579914</v>
      </c>
      <c r="X765">
        <v>2.5326961371745442E-2</v>
      </c>
      <c r="Y765">
        <v>1.0794099558035857E-2</v>
      </c>
    </row>
    <row r="766" spans="1:25" x14ac:dyDescent="0.25">
      <c r="A766" s="1093"/>
      <c r="B766" s="1452">
        <v>516</v>
      </c>
      <c r="C766" s="1097">
        <v>0.98500564694224324</v>
      </c>
      <c r="D766" s="1097">
        <v>1.0042480499798483</v>
      </c>
      <c r="E766" s="1097">
        <v>1.001024184805873</v>
      </c>
      <c r="F766" s="1097">
        <v>1.0259940336241704</v>
      </c>
      <c r="G766" s="1097">
        <v>0.98064682962864691</v>
      </c>
      <c r="H766" s="1097">
        <v>1.005056757886035</v>
      </c>
      <c r="I766" s="1097">
        <v>0.99219173915994874</v>
      </c>
      <c r="K766">
        <v>5.3239894698429575</v>
      </c>
      <c r="L766">
        <v>0</v>
      </c>
      <c r="M766">
        <v>3.7710141539179249E-3</v>
      </c>
      <c r="N766">
        <v>0.32816087282643003</v>
      </c>
      <c r="O766">
        <v>0.15427438784410405</v>
      </c>
      <c r="P766">
        <v>2.0876869457054872E-2</v>
      </c>
      <c r="Q766">
        <v>1.3223474187281567E-3</v>
      </c>
      <c r="R766">
        <v>3.764945708041608E-3</v>
      </c>
      <c r="S766">
        <v>0.47653148508896864</v>
      </c>
      <c r="T766">
        <v>4.099053669308236</v>
      </c>
      <c r="U766">
        <v>0</v>
      </c>
      <c r="V766">
        <v>1.130476720982383E-2</v>
      </c>
      <c r="W766">
        <v>0.19533647832805984</v>
      </c>
      <c r="X766">
        <v>2.6494636796487631E-2</v>
      </c>
      <c r="Y766">
        <v>1.0640024010932701E-2</v>
      </c>
    </row>
    <row r="767" spans="1:25" x14ac:dyDescent="0.25">
      <c r="A767" s="1093"/>
      <c r="B767" s="1452">
        <v>517</v>
      </c>
      <c r="C767" s="1097">
        <v>1.0284390093862155</v>
      </c>
      <c r="D767" s="1097">
        <v>0.99653410657341523</v>
      </c>
      <c r="E767" s="1097">
        <v>1.0076965891260918</v>
      </c>
      <c r="F767" s="1097">
        <v>1.0035975442421818</v>
      </c>
      <c r="G767" s="1097">
        <v>1.0045181275086679</v>
      </c>
      <c r="H767" s="1097">
        <v>1.0025203610059945</v>
      </c>
      <c r="I767" s="1097">
        <v>0.98549134441152098</v>
      </c>
      <c r="K767">
        <v>5.1598335724110491</v>
      </c>
      <c r="L767">
        <v>0</v>
      </c>
      <c r="M767">
        <v>3.4856539437899056E-3</v>
      </c>
      <c r="N767">
        <v>0.30937040419001693</v>
      </c>
      <c r="O767">
        <v>0.14479856238130184</v>
      </c>
      <c r="P767">
        <v>2.0424167316232381E-2</v>
      </c>
      <c r="Q767">
        <v>1.2776794258489452E-3</v>
      </c>
      <c r="R767">
        <v>3.4799052318789307E-3</v>
      </c>
      <c r="S767">
        <v>0.44520900679484943</v>
      </c>
      <c r="T767">
        <v>4.0087361363186851</v>
      </c>
      <c r="U767">
        <v>0</v>
      </c>
      <c r="V767">
        <v>1.1304767209823817E-2</v>
      </c>
      <c r="W767">
        <v>0.18332536583003928</v>
      </c>
      <c r="X767">
        <v>2.555875379267681E-2</v>
      </c>
      <c r="Y767">
        <v>9.8344778634860876E-3</v>
      </c>
    </row>
    <row r="768" spans="1:25" x14ac:dyDescent="0.25">
      <c r="A768" s="1093"/>
      <c r="B768" s="1452">
        <v>518</v>
      </c>
      <c r="C768" s="1097">
        <v>1.0183218250382744</v>
      </c>
      <c r="D768" s="1097">
        <v>0.98407034176529551</v>
      </c>
      <c r="E768" s="1097">
        <v>1.0199513461351719</v>
      </c>
      <c r="F768" s="1097">
        <v>0.99328890957332994</v>
      </c>
      <c r="G768" s="1097">
        <v>0.9779946445076958</v>
      </c>
      <c r="H768" s="1097">
        <v>0.96366473262613539</v>
      </c>
      <c r="I768" s="1097">
        <v>0.97528291935614897</v>
      </c>
      <c r="K768">
        <v>5.0944854520292404</v>
      </c>
      <c r="L768">
        <v>0</v>
      </c>
      <c r="M768">
        <v>3.2801106786998248E-3</v>
      </c>
      <c r="N768">
        <v>0.3018558552684058</v>
      </c>
      <c r="O768">
        <v>0.14513061245780789</v>
      </c>
      <c r="P768">
        <v>2.0366424644878544E-2</v>
      </c>
      <c r="Q768">
        <v>1.310458256825295E-3</v>
      </c>
      <c r="R768">
        <v>3.2744245254173344E-3</v>
      </c>
      <c r="S768">
        <v>0.43527720182208129</v>
      </c>
      <c r="T768">
        <v>3.9660413396057215</v>
      </c>
      <c r="U768">
        <v>0</v>
      </c>
      <c r="V768">
        <v>1.1304767209823825E-2</v>
      </c>
      <c r="W768">
        <v>0.17741069245996649</v>
      </c>
      <c r="X768">
        <v>2.6540012757689906E-2</v>
      </c>
      <c r="Y768">
        <v>9.2537736993158048E-3</v>
      </c>
    </row>
    <row r="769" spans="1:25" x14ac:dyDescent="0.25">
      <c r="A769" s="1093"/>
      <c r="B769" s="1452">
        <v>519</v>
      </c>
      <c r="C769" s="1097">
        <v>1.0018528817228016</v>
      </c>
      <c r="D769" s="1097">
        <v>1.0294582004005484</v>
      </c>
      <c r="E769" s="1097">
        <v>0.99826554882472895</v>
      </c>
      <c r="F769" s="1097">
        <v>0.97390364256679518</v>
      </c>
      <c r="G769" s="1097">
        <v>0.9526827416931799</v>
      </c>
      <c r="H769" s="1097">
        <v>1.0071025536721931</v>
      </c>
      <c r="I769" s="1097">
        <v>0.99156557399060075</v>
      </c>
      <c r="K769">
        <v>5.0309709984248281</v>
      </c>
      <c r="L769">
        <v>0</v>
      </c>
      <c r="M769">
        <v>3.5123725110794961E-3</v>
      </c>
      <c r="N769">
        <v>0.30314012317817263</v>
      </c>
      <c r="O769">
        <v>0.14263213408061962</v>
      </c>
      <c r="P769">
        <v>1.9753309121093694E-2</v>
      </c>
      <c r="Q769">
        <v>1.2842401547536189E-3</v>
      </c>
      <c r="R769">
        <v>3.5064305738715662E-3</v>
      </c>
      <c r="S769">
        <v>0.446386718376453</v>
      </c>
      <c r="T769">
        <v>3.8912793946373578</v>
      </c>
      <c r="U769">
        <v>0</v>
      </c>
      <c r="V769">
        <v>1.1304767209823815E-2</v>
      </c>
      <c r="W769">
        <v>0.18077980422414666</v>
      </c>
      <c r="X769">
        <v>2.4507008874543629E-2</v>
      </c>
      <c r="Y769">
        <v>9.9094405050713409E-3</v>
      </c>
    </row>
    <row r="770" spans="1:25" x14ac:dyDescent="0.25">
      <c r="A770" s="1093"/>
      <c r="B770" s="1452">
        <v>520</v>
      </c>
      <c r="C770" s="1097">
        <v>1.0192258026012881</v>
      </c>
      <c r="D770" s="1097">
        <v>0.98715758229834927</v>
      </c>
      <c r="E770" s="1097">
        <v>0.98375032522471584</v>
      </c>
      <c r="F770" s="1097">
        <v>1.0150657566995986</v>
      </c>
      <c r="G770" s="1097">
        <v>0.98955405783705086</v>
      </c>
      <c r="H770" s="1097">
        <v>1.0390133680213882</v>
      </c>
      <c r="I770" s="1097">
        <v>0.9778983547411304</v>
      </c>
      <c r="K770">
        <v>5.2480492502788687</v>
      </c>
      <c r="L770">
        <v>0</v>
      </c>
      <c r="M770">
        <v>3.8920244902438074E-3</v>
      </c>
      <c r="N770">
        <v>0.32179499006121032</v>
      </c>
      <c r="O770">
        <v>0.14900410751380486</v>
      </c>
      <c r="P770">
        <v>2.0336457577840906E-2</v>
      </c>
      <c r="Q770">
        <v>1.2677540361756298E-3</v>
      </c>
      <c r="R770">
        <v>3.8859008815129437E-3</v>
      </c>
      <c r="S770">
        <v>0.45757187149145884</v>
      </c>
      <c r="T770">
        <v>4.0576023215328965</v>
      </c>
      <c r="U770">
        <v>0</v>
      </c>
      <c r="V770">
        <v>1.1304767209823804E-2</v>
      </c>
      <c r="W770">
        <v>0.19380836890171768</v>
      </c>
      <c r="X770">
        <v>2.4382882997019101E-2</v>
      </c>
      <c r="Y770">
        <v>1.0981852565653349E-2</v>
      </c>
    </row>
    <row r="771" spans="1:25" x14ac:dyDescent="0.25">
      <c r="A771" s="1093"/>
      <c r="B771" s="1452">
        <v>521</v>
      </c>
      <c r="C771" s="1097">
        <v>0.99596083252049683</v>
      </c>
      <c r="D771" s="1097">
        <v>0.98900393133963349</v>
      </c>
      <c r="E771" s="1097">
        <v>0.98991862410038367</v>
      </c>
      <c r="F771" s="1097">
        <v>0.97778560599640563</v>
      </c>
      <c r="G771" s="1097">
        <v>1.0283983628975371</v>
      </c>
      <c r="H771" s="1097">
        <v>0.97711815173148453</v>
      </c>
      <c r="I771" s="1097">
        <v>1.0277662813081907</v>
      </c>
      <c r="K771">
        <v>5.0660108793596219</v>
      </c>
      <c r="L771">
        <v>0</v>
      </c>
      <c r="M771">
        <v>3.5591941528425567E-3</v>
      </c>
      <c r="N771">
        <v>0.29966046004108221</v>
      </c>
      <c r="O771">
        <v>0.14660545763697744</v>
      </c>
      <c r="P771">
        <v>1.9788792882875089E-2</v>
      </c>
      <c r="Q771">
        <v>1.3033280616974125E-3</v>
      </c>
      <c r="R771">
        <v>3.5530128350526012E-3</v>
      </c>
      <c r="S771">
        <v>0.46499938578643729</v>
      </c>
      <c r="T771">
        <v>3.9078175141880549</v>
      </c>
      <c r="U771">
        <v>0</v>
      </c>
      <c r="V771">
        <v>1.1304767209823827E-2</v>
      </c>
      <c r="W771">
        <v>0.17971976569804188</v>
      </c>
      <c r="X771">
        <v>2.477650364085858E-2</v>
      </c>
      <c r="Y771">
        <v>1.0041085531556346E-2</v>
      </c>
    </row>
    <row r="772" spans="1:25" x14ac:dyDescent="0.25">
      <c r="A772" s="1093"/>
      <c r="B772" s="1452">
        <v>522</v>
      </c>
      <c r="C772" s="1097">
        <v>1.00629483356767</v>
      </c>
      <c r="D772" s="1097">
        <v>0.96292564094738331</v>
      </c>
      <c r="E772" s="1097">
        <v>1.0403716981244484</v>
      </c>
      <c r="F772" s="1097">
        <v>1.008655617030882</v>
      </c>
      <c r="G772" s="1097">
        <v>1.0393283807764742</v>
      </c>
      <c r="H772" s="1097">
        <v>0.9711912064637086</v>
      </c>
      <c r="I772" s="1097">
        <v>0.99223355153892068</v>
      </c>
      <c r="K772">
        <v>5.2103221040517731</v>
      </c>
      <c r="L772">
        <v>0</v>
      </c>
      <c r="M772">
        <v>3.2816704517188312E-3</v>
      </c>
      <c r="N772">
        <v>0.32080535212344452</v>
      </c>
      <c r="O772">
        <v>0.14986011395495935</v>
      </c>
      <c r="P772">
        <v>2.1049115079327201E-2</v>
      </c>
      <c r="Q772">
        <v>1.360858336611182E-3</v>
      </c>
      <c r="R772">
        <v>3.2761115373581172E-3</v>
      </c>
      <c r="S772">
        <v>0.45727415948635658</v>
      </c>
      <c r="T772">
        <v>4.0248489423934881</v>
      </c>
      <c r="U772">
        <v>0</v>
      </c>
      <c r="V772">
        <v>1.1304767209823824E-2</v>
      </c>
      <c r="W772">
        <v>0.1860153303380167</v>
      </c>
      <c r="X772">
        <v>2.85504827202465E-2</v>
      </c>
      <c r="Y772">
        <v>9.2585413238577257E-3</v>
      </c>
    </row>
    <row r="773" spans="1:25" x14ac:dyDescent="0.25">
      <c r="A773" s="1093"/>
      <c r="B773" s="1452">
        <v>523</v>
      </c>
      <c r="C773" s="1097">
        <v>0.99334511201203934</v>
      </c>
      <c r="D773" s="1097">
        <v>0.97926886475554453</v>
      </c>
      <c r="E773" s="1097">
        <v>0.9860701935100491</v>
      </c>
      <c r="F773" s="1097">
        <v>0.99124265456754523</v>
      </c>
      <c r="G773" s="1097">
        <v>1.0177089010699958</v>
      </c>
      <c r="H773" s="1097">
        <v>0.96897459566623534</v>
      </c>
      <c r="I773" s="1097">
        <v>0.99760373715291251</v>
      </c>
      <c r="K773">
        <v>5.1206994947117375</v>
      </c>
      <c r="L773">
        <v>0</v>
      </c>
      <c r="M773">
        <v>3.6309228260870538E-3</v>
      </c>
      <c r="N773">
        <v>0.30223321762684652</v>
      </c>
      <c r="O773">
        <v>0.14971307390781763</v>
      </c>
      <c r="P773">
        <v>1.9940078140798279E-2</v>
      </c>
      <c r="Q773">
        <v>1.3075878479094881E-3</v>
      </c>
      <c r="R773">
        <v>3.6246501225234268E-3</v>
      </c>
      <c r="S773">
        <v>0.45708838055377149</v>
      </c>
      <c r="T773">
        <v>3.9620815985442932</v>
      </c>
      <c r="U773">
        <v>0</v>
      </c>
      <c r="V773">
        <v>1.1304767209823811E-2</v>
      </c>
      <c r="W773">
        <v>0.18173872392438156</v>
      </c>
      <c r="X773">
        <v>2.5054801684461649E-2</v>
      </c>
      <c r="Y773">
        <v>1.0243537975197071E-2</v>
      </c>
    </row>
    <row r="774" spans="1:25" x14ac:dyDescent="0.25">
      <c r="A774" s="1093"/>
      <c r="B774" s="1452">
        <v>524</v>
      </c>
      <c r="C774" s="1097">
        <v>0.99912382037570791</v>
      </c>
      <c r="D774" s="1097">
        <v>1.0139080024296567</v>
      </c>
      <c r="E774" s="1097">
        <v>1.0010558759566395</v>
      </c>
      <c r="F774" s="1097">
        <v>0.98085398682338643</v>
      </c>
      <c r="G774" s="1097">
        <v>0.99763535435123563</v>
      </c>
      <c r="H774" s="1097">
        <v>0.98335187240632427</v>
      </c>
      <c r="I774" s="1097">
        <v>0.97975678210589345</v>
      </c>
      <c r="K774">
        <v>5.0538579703474609</v>
      </c>
      <c r="L774">
        <v>0</v>
      </c>
      <c r="M774">
        <v>3.4641426777230581E-3</v>
      </c>
      <c r="N774">
        <v>0.30145109073283821</v>
      </c>
      <c r="O774">
        <v>0.14484621849750345</v>
      </c>
      <c r="P774">
        <v>1.9899272335230259E-2</v>
      </c>
      <c r="Q774">
        <v>1.298714666644488E-3</v>
      </c>
      <c r="R774">
        <v>3.4581832455776204E-3</v>
      </c>
      <c r="S774">
        <v>0.44199027510749689</v>
      </c>
      <c r="T774">
        <v>3.9187061520373039</v>
      </c>
      <c r="U774">
        <v>0</v>
      </c>
      <c r="V774">
        <v>1.1304767209823803E-2</v>
      </c>
      <c r="W774">
        <v>0.17943374415519764</v>
      </c>
      <c r="X774">
        <v>2.5160605165766282E-2</v>
      </c>
      <c r="Y774">
        <v>9.7730898718033869E-3</v>
      </c>
    </row>
    <row r="775" spans="1:25" x14ac:dyDescent="0.25">
      <c r="A775" s="1093"/>
      <c r="B775" s="1452">
        <v>525</v>
      </c>
      <c r="C775" s="1097">
        <v>0.96488080373303742</v>
      </c>
      <c r="D775" s="1097">
        <v>0.99444862728814332</v>
      </c>
      <c r="E775" s="1097">
        <v>1.0020664951307414</v>
      </c>
      <c r="F775" s="1097">
        <v>0.98938121004466861</v>
      </c>
      <c r="G775" s="1097">
        <v>0.99732349988378899</v>
      </c>
      <c r="H775" s="1097">
        <v>0.99654080081990526</v>
      </c>
      <c r="I775" s="1097">
        <v>1.0112115738043306</v>
      </c>
      <c r="K775">
        <v>5.1680563585977257</v>
      </c>
      <c r="L775">
        <v>0</v>
      </c>
      <c r="M775">
        <v>3.6874188134728937E-3</v>
      </c>
      <c r="N775">
        <v>0.32185490171069819</v>
      </c>
      <c r="O775">
        <v>0.15243904828315608</v>
      </c>
      <c r="P775">
        <v>2.0242831180202054E-2</v>
      </c>
      <c r="Q775">
        <v>1.3564433299585483E-3</v>
      </c>
      <c r="R775">
        <v>3.6812130891984342E-3</v>
      </c>
      <c r="S775">
        <v>0.48017449063769835</v>
      </c>
      <c r="T775">
        <v>3.9526486528279285</v>
      </c>
      <c r="U775">
        <v>0</v>
      </c>
      <c r="V775">
        <v>1.1304767209823824E-2</v>
      </c>
      <c r="W775">
        <v>0.19144809796086115</v>
      </c>
      <c r="X775">
        <v>2.6189941944270573E-2</v>
      </c>
      <c r="Y775">
        <v>1.040338923739886E-2</v>
      </c>
    </row>
    <row r="776" spans="1:25" x14ac:dyDescent="0.25">
      <c r="A776" s="1093"/>
      <c r="B776" s="1452">
        <v>526</v>
      </c>
      <c r="C776" s="1097">
        <v>0.967283709010335</v>
      </c>
      <c r="D776" s="1097">
        <v>1.0019460501913648</v>
      </c>
      <c r="E776" s="1097">
        <v>0.96785508409331955</v>
      </c>
      <c r="F776" s="1097">
        <v>0.98402177981105421</v>
      </c>
      <c r="G776" s="1097">
        <v>1.0124427382800112</v>
      </c>
      <c r="H776" s="1097">
        <v>1.0212671567203435</v>
      </c>
      <c r="I776" s="1097">
        <v>1.0276261811803145</v>
      </c>
      <c r="K776">
        <v>5.1528906879440495</v>
      </c>
      <c r="L776">
        <v>0</v>
      </c>
      <c r="M776">
        <v>4.0164512078038096E-3</v>
      </c>
      <c r="N776">
        <v>0.31675369164449396</v>
      </c>
      <c r="O776">
        <v>0.15175058141509076</v>
      </c>
      <c r="P776">
        <v>1.968770183898266E-2</v>
      </c>
      <c r="Q776">
        <v>1.3096645426824082E-3</v>
      </c>
      <c r="R776">
        <v>4.0098195332834187E-3</v>
      </c>
      <c r="S776">
        <v>0.48867306726250392</v>
      </c>
      <c r="T776">
        <v>3.935493851529916</v>
      </c>
      <c r="U776">
        <v>0</v>
      </c>
      <c r="V776">
        <v>1.1304767209823822E-2</v>
      </c>
      <c r="W776">
        <v>0.19286709556388879</v>
      </c>
      <c r="X776">
        <v>2.3724842474887518E-2</v>
      </c>
      <c r="Y776">
        <v>1.1332056136298219E-2</v>
      </c>
    </row>
    <row r="777" spans="1:25" x14ac:dyDescent="0.25">
      <c r="A777" s="1093"/>
      <c r="B777" s="1452">
        <v>527</v>
      </c>
      <c r="C777" s="1097">
        <v>0.98330810601060969</v>
      </c>
      <c r="D777" s="1097">
        <v>0.98828758748792922</v>
      </c>
      <c r="E777" s="1097">
        <v>1.0211457149561931</v>
      </c>
      <c r="F777" s="1097">
        <v>1.0152438488864497</v>
      </c>
      <c r="G777" s="1097">
        <v>1.0072039800810011</v>
      </c>
      <c r="H777" s="1097">
        <v>0.97685632072536566</v>
      </c>
      <c r="I777" s="1097">
        <v>1.0102746948536807</v>
      </c>
      <c r="K777">
        <v>5.2697198681444295</v>
      </c>
      <c r="L777">
        <v>0</v>
      </c>
      <c r="M777">
        <v>3.504524315362871E-3</v>
      </c>
      <c r="N777">
        <v>0.32366892569423489</v>
      </c>
      <c r="O777">
        <v>0.1533234778868367</v>
      </c>
      <c r="P777">
        <v>2.0984723491648979E-2</v>
      </c>
      <c r="Q777">
        <v>1.3561712416973444E-3</v>
      </c>
      <c r="R777">
        <v>3.4986605669845208E-3</v>
      </c>
      <c r="S777">
        <v>0.47774409638277221</v>
      </c>
      <c r="T777">
        <v>4.0535530813041056</v>
      </c>
      <c r="U777">
        <v>0</v>
      </c>
      <c r="V777">
        <v>1.130476720982382E-2</v>
      </c>
      <c r="W777">
        <v>0.19007957542276827</v>
      </c>
      <c r="X777">
        <v>2.7823431386523444E-2</v>
      </c>
      <c r="Y777">
        <v>9.8874818723965856E-3</v>
      </c>
    </row>
    <row r="778" spans="1:25" x14ac:dyDescent="0.25">
      <c r="A778" s="1093"/>
      <c r="B778" s="1452">
        <v>528</v>
      </c>
      <c r="C778" s="1097">
        <v>1.0214757345704444</v>
      </c>
      <c r="D778" s="1097">
        <v>0.97413732923329266</v>
      </c>
      <c r="E778" s="1097">
        <v>0.99509506497238265</v>
      </c>
      <c r="F778" s="1097">
        <v>1.0391036321590028</v>
      </c>
      <c r="G778" s="1097">
        <v>0.9847143874507206</v>
      </c>
      <c r="H778" s="1097">
        <v>0.99969737085267685</v>
      </c>
      <c r="I778" s="1097">
        <v>1.0274703524969102</v>
      </c>
      <c r="K778">
        <v>5.3708528227107299</v>
      </c>
      <c r="L778">
        <v>0</v>
      </c>
      <c r="M778">
        <v>3.7545802347432092E-3</v>
      </c>
      <c r="N778">
        <v>0.32104392617139477</v>
      </c>
      <c r="O778">
        <v>0.15268264164693057</v>
      </c>
      <c r="P778">
        <v>2.1053770679543036E-2</v>
      </c>
      <c r="Q778">
        <v>1.2842068796618136E-3</v>
      </c>
      <c r="R778">
        <v>3.7485823573689559E-3</v>
      </c>
      <c r="S778">
        <v>0.48277894027996249</v>
      </c>
      <c r="T778">
        <v>4.1522034007966289</v>
      </c>
      <c r="U778">
        <v>0</v>
      </c>
      <c r="V778">
        <v>1.1304767209823815E-2</v>
      </c>
      <c r="W778">
        <v>0.19186849713379894</v>
      </c>
      <c r="X778">
        <v>2.6044889857708961E-2</v>
      </c>
      <c r="Y778">
        <v>1.0593779932649065E-2</v>
      </c>
    </row>
    <row r="779" spans="1:25" x14ac:dyDescent="0.25">
      <c r="A779" s="1093"/>
      <c r="B779" s="1452">
        <v>529</v>
      </c>
      <c r="C779" s="1097">
        <v>0.98595819507303595</v>
      </c>
      <c r="D779" s="1097">
        <v>1.0167677614477089</v>
      </c>
      <c r="E779" s="1097">
        <v>1.0016180671299384</v>
      </c>
      <c r="F779" s="1097">
        <v>1.0222418409627458</v>
      </c>
      <c r="G779" s="1097">
        <v>0.99448841637788177</v>
      </c>
      <c r="H779" s="1097">
        <v>0.9947725443929436</v>
      </c>
      <c r="I779" s="1097">
        <v>0.9954277591241244</v>
      </c>
      <c r="K779">
        <v>5.2934147852037219</v>
      </c>
      <c r="L779">
        <v>0</v>
      </c>
      <c r="M779">
        <v>3.6922185424624861E-3</v>
      </c>
      <c r="N779">
        <v>0.32186246870794838</v>
      </c>
      <c r="O779">
        <v>0.15278550963762844</v>
      </c>
      <c r="P779">
        <v>2.0801584849805484E-2</v>
      </c>
      <c r="Q779">
        <v>1.3152076984854599E-3</v>
      </c>
      <c r="R779">
        <v>3.6861934721247021E-3</v>
      </c>
      <c r="S779">
        <v>0.47303718431063341</v>
      </c>
      <c r="T779">
        <v>4.0839867259879856</v>
      </c>
      <c r="U779">
        <v>0</v>
      </c>
      <c r="V779">
        <v>1.1304767209823818E-2</v>
      </c>
      <c r="W779">
        <v>0.19151056095101929</v>
      </c>
      <c r="X779">
        <v>2.6399336740946411E-2</v>
      </c>
      <c r="Y779">
        <v>1.0417464179782742E-2</v>
      </c>
    </row>
    <row r="780" spans="1:25" x14ac:dyDescent="0.25">
      <c r="A780" s="1093"/>
      <c r="B780" s="1452">
        <v>530</v>
      </c>
      <c r="C780" s="1097">
        <v>0.99475226451500431</v>
      </c>
      <c r="D780" s="1097">
        <v>0.99058024906070541</v>
      </c>
      <c r="E780" s="1097">
        <v>1.0067927492320312</v>
      </c>
      <c r="F780" s="1097">
        <v>1.0000223815477023</v>
      </c>
      <c r="G780" s="1097">
        <v>0.99301572485646883</v>
      </c>
      <c r="H780" s="1097">
        <v>0.974222004302293</v>
      </c>
      <c r="I780" s="1097">
        <v>1.0062931687274248</v>
      </c>
      <c r="K780">
        <v>5.1712841614996288</v>
      </c>
      <c r="L780">
        <v>0</v>
      </c>
      <c r="M780">
        <v>3.5045630159966832E-3</v>
      </c>
      <c r="N780">
        <v>0.31020047521662203</v>
      </c>
      <c r="O780">
        <v>0.14955217230977808</v>
      </c>
      <c r="P780">
        <v>2.0430603532725421E-2</v>
      </c>
      <c r="Q780">
        <v>1.323096866632602E-3</v>
      </c>
      <c r="R780">
        <v>3.4985940003061781E-3</v>
      </c>
      <c r="S780">
        <v>0.46376915874239805</v>
      </c>
      <c r="T780">
        <v>3.9945687223618602</v>
      </c>
      <c r="U780">
        <v>0</v>
      </c>
      <c r="V780">
        <v>1.1304767209823811E-2</v>
      </c>
      <c r="W780">
        <v>0.18392902020811117</v>
      </c>
      <c r="X780">
        <v>2.6324820317489287E-2</v>
      </c>
      <c r="Y780">
        <v>9.8872937498814661E-3</v>
      </c>
    </row>
    <row r="781" spans="1:25" x14ac:dyDescent="0.25">
      <c r="A781" s="1093"/>
      <c r="B781" s="1452">
        <v>531</v>
      </c>
      <c r="C781" s="1097">
        <v>1.000932819981051</v>
      </c>
      <c r="D781" s="1097">
        <v>1.0098420073096355</v>
      </c>
      <c r="E781" s="1097">
        <v>0.99150027816878716</v>
      </c>
      <c r="F781" s="1097">
        <v>0.97563123201760771</v>
      </c>
      <c r="G781" s="1097">
        <v>1.0041403897114272</v>
      </c>
      <c r="H781" s="1097">
        <v>1.0459681830136618</v>
      </c>
      <c r="I781" s="1097">
        <v>1.0046273828454759</v>
      </c>
      <c r="K781">
        <v>5.0782224560676097</v>
      </c>
      <c r="L781">
        <v>0</v>
      </c>
      <c r="M781">
        <v>3.738844804576009E-3</v>
      </c>
      <c r="N781">
        <v>0.31630062364679062</v>
      </c>
      <c r="O781">
        <v>0.14430412951946592</v>
      </c>
      <c r="P781">
        <v>1.9759790310468744E-2</v>
      </c>
      <c r="Q781">
        <v>1.2878376030803812E-3</v>
      </c>
      <c r="R781">
        <v>3.732765530045784E-3</v>
      </c>
      <c r="S781">
        <v>0.46217661931477116</v>
      </c>
      <c r="T781">
        <v>3.8990127564542267</v>
      </c>
      <c r="U781">
        <v>0</v>
      </c>
      <c r="V781">
        <v>1.1304767209823818E-2</v>
      </c>
      <c r="W781">
        <v>0.18949565233056279</v>
      </c>
      <c r="X781">
        <v>2.4037278581871272E-2</v>
      </c>
      <c r="Y781">
        <v>1.0549080371076141E-2</v>
      </c>
    </row>
    <row r="782" spans="1:25" x14ac:dyDescent="0.25">
      <c r="A782" s="1093"/>
      <c r="B782" s="1452">
        <v>532</v>
      </c>
      <c r="C782" s="1097">
        <v>1.0409137047155419</v>
      </c>
      <c r="D782" s="1097">
        <v>1.0309498833634367</v>
      </c>
      <c r="E782" s="1097">
        <v>1.0052325025735216</v>
      </c>
      <c r="F782" s="1097">
        <v>1.0133846438825842</v>
      </c>
      <c r="G782" s="1097">
        <v>1.0312673406465074</v>
      </c>
      <c r="H782" s="1097">
        <v>1.0168434711565264</v>
      </c>
      <c r="I782" s="1097">
        <v>0.99816732980181122</v>
      </c>
      <c r="K782">
        <v>5.1987211905075847</v>
      </c>
      <c r="L782">
        <v>0</v>
      </c>
      <c r="M782">
        <v>3.4976351926247875E-3</v>
      </c>
      <c r="N782">
        <v>0.30818866896286201</v>
      </c>
      <c r="O782">
        <v>0.14257574169548853</v>
      </c>
      <c r="P782">
        <v>2.0583227519264918E-2</v>
      </c>
      <c r="Q782">
        <v>1.2427225575211765E-3</v>
      </c>
      <c r="R782">
        <v>3.4920028107744351E-3</v>
      </c>
      <c r="S782">
        <v>0.44880529504138056</v>
      </c>
      <c r="T782">
        <v>4.0481419565268686</v>
      </c>
      <c r="U782">
        <v>0</v>
      </c>
      <c r="V782">
        <v>1.1304767209823829E-2</v>
      </c>
      <c r="W782">
        <v>0.18292816561410213</v>
      </c>
      <c r="X782">
        <v>2.5087611217066132E-2</v>
      </c>
      <c r="Y782">
        <v>9.8686665450512419E-3</v>
      </c>
    </row>
    <row r="783" spans="1:25" x14ac:dyDescent="0.25">
      <c r="A783" s="1093"/>
      <c r="B783" s="1452">
        <v>533</v>
      </c>
      <c r="C783" s="1097">
        <v>0.9983866273458516</v>
      </c>
      <c r="D783" s="1097">
        <v>1.0132167017156488</v>
      </c>
      <c r="E783" s="1097">
        <v>0.97344680002159512</v>
      </c>
      <c r="F783" s="1097">
        <v>0.99568530585491066</v>
      </c>
      <c r="G783" s="1097">
        <v>0.98385533459753449</v>
      </c>
      <c r="H783" s="1097">
        <v>1.0125721493455253</v>
      </c>
      <c r="I783" s="1097">
        <v>0.99190444710166126</v>
      </c>
      <c r="K783">
        <v>5.1500894069765657</v>
      </c>
      <c r="L783">
        <v>0</v>
      </c>
      <c r="M783">
        <v>3.8411330836843447E-3</v>
      </c>
      <c r="N783">
        <v>0.30800086535602939</v>
      </c>
      <c r="O783">
        <v>0.14794729121797839</v>
      </c>
      <c r="P783">
        <v>1.9844208556913476E-2</v>
      </c>
      <c r="Q783">
        <v>1.2693827619559232E-3</v>
      </c>
      <c r="R783">
        <v>3.8348112270734872E-3</v>
      </c>
      <c r="S783">
        <v>0.4589046122636023</v>
      </c>
      <c r="T783">
        <v>3.9814322945901393</v>
      </c>
      <c r="U783">
        <v>0</v>
      </c>
      <c r="V783">
        <v>1.1304767209823818E-2</v>
      </c>
      <c r="W783">
        <v>0.18681593950437275</v>
      </c>
      <c r="X783">
        <v>2.3738898070662279E-2</v>
      </c>
      <c r="Y783">
        <v>1.0837469301696842E-2</v>
      </c>
    </row>
    <row r="784" spans="1:25" x14ac:dyDescent="0.25">
      <c r="A784" s="1093"/>
      <c r="B784" s="1452">
        <v>534</v>
      </c>
      <c r="C784" s="1097">
        <v>1.0137994976359506</v>
      </c>
      <c r="D784" s="1097">
        <v>1.0456601422173846</v>
      </c>
      <c r="E784" s="1097">
        <v>1.0094026552153033</v>
      </c>
      <c r="F784" s="1097">
        <v>1.0047390503621538</v>
      </c>
      <c r="G784" s="1097">
        <v>1.0178920777516871</v>
      </c>
      <c r="H784" s="1097">
        <v>1.0238010276550018</v>
      </c>
      <c r="I784" s="1097">
        <v>0.99723805312709224</v>
      </c>
      <c r="K784">
        <v>5.1846992404270145</v>
      </c>
      <c r="L784">
        <v>0</v>
      </c>
      <c r="M784">
        <v>3.5334927680404429E-3</v>
      </c>
      <c r="N784">
        <v>0.31521609639277592</v>
      </c>
      <c r="O784">
        <v>0.14420683032220383</v>
      </c>
      <c r="P784">
        <v>2.0524285386492612E-2</v>
      </c>
      <c r="Q784">
        <v>1.2732702106157E-3</v>
      </c>
      <c r="R784">
        <v>3.527792762887642E-3</v>
      </c>
      <c r="S784">
        <v>0.45708815125860563</v>
      </c>
      <c r="T784">
        <v>4.0130813797137286</v>
      </c>
      <c r="U784">
        <v>0</v>
      </c>
      <c r="V784">
        <v>1.130476720982383E-2</v>
      </c>
      <c r="W784">
        <v>0.18657536360019353</v>
      </c>
      <c r="X784">
        <v>2.5464984655565841E-2</v>
      </c>
      <c r="Y784">
        <v>9.9698116821567498E-3</v>
      </c>
    </row>
    <row r="785" spans="1:25" x14ac:dyDescent="0.25">
      <c r="A785" s="1093"/>
      <c r="B785" s="1452">
        <v>535</v>
      </c>
      <c r="C785" s="1097">
        <v>0.97908841909574473</v>
      </c>
      <c r="D785" s="1097">
        <v>1.0019340611436036</v>
      </c>
      <c r="E785" s="1097">
        <v>1.037229332987232</v>
      </c>
      <c r="F785" s="1097">
        <v>1.0419058030893202</v>
      </c>
      <c r="G785" s="1097">
        <v>1.0187133077953601</v>
      </c>
      <c r="H785" s="1097">
        <v>1.0150334225551121</v>
      </c>
      <c r="I785" s="1097">
        <v>1.0011597229674194</v>
      </c>
      <c r="K785">
        <v>5.4333289582602085</v>
      </c>
      <c r="L785">
        <v>0</v>
      </c>
      <c r="M785">
        <v>3.6076873907654751E-3</v>
      </c>
      <c r="N785">
        <v>0.34946028447727584</v>
      </c>
      <c r="O785">
        <v>0.15668748648443123</v>
      </c>
      <c r="P785">
        <v>2.1787108442548109E-2</v>
      </c>
      <c r="Q785">
        <v>1.3730188584489495E-3</v>
      </c>
      <c r="R785">
        <v>3.6020264896346943E-3</v>
      </c>
      <c r="S785">
        <v>0.49226963758382497</v>
      </c>
      <c r="T785">
        <v>4.157931024688545</v>
      </c>
      <c r="U785">
        <v>0</v>
      </c>
      <c r="V785">
        <v>1.1304767209823818E-2</v>
      </c>
      <c r="W785">
        <v>0.20305022821192376</v>
      </c>
      <c r="X785">
        <v>2.9291461343092844E-2</v>
      </c>
      <c r="Y785">
        <v>1.017960186142085E-2</v>
      </c>
    </row>
    <row r="786" spans="1:25" x14ac:dyDescent="0.25">
      <c r="A786" s="1093"/>
      <c r="B786" s="1452">
        <v>536</v>
      </c>
      <c r="C786" s="1097">
        <v>1.0107298301724115</v>
      </c>
      <c r="D786" s="1097">
        <v>1.0315122798435623</v>
      </c>
      <c r="E786" s="1097">
        <v>0.9854059262888667</v>
      </c>
      <c r="F786" s="1097">
        <v>1.0224050455679246</v>
      </c>
      <c r="G786" s="1097">
        <v>0.97050103616213657</v>
      </c>
      <c r="H786" s="1097">
        <v>0.98882453895947897</v>
      </c>
      <c r="I786" s="1097">
        <v>0.9637096176115002</v>
      </c>
      <c r="K786">
        <v>5.2383243227603522</v>
      </c>
      <c r="L786">
        <v>0</v>
      </c>
      <c r="M786">
        <v>3.6837231278621378E-3</v>
      </c>
      <c r="N786">
        <v>0.30605111944263758</v>
      </c>
      <c r="O786">
        <v>0.14865953634884527</v>
      </c>
      <c r="P786">
        <v>2.0434119658577294E-2</v>
      </c>
      <c r="Q786">
        <v>1.257932880246721E-3</v>
      </c>
      <c r="R786">
        <v>3.6776767255690358E-3</v>
      </c>
      <c r="S786">
        <v>0.44450126043787408</v>
      </c>
      <c r="T786">
        <v>4.0867261784509301</v>
      </c>
      <c r="U786">
        <v>0</v>
      </c>
      <c r="V786">
        <v>1.1304767209823811E-2</v>
      </c>
      <c r="W786">
        <v>0.1841179508159467</v>
      </c>
      <c r="X786">
        <v>2.4884108713972775E-2</v>
      </c>
      <c r="Y786">
        <v>1.0393395203793591E-2</v>
      </c>
    </row>
    <row r="787" spans="1:25" x14ac:dyDescent="0.25">
      <c r="A787" s="1093"/>
      <c r="B787" s="1452">
        <v>537</v>
      </c>
      <c r="C787" s="1097">
        <v>1.0132926992336542</v>
      </c>
      <c r="D787" s="1097">
        <v>0.9811916261462168</v>
      </c>
      <c r="E787" s="1097">
        <v>1.0116021609757779</v>
      </c>
      <c r="F787" s="1097">
        <v>0.98981228539447719</v>
      </c>
      <c r="G787" s="1097">
        <v>1.0037660682947163</v>
      </c>
      <c r="H787" s="1097">
        <v>1.0159577903217574</v>
      </c>
      <c r="I787" s="1097">
        <v>1.0147939545724471</v>
      </c>
      <c r="K787">
        <v>5.1355730647937463</v>
      </c>
      <c r="L787">
        <v>0</v>
      </c>
      <c r="M787">
        <v>3.5288372425615628E-3</v>
      </c>
      <c r="N787">
        <v>0.31684573463478</v>
      </c>
      <c r="O787">
        <v>0.14573963301606419</v>
      </c>
      <c r="P787">
        <v>2.0314092123280378E-2</v>
      </c>
      <c r="Q787">
        <v>1.3091989323742957E-3</v>
      </c>
      <c r="R787">
        <v>3.5230144382916322E-3</v>
      </c>
      <c r="S787">
        <v>0.46388007130683612</v>
      </c>
      <c r="T787">
        <v>3.9531896098012158</v>
      </c>
      <c r="U787">
        <v>0</v>
      </c>
      <c r="V787">
        <v>1.130476720982382E-2</v>
      </c>
      <c r="W787">
        <v>0.18726332744004159</v>
      </c>
      <c r="X787">
        <v>2.5776145361556924E-2</v>
      </c>
      <c r="Y787">
        <v>9.9563077720405992E-3</v>
      </c>
    </row>
    <row r="788" spans="1:25" x14ac:dyDescent="0.25">
      <c r="A788" s="1093"/>
      <c r="B788" s="1452">
        <v>538</v>
      </c>
      <c r="C788" s="1097">
        <v>1.0344396850092294</v>
      </c>
      <c r="D788" s="1097">
        <v>0.98739722044176537</v>
      </c>
      <c r="E788" s="1097">
        <v>0.98399564097939851</v>
      </c>
      <c r="F788" s="1097">
        <v>0.97836403355384327</v>
      </c>
      <c r="G788" s="1097">
        <v>1.0293924973892357</v>
      </c>
      <c r="H788" s="1097">
        <v>1.0357227688850417</v>
      </c>
      <c r="I788" s="1097">
        <v>0.99439842969064252</v>
      </c>
      <c r="K788">
        <v>5.050242089644696</v>
      </c>
      <c r="L788">
        <v>0</v>
      </c>
      <c r="M788">
        <v>3.682393190315126E-3</v>
      </c>
      <c r="N788">
        <v>0.30466462845817499</v>
      </c>
      <c r="O788">
        <v>0.14148411950881382</v>
      </c>
      <c r="P788">
        <v>1.9619402470355617E-2</v>
      </c>
      <c r="Q788">
        <v>1.2492527759941302E-3</v>
      </c>
      <c r="R788">
        <v>3.6763633375839011E-3</v>
      </c>
      <c r="S788">
        <v>0.44389978277533282</v>
      </c>
      <c r="T788">
        <v>3.9108612703218344</v>
      </c>
      <c r="U788">
        <v>0</v>
      </c>
      <c r="V788">
        <v>1.1304767209823836E-2</v>
      </c>
      <c r="W788">
        <v>0.1834604619402998</v>
      </c>
      <c r="X788">
        <v>2.3314750567717646E-2</v>
      </c>
      <c r="Y788">
        <v>1.0389683469075168E-2</v>
      </c>
    </row>
    <row r="789" spans="1:25" x14ac:dyDescent="0.25">
      <c r="A789" s="1093"/>
      <c r="B789" s="1452">
        <v>539</v>
      </c>
      <c r="C789" s="1097">
        <v>0.96853152473682314</v>
      </c>
      <c r="D789" s="1097">
        <v>0.9597114012052701</v>
      </c>
      <c r="E789" s="1097">
        <v>1.0006206582916213</v>
      </c>
      <c r="F789" s="1097">
        <v>1.0041282225590755</v>
      </c>
      <c r="G789" s="1097">
        <v>1.0323867996138996</v>
      </c>
      <c r="H789" s="1097">
        <v>0.97037862694180133</v>
      </c>
      <c r="I789" s="1097">
        <v>1.0427788649890557</v>
      </c>
      <c r="K789">
        <v>5.24842915071335</v>
      </c>
      <c r="L789">
        <v>0</v>
      </c>
      <c r="M789">
        <v>3.6935385587805666E-3</v>
      </c>
      <c r="N789">
        <v>0.32100460846480505</v>
      </c>
      <c r="O789">
        <v>0.15637817668473969</v>
      </c>
      <c r="P789">
        <v>2.0569249954261973E-2</v>
      </c>
      <c r="Q789">
        <v>1.3689908724763961E-3</v>
      </c>
      <c r="R789">
        <v>3.6872485436621333E-3</v>
      </c>
      <c r="S789">
        <v>0.49760093305647884</v>
      </c>
      <c r="T789">
        <v>4.0117461852271212</v>
      </c>
      <c r="U789">
        <v>0</v>
      </c>
      <c r="V789">
        <v>1.1304767209823832E-2</v>
      </c>
      <c r="W789">
        <v>0.19112883090255084</v>
      </c>
      <c r="X789">
        <v>2.69132524637066E-2</v>
      </c>
      <c r="Y789">
        <v>1.0420445892498426E-2</v>
      </c>
    </row>
    <row r="790" spans="1:25" x14ac:dyDescent="0.25">
      <c r="A790" s="1093"/>
      <c r="B790" s="1452">
        <v>540</v>
      </c>
      <c r="C790" s="1097">
        <v>0.95987183895336048</v>
      </c>
      <c r="D790" s="1097">
        <v>0.98866403351933141</v>
      </c>
      <c r="E790" s="1097">
        <v>1.0305028982831437</v>
      </c>
      <c r="F790" s="1097">
        <v>1.0344207990609087</v>
      </c>
      <c r="G790" s="1097">
        <v>1.0108838393059849</v>
      </c>
      <c r="H790" s="1097">
        <v>1.0007368713868976</v>
      </c>
      <c r="I790" s="1097">
        <v>1.0245365678172007</v>
      </c>
      <c r="K790">
        <v>5.4241096868911649</v>
      </c>
      <c r="L790">
        <v>0</v>
      </c>
      <c r="M790">
        <v>3.6732506731239089E-3</v>
      </c>
      <c r="N790">
        <v>0.34879546950777796</v>
      </c>
      <c r="O790">
        <v>0.15972744711440712</v>
      </c>
      <c r="P790">
        <v>2.1624673692222315E-2</v>
      </c>
      <c r="Q790">
        <v>1.4000737483691075E-3</v>
      </c>
      <c r="R790">
        <v>3.6673623194518066E-3</v>
      </c>
      <c r="S790">
        <v>0.50909317589631264</v>
      </c>
      <c r="T790">
        <v>4.1289202425121063</v>
      </c>
      <c r="U790">
        <v>0</v>
      </c>
      <c r="V790">
        <v>1.1304767209823822E-2</v>
      </c>
      <c r="W790">
        <v>0.20356646284693874</v>
      </c>
      <c r="X790">
        <v>2.9319016812234911E-2</v>
      </c>
      <c r="Y790">
        <v>1.0364245904638645E-2</v>
      </c>
    </row>
    <row r="791" spans="1:25" x14ac:dyDescent="0.25">
      <c r="A791" s="1093"/>
      <c r="B791" s="1452">
        <v>541</v>
      </c>
      <c r="C791" s="1097">
        <v>0.98709851222850131</v>
      </c>
      <c r="D791" s="1097">
        <v>1.0138600701775062</v>
      </c>
      <c r="E791" s="1097">
        <v>1.0271017500929638</v>
      </c>
      <c r="F791" s="1097">
        <v>0.96388253652007194</v>
      </c>
      <c r="G791" s="1097">
        <v>0.99457427052006375</v>
      </c>
      <c r="H791" s="1097">
        <v>0.97827118924855239</v>
      </c>
      <c r="I791" s="1097">
        <v>0.96012234764371873</v>
      </c>
      <c r="K791">
        <v>4.973859027378456</v>
      </c>
      <c r="L791">
        <v>0</v>
      </c>
      <c r="M791">
        <v>3.2446891438040722E-3</v>
      </c>
      <c r="N791">
        <v>0.30497058911258501</v>
      </c>
      <c r="O791">
        <v>0.14337258462263702</v>
      </c>
      <c r="P791">
        <v>1.990534133503237E-2</v>
      </c>
      <c r="Q791">
        <v>1.3439680809149276E-3</v>
      </c>
      <c r="R791">
        <v>3.2389796289964026E-3</v>
      </c>
      <c r="S791">
        <v>0.43118871324819547</v>
      </c>
      <c r="T791">
        <v>3.8477707478918073</v>
      </c>
      <c r="U791">
        <v>0</v>
      </c>
      <c r="V791">
        <v>1.1304767209823818E-2</v>
      </c>
      <c r="W791">
        <v>0.1783907930934758</v>
      </c>
      <c r="X791">
        <v>2.6463628582848266E-2</v>
      </c>
      <c r="Y791">
        <v>9.1536037159404299E-3</v>
      </c>
    </row>
    <row r="792" spans="1:25" x14ac:dyDescent="0.25">
      <c r="A792" s="1093"/>
      <c r="B792" s="1452">
        <v>542</v>
      </c>
      <c r="C792" s="1097">
        <v>0.98207328496935187</v>
      </c>
      <c r="D792" s="1097">
        <v>0.99269250245853291</v>
      </c>
      <c r="E792" s="1097">
        <v>0.98375760287887859</v>
      </c>
      <c r="F792" s="1097">
        <v>1.0332654850113803</v>
      </c>
      <c r="G792" s="1097">
        <v>1.0073203664731436</v>
      </c>
      <c r="H792" s="1097">
        <v>1.0318454093580693</v>
      </c>
      <c r="I792" s="1097">
        <v>1.0067069979621486</v>
      </c>
      <c r="K792">
        <v>5.3918984733828292</v>
      </c>
      <c r="L792">
        <v>0</v>
      </c>
      <c r="M792">
        <v>4.074017370422226E-3</v>
      </c>
      <c r="N792">
        <v>0.33685525834112878</v>
      </c>
      <c r="O792">
        <v>0.15706181259213342</v>
      </c>
      <c r="P792">
        <v>2.0828337584718592E-2</v>
      </c>
      <c r="Q792">
        <v>1.3127830142549081E-3</v>
      </c>
      <c r="R792">
        <v>4.0676763959557518E-3</v>
      </c>
      <c r="S792">
        <v>0.49426981687968319</v>
      </c>
      <c r="T792">
        <v>4.1303525780623005</v>
      </c>
      <c r="U792">
        <v>0</v>
      </c>
      <c r="V792">
        <v>1.1304767209823824E-2</v>
      </c>
      <c r="W792">
        <v>0.20287774981356807</v>
      </c>
      <c r="X792">
        <v>2.5546146812308709E-2</v>
      </c>
      <c r="Y792">
        <v>1.1495564047372741E-2</v>
      </c>
    </row>
    <row r="793" spans="1:25" x14ac:dyDescent="0.25">
      <c r="A793" s="1093"/>
      <c r="B793" s="1452">
        <v>543</v>
      </c>
      <c r="C793" s="1097">
        <v>0.99875160844331101</v>
      </c>
      <c r="D793" s="1097">
        <v>1.0018578567719174</v>
      </c>
      <c r="E793" s="1097">
        <v>0.96695849458499095</v>
      </c>
      <c r="F793" s="1097">
        <v>0.95450285355454345</v>
      </c>
      <c r="G793" s="1097">
        <v>0.97964106854239708</v>
      </c>
      <c r="H793" s="1097">
        <v>0.98609065222765491</v>
      </c>
      <c r="I793" s="1097">
        <v>0.98179296936300764</v>
      </c>
      <c r="K793">
        <v>4.9212565728975539</v>
      </c>
      <c r="L793">
        <v>0</v>
      </c>
      <c r="M793">
        <v>3.6504180601262446E-3</v>
      </c>
      <c r="N793">
        <v>0.28708908521246246</v>
      </c>
      <c r="O793">
        <v>0.14258934797541414</v>
      </c>
      <c r="P793">
        <v>1.8911242606226703E-2</v>
      </c>
      <c r="Q793">
        <v>1.2674505164765799E-3</v>
      </c>
      <c r="R793">
        <v>3.6439830287583147E-3</v>
      </c>
      <c r="S793">
        <v>0.43463908371251231</v>
      </c>
      <c r="T793">
        <v>3.8175450294457534</v>
      </c>
      <c r="U793">
        <v>0</v>
      </c>
      <c r="V793">
        <v>1.130476720982383E-2</v>
      </c>
      <c r="W793">
        <v>0.17491305303954174</v>
      </c>
      <c r="X793">
        <v>2.2705773966490605E-2</v>
      </c>
      <c r="Y793">
        <v>1.0298174244214428E-2</v>
      </c>
    </row>
    <row r="794" spans="1:25" x14ac:dyDescent="0.25">
      <c r="A794" s="1093"/>
      <c r="B794" s="1452">
        <v>544</v>
      </c>
      <c r="C794" s="1097">
        <v>0.98504310978801901</v>
      </c>
      <c r="D794" s="1097">
        <v>0.96344329094313153</v>
      </c>
      <c r="E794" s="1097">
        <v>0.98445109080821225</v>
      </c>
      <c r="F794" s="1097">
        <v>1.0099406833344904</v>
      </c>
      <c r="G794" s="1097">
        <v>1.0129173759320069</v>
      </c>
      <c r="H794" s="1097">
        <v>0.98593698750091485</v>
      </c>
      <c r="I794" s="1097">
        <v>0.99379294536161</v>
      </c>
      <c r="K794">
        <v>5.2411813008690995</v>
      </c>
      <c r="L794">
        <v>0</v>
      </c>
      <c r="M794">
        <v>3.8336182339614943E-3</v>
      </c>
      <c r="N794">
        <v>0.31759589819510986</v>
      </c>
      <c r="O794">
        <v>0.15487536352568901</v>
      </c>
      <c r="P794">
        <v>2.0315929167861742E-2</v>
      </c>
      <c r="Q794">
        <v>1.325371994932902E-3</v>
      </c>
      <c r="R794">
        <v>3.8272296087048302E-3</v>
      </c>
      <c r="S794">
        <v>0.47117803727983393</v>
      </c>
      <c r="T794">
        <v>4.0370259413433862</v>
      </c>
      <c r="U794">
        <v>0</v>
      </c>
      <c r="V794">
        <v>1.1304767209823815E-2</v>
      </c>
      <c r="W794">
        <v>0.19118781188595568</v>
      </c>
      <c r="X794">
        <v>2.5562525822400935E-2</v>
      </c>
      <c r="Y794">
        <v>1.0816043069357838E-2</v>
      </c>
    </row>
    <row r="795" spans="1:25" x14ac:dyDescent="0.25">
      <c r="A795" s="1093"/>
      <c r="B795" s="1452">
        <v>545</v>
      </c>
      <c r="C795" s="1097">
        <v>1.0102027320129561</v>
      </c>
      <c r="D795" s="1097">
        <v>1.0166894973433922</v>
      </c>
      <c r="E795" s="1097">
        <v>1.0260084133821248</v>
      </c>
      <c r="F795" s="1097">
        <v>0.98489195393851792</v>
      </c>
      <c r="G795" s="1097">
        <v>1.0069168266957773</v>
      </c>
      <c r="H795" s="1097">
        <v>0.96380080870223939</v>
      </c>
      <c r="I795" s="1097">
        <v>1.0371780269173556</v>
      </c>
      <c r="K795">
        <v>5.0784768966356433</v>
      </c>
      <c r="L795">
        <v>0</v>
      </c>
      <c r="M795">
        <v>3.1953723878502781E-3</v>
      </c>
      <c r="N795">
        <v>0.29936929378754906</v>
      </c>
      <c r="O795">
        <v>0.14301709838933788</v>
      </c>
      <c r="P795">
        <v>2.0414505279425829E-2</v>
      </c>
      <c r="Q795">
        <v>1.3105591955687953E-3</v>
      </c>
      <c r="R795">
        <v>3.1897867723937631E-3</v>
      </c>
      <c r="S795">
        <v>0.46042739758030893</v>
      </c>
      <c r="T795">
        <v>3.9317727907602036</v>
      </c>
      <c r="U795">
        <v>0</v>
      </c>
      <c r="V795">
        <v>1.1304767209823808E-2</v>
      </c>
      <c r="W795">
        <v>0.1752414928382777</v>
      </c>
      <c r="X795">
        <v>2.6609996263121112E-2</v>
      </c>
      <c r="Y795">
        <v>9.0145809474844341E-3</v>
      </c>
    </row>
    <row r="796" spans="1:25" x14ac:dyDescent="0.25">
      <c r="A796" s="1093"/>
      <c r="B796" s="1452">
        <v>546</v>
      </c>
      <c r="C796" s="1097">
        <v>1.0082370823090845</v>
      </c>
      <c r="D796" s="1097">
        <v>1.01223504935895</v>
      </c>
      <c r="E796" s="1097">
        <v>0.98421205162217873</v>
      </c>
      <c r="F796" s="1097">
        <v>1.0043278765323573</v>
      </c>
      <c r="G796" s="1097">
        <v>1.0215676604154666</v>
      </c>
      <c r="H796" s="1097">
        <v>0.98791349991823141</v>
      </c>
      <c r="I796" s="1097">
        <v>0.99162900053339886</v>
      </c>
      <c r="K796">
        <v>5.1684713914030951</v>
      </c>
      <c r="L796">
        <v>0</v>
      </c>
      <c r="M796">
        <v>3.660925022762189E-3</v>
      </c>
      <c r="N796">
        <v>0.30307235124973209</v>
      </c>
      <c r="O796">
        <v>0.14753392039019222</v>
      </c>
      <c r="P796">
        <v>2.0130511603965392E-2</v>
      </c>
      <c r="Q796">
        <v>1.2692828465207767E-3</v>
      </c>
      <c r="R796">
        <v>3.654802421341502E-3</v>
      </c>
      <c r="S796">
        <v>0.45314971180598834</v>
      </c>
      <c r="T796">
        <v>4.0146202875790191</v>
      </c>
      <c r="U796">
        <v>0</v>
      </c>
      <c r="V796">
        <v>1.1304767209823803E-2</v>
      </c>
      <c r="W796">
        <v>0.1824746555225972</v>
      </c>
      <c r="X796">
        <v>2.4593275123001069E-2</v>
      </c>
      <c r="Y796">
        <v>1.0328750673676067E-2</v>
      </c>
    </row>
    <row r="797" spans="1:25" x14ac:dyDescent="0.25">
      <c r="A797" s="1093"/>
      <c r="B797" s="1452">
        <v>547</v>
      </c>
      <c r="C797" s="1097">
        <v>1.0403290198694541</v>
      </c>
      <c r="D797" s="1097">
        <v>0.97667804662816438</v>
      </c>
      <c r="E797" s="1097">
        <v>1.0095509570147347</v>
      </c>
      <c r="F797" s="1097">
        <v>1.0114456399201062</v>
      </c>
      <c r="G797" s="1097">
        <v>0.99364347085097171</v>
      </c>
      <c r="H797" s="1097">
        <v>1.0454779760478645</v>
      </c>
      <c r="I797" s="1097">
        <v>0.99413411013369879</v>
      </c>
      <c r="K797">
        <v>5.2273997347343233</v>
      </c>
      <c r="L797">
        <v>0</v>
      </c>
      <c r="M797">
        <v>3.6365471167289346E-3</v>
      </c>
      <c r="N797">
        <v>0.32456612976283394</v>
      </c>
      <c r="O797">
        <v>0.14537843885640037</v>
      </c>
      <c r="P797">
        <v>2.0646551225862033E-2</v>
      </c>
      <c r="Q797">
        <v>1.275300280290103E-3</v>
      </c>
      <c r="R797">
        <v>3.6308405299708599E-3</v>
      </c>
      <c r="S797">
        <v>0.45652332329296036</v>
      </c>
      <c r="T797">
        <v>4.0398497749961351</v>
      </c>
      <c r="U797">
        <v>0</v>
      </c>
      <c r="V797">
        <v>1.1304767209823824E-2</v>
      </c>
      <c r="W797">
        <v>0.1920904858235688</v>
      </c>
      <c r="X797">
        <v>2.5509637333942618E-2</v>
      </c>
      <c r="Y797">
        <v>1.0261032539258766E-2</v>
      </c>
    </row>
    <row r="798" spans="1:25" x14ac:dyDescent="0.25">
      <c r="A798" s="1093"/>
      <c r="B798" s="1452">
        <v>548</v>
      </c>
      <c r="C798" s="1097">
        <v>1.0048734171292468</v>
      </c>
      <c r="D798" s="1097">
        <v>0.99167470691341231</v>
      </c>
      <c r="E798" s="1097">
        <v>1.0402099878296855</v>
      </c>
      <c r="F798" s="1097">
        <v>0.96257047145521568</v>
      </c>
      <c r="G798" s="1097">
        <v>0.97172593273165275</v>
      </c>
      <c r="H798" s="1097">
        <v>1.0124993726959952</v>
      </c>
      <c r="I798" s="1097">
        <v>0.97980129656809456</v>
      </c>
      <c r="K798">
        <v>4.9899316970650149</v>
      </c>
      <c r="L798">
        <v>0</v>
      </c>
      <c r="M798">
        <v>3.2326665223830278E-3</v>
      </c>
      <c r="N798">
        <v>0.31586125455366804</v>
      </c>
      <c r="O798">
        <v>0.14154425621494082</v>
      </c>
      <c r="P798">
        <v>2.0103043872860049E-2</v>
      </c>
      <c r="Q798">
        <v>1.3466586888204513E-3</v>
      </c>
      <c r="R798">
        <v>3.227162983080564E-3</v>
      </c>
      <c r="S798">
        <v>0.43968618282018762</v>
      </c>
      <c r="T798">
        <v>3.8409740799660752</v>
      </c>
      <c r="U798">
        <v>0</v>
      </c>
      <c r="V798">
        <v>1.1304767209823808E-2</v>
      </c>
      <c r="W798">
        <v>0.18316803295217549</v>
      </c>
      <c r="X798">
        <v>2.6828715353341213E-2</v>
      </c>
      <c r="Y798">
        <v>9.1202089724240279E-3</v>
      </c>
    </row>
    <row r="799" spans="1:25" x14ac:dyDescent="0.25">
      <c r="A799" s="1093"/>
      <c r="B799" s="1452">
        <v>549</v>
      </c>
      <c r="C799" s="1097">
        <v>0.98456086529863951</v>
      </c>
      <c r="D799" s="1097">
        <v>1.0047459803329819</v>
      </c>
      <c r="E799" s="1097">
        <v>1.0224492641453715</v>
      </c>
      <c r="F799" s="1097">
        <v>1.0256269131673617</v>
      </c>
      <c r="G799" s="1097">
        <v>1.0070853968962676</v>
      </c>
      <c r="H799" s="1097">
        <v>1.0176170651408025</v>
      </c>
      <c r="I799" s="1097">
        <v>1.0045853947388061</v>
      </c>
      <c r="K799">
        <v>5.3422360163967095</v>
      </c>
      <c r="L799">
        <v>0</v>
      </c>
      <c r="M799">
        <v>3.6490206013252337E-3</v>
      </c>
      <c r="N799">
        <v>0.33834453097149536</v>
      </c>
      <c r="O799">
        <v>0.15363809805421499</v>
      </c>
      <c r="P799">
        <v>2.1229065685119248E-2</v>
      </c>
      <c r="Q799">
        <v>1.3470103218751475E-3</v>
      </c>
      <c r="R799">
        <v>3.6432188779524804E-3</v>
      </c>
      <c r="S799">
        <v>0.48496798187277501</v>
      </c>
      <c r="T799">
        <v>4.0948432974167037</v>
      </c>
      <c r="U799">
        <v>0</v>
      </c>
      <c r="V799">
        <v>1.1304767209823808E-2</v>
      </c>
      <c r="W799">
        <v>0.19852562922638245</v>
      </c>
      <c r="X799">
        <v>2.7745422665997454E-2</v>
      </c>
      <c r="Y799">
        <v>1.0296014695696985E-2</v>
      </c>
    </row>
    <row r="800" spans="1:25" x14ac:dyDescent="0.25">
      <c r="A800" s="1093"/>
      <c r="B800" s="1452">
        <v>550</v>
      </c>
      <c r="C800" s="1097">
        <v>1.0339373536509628</v>
      </c>
      <c r="D800" s="1097">
        <v>0.99912348916057558</v>
      </c>
      <c r="E800" s="1097">
        <v>0.98476824001050811</v>
      </c>
      <c r="F800" s="1097">
        <v>0.95941722695435894</v>
      </c>
      <c r="G800" s="1097">
        <v>1.013588766538037</v>
      </c>
      <c r="H800" s="1097">
        <v>1.016181146360601</v>
      </c>
      <c r="I800" s="1097">
        <v>1.0243518116597059</v>
      </c>
      <c r="K800">
        <v>4.9513416929824681</v>
      </c>
      <c r="L800">
        <v>0</v>
      </c>
      <c r="M800">
        <v>3.5223661369495206E-3</v>
      </c>
      <c r="N800">
        <v>0.29207453442224435</v>
      </c>
      <c r="O800">
        <v>0.13813764201308076</v>
      </c>
      <c r="P800">
        <v>1.9297220826072065E-2</v>
      </c>
      <c r="Q800">
        <v>1.2448035103383081E-3</v>
      </c>
      <c r="R800">
        <v>3.5163715142232125E-3</v>
      </c>
      <c r="S800">
        <v>0.44552150698179532</v>
      </c>
      <c r="T800">
        <v>3.8350305480875519</v>
      </c>
      <c r="U800">
        <v>0</v>
      </c>
      <c r="V800">
        <v>1.1304767209823808E-2</v>
      </c>
      <c r="W800">
        <v>0.17578626542060738</v>
      </c>
      <c r="X800">
        <v>2.3012864772220958E-2</v>
      </c>
      <c r="Y800">
        <v>9.9375343614599848E-3</v>
      </c>
    </row>
    <row r="801" spans="1:25" x14ac:dyDescent="0.25">
      <c r="A801" s="1093"/>
      <c r="B801" s="1452">
        <v>551</v>
      </c>
      <c r="C801" s="1097">
        <v>0.99120287604709123</v>
      </c>
      <c r="D801" s="1097">
        <v>1.0205383873241771</v>
      </c>
      <c r="E801" s="1097">
        <v>1.0102081740562814</v>
      </c>
      <c r="F801" s="1097">
        <v>0.96921150866044037</v>
      </c>
      <c r="G801" s="1097">
        <v>0.96945785215138203</v>
      </c>
      <c r="H801" s="1097">
        <v>0.97712255428409767</v>
      </c>
      <c r="I801" s="1097">
        <v>1.0098398673520559</v>
      </c>
      <c r="K801">
        <v>5.0124741033894091</v>
      </c>
      <c r="L801">
        <v>0</v>
      </c>
      <c r="M801">
        <v>3.3543271911512036E-3</v>
      </c>
      <c r="N801">
        <v>0.29990586585793966</v>
      </c>
      <c r="O801">
        <v>0.14364792643293797</v>
      </c>
      <c r="P801">
        <v>1.9866731396823236E-2</v>
      </c>
      <c r="Q801">
        <v>1.3159292318802611E-3</v>
      </c>
      <c r="R801">
        <v>3.3484502489959768E-3</v>
      </c>
      <c r="S801">
        <v>0.45292595968998756</v>
      </c>
      <c r="T801">
        <v>3.8710813777440092</v>
      </c>
      <c r="U801">
        <v>0</v>
      </c>
      <c r="V801">
        <v>1.1304767209823811E-2</v>
      </c>
      <c r="W801">
        <v>0.17741731141007069</v>
      </c>
      <c r="X801">
        <v>2.5551135312346745E-2</v>
      </c>
      <c r="Y801">
        <v>9.4629760457456899E-3</v>
      </c>
    </row>
    <row r="802" spans="1:25" x14ac:dyDescent="0.25">
      <c r="A802" s="1093"/>
      <c r="B802" s="1452">
        <v>552</v>
      </c>
      <c r="C802" s="1097">
        <v>1.0299878681550101</v>
      </c>
      <c r="D802" s="1097">
        <v>0.98654063371255563</v>
      </c>
      <c r="E802" s="1097">
        <v>0.97255096104660221</v>
      </c>
      <c r="F802" s="1097">
        <v>0.99348899900604271</v>
      </c>
      <c r="G802" s="1097">
        <v>1.0130303257748516</v>
      </c>
      <c r="H802" s="1097">
        <v>0.95585816658624789</v>
      </c>
      <c r="I802" s="1097">
        <v>0.99744911569564776</v>
      </c>
      <c r="K802">
        <v>5.0783231504438939</v>
      </c>
      <c r="L802">
        <v>0</v>
      </c>
      <c r="M802">
        <v>3.5512956754304879E-3</v>
      </c>
      <c r="N802">
        <v>0.28397504986226435</v>
      </c>
      <c r="O802">
        <v>0.14465122967218946</v>
      </c>
      <c r="P802">
        <v>1.9701404103889833E-2</v>
      </c>
      <c r="Q802">
        <v>1.2426675521076452E-3</v>
      </c>
      <c r="R802">
        <v>3.5450903855030942E-3</v>
      </c>
      <c r="S802">
        <v>0.43857067473625011</v>
      </c>
      <c r="T802">
        <v>3.9727631101177319</v>
      </c>
      <c r="U802">
        <v>0</v>
      </c>
      <c r="V802">
        <v>1.130476720982381E-2</v>
      </c>
      <c r="W802">
        <v>0.17234949243537195</v>
      </c>
      <c r="X802">
        <v>2.3752263959915906E-2</v>
      </c>
      <c r="Y802">
        <v>1.001869608427903E-2</v>
      </c>
    </row>
    <row r="803" spans="1:25" x14ac:dyDescent="0.25">
      <c r="A803" s="1093"/>
      <c r="B803" s="1452">
        <v>553</v>
      </c>
      <c r="C803" s="1097">
        <v>0.9742104216271058</v>
      </c>
      <c r="D803" s="1097">
        <v>1.0002129573689222</v>
      </c>
      <c r="E803" s="1097">
        <v>1.0445658952890355</v>
      </c>
      <c r="F803" s="1097">
        <v>0.97552153756181248</v>
      </c>
      <c r="G803" s="1097">
        <v>1.0162174411058351</v>
      </c>
      <c r="H803" s="1097">
        <v>1.0029976520344004</v>
      </c>
      <c r="I803" s="1097">
        <v>0.98972667343340426</v>
      </c>
      <c r="K803">
        <v>5.0870897533585318</v>
      </c>
      <c r="L803">
        <v>0</v>
      </c>
      <c r="M803">
        <v>3.3053726839906731E-3</v>
      </c>
      <c r="N803">
        <v>0.32714961043861562</v>
      </c>
      <c r="O803">
        <v>0.14733573218716831</v>
      </c>
      <c r="P803">
        <v>2.0505113020153315E-2</v>
      </c>
      <c r="Q803">
        <v>1.3893291702588063E-3</v>
      </c>
      <c r="R803">
        <v>3.2997673427302312E-3</v>
      </c>
      <c r="S803">
        <v>0.46069309147987864</v>
      </c>
      <c r="T803">
        <v>3.8921303047267606</v>
      </c>
      <c r="U803">
        <v>0</v>
      </c>
      <c r="V803">
        <v>1.1304767209823824E-2</v>
      </c>
      <c r="W803">
        <v>0.18917215358507344</v>
      </c>
      <c r="X803">
        <v>2.8089862446183621E-2</v>
      </c>
      <c r="Y803">
        <v>9.3253944358746253E-3</v>
      </c>
    </row>
    <row r="804" spans="1:25" x14ac:dyDescent="0.25">
      <c r="A804" s="1093"/>
      <c r="B804" s="1452">
        <v>554</v>
      </c>
      <c r="C804" s="1097">
        <v>0.98108395405584792</v>
      </c>
      <c r="D804" s="1097">
        <v>1.0101681424539519</v>
      </c>
      <c r="E804" s="1097">
        <v>0.97660628442252384</v>
      </c>
      <c r="F804" s="1097">
        <v>1.0167557574395087</v>
      </c>
      <c r="G804" s="1097">
        <v>1.0293542100456206</v>
      </c>
      <c r="H804" s="1097">
        <v>0.99524596561394896</v>
      </c>
      <c r="I804" s="1097">
        <v>1.0044979807051286</v>
      </c>
      <c r="K804">
        <v>5.2732062004400007</v>
      </c>
      <c r="L804">
        <v>0</v>
      </c>
      <c r="M804">
        <v>3.9019446032332516E-3</v>
      </c>
      <c r="N804">
        <v>0.3158271364662627</v>
      </c>
      <c r="O804">
        <v>0.15383728302227073</v>
      </c>
      <c r="P804">
        <v>2.0353172878511992E-2</v>
      </c>
      <c r="Q804">
        <v>1.2968910842750497E-3</v>
      </c>
      <c r="R804">
        <v>3.8955460410507255E-3</v>
      </c>
      <c r="S804">
        <v>0.47824311489465504</v>
      </c>
      <c r="T804">
        <v>4.0652783543256934</v>
      </c>
      <c r="U804">
        <v>0</v>
      </c>
      <c r="V804">
        <v>1.1304767209823806E-2</v>
      </c>
      <c r="W804">
        <v>0.19114728648558174</v>
      </c>
      <c r="X804">
        <v>2.4915482112228816E-2</v>
      </c>
      <c r="Y804">
        <v>1.1009110522880212E-2</v>
      </c>
    </row>
    <row r="805" spans="1:25" x14ac:dyDescent="0.25">
      <c r="A805" s="1093"/>
      <c r="B805" s="1452">
        <v>555</v>
      </c>
      <c r="C805" s="1097">
        <v>1.0148306270191747</v>
      </c>
      <c r="D805" s="1097">
        <v>0.99708918977409799</v>
      </c>
      <c r="E805" s="1097">
        <v>1.0449459029088657</v>
      </c>
      <c r="F805" s="1097">
        <v>0.9929937697198572</v>
      </c>
      <c r="G805" s="1097">
        <v>1.0177749447918631</v>
      </c>
      <c r="H805" s="1097">
        <v>0.99947002132098151</v>
      </c>
      <c r="I805" s="1097">
        <v>0.99448023377643158</v>
      </c>
      <c r="K805">
        <v>5.1303672416276784</v>
      </c>
      <c r="L805">
        <v>0</v>
      </c>
      <c r="M805">
        <v>3.2198797716270645E-3</v>
      </c>
      <c r="N805">
        <v>0.31905342266271391</v>
      </c>
      <c r="O805">
        <v>0.14414152546472009</v>
      </c>
      <c r="P805">
        <v>2.0790910472482049E-2</v>
      </c>
      <c r="Q805">
        <v>1.3358116733278144E-3</v>
      </c>
      <c r="R805">
        <v>3.2144963950470071E-3</v>
      </c>
      <c r="S805">
        <v>0.45065557307648385</v>
      </c>
      <c r="T805">
        <v>3.9617945447207199</v>
      </c>
      <c r="U805">
        <v>0</v>
      </c>
      <c r="V805">
        <v>1.1304767209823825E-2</v>
      </c>
      <c r="W805">
        <v>0.18444461626580988</v>
      </c>
      <c r="X805">
        <v>2.7767041230580096E-2</v>
      </c>
      <c r="Y805">
        <v>9.0844122275929497E-3</v>
      </c>
    </row>
    <row r="806" spans="1:25" x14ac:dyDescent="0.25">
      <c r="A806" s="1093"/>
      <c r="B806" s="1452">
        <v>556</v>
      </c>
      <c r="C806" s="1097">
        <v>1.0215842449252333</v>
      </c>
      <c r="D806" s="1097">
        <v>1.0224269717221584</v>
      </c>
      <c r="E806" s="1097">
        <v>0.98563283453424277</v>
      </c>
      <c r="F806" s="1097">
        <v>1.0077382491749343</v>
      </c>
      <c r="G806" s="1097">
        <v>1.0078897505153468</v>
      </c>
      <c r="H806" s="1097">
        <v>1.0070378558019208</v>
      </c>
      <c r="I806" s="1097">
        <v>0.96410158018389702</v>
      </c>
      <c r="K806">
        <v>5.1680803489282274</v>
      </c>
      <c r="L806">
        <v>0</v>
      </c>
      <c r="M806">
        <v>3.6697733161152805E-3</v>
      </c>
      <c r="N806">
        <v>0.30509933097875913</v>
      </c>
      <c r="O806">
        <v>0.14547783959667743</v>
      </c>
      <c r="P806">
        <v>2.0147131758660938E-2</v>
      </c>
      <c r="Q806">
        <v>1.2492243671213114E-3</v>
      </c>
      <c r="R806">
        <v>3.6637728122688768E-3</v>
      </c>
      <c r="S806">
        <v>0.43859024186247492</v>
      </c>
      <c r="T806">
        <v>4.028071603927935</v>
      </c>
      <c r="U806">
        <v>0</v>
      </c>
      <c r="V806">
        <v>1.1304767209823829E-2</v>
      </c>
      <c r="W806">
        <v>0.18351693732769433</v>
      </c>
      <c r="X806">
        <v>2.4275170719626874E-2</v>
      </c>
      <c r="Y806">
        <v>1.0354101683293775E-2</v>
      </c>
    </row>
    <row r="807" spans="1:25" x14ac:dyDescent="0.25">
      <c r="A807" s="1093"/>
      <c r="B807" s="1452">
        <v>557</v>
      </c>
      <c r="C807" s="1097">
        <v>0.98035513158124532</v>
      </c>
      <c r="D807" s="1097">
        <v>1.0179422176981856</v>
      </c>
      <c r="E807" s="1097">
        <v>0.98052934621327659</v>
      </c>
      <c r="F807" s="1097">
        <v>0.98803706691129434</v>
      </c>
      <c r="G807" s="1097">
        <v>1.0254481689132882</v>
      </c>
      <c r="H807" s="1097">
        <v>0.98462087464396264</v>
      </c>
      <c r="I807" s="1097">
        <v>0.95831596066399494</v>
      </c>
      <c r="K807">
        <v>5.0968714030226607</v>
      </c>
      <c r="L807">
        <v>0</v>
      </c>
      <c r="M807">
        <v>3.712033867688013E-3</v>
      </c>
      <c r="N807">
        <v>0.30395400404764006</v>
      </c>
      <c r="O807">
        <v>0.14903594647281274</v>
      </c>
      <c r="P807">
        <v>1.9739937649570941E-2</v>
      </c>
      <c r="Q807">
        <v>1.2982990529659334E-3</v>
      </c>
      <c r="R807">
        <v>3.7057025017779555E-3</v>
      </c>
      <c r="S807">
        <v>0.44317653468903806</v>
      </c>
      <c r="T807">
        <v>3.9499613229600468</v>
      </c>
      <c r="U807">
        <v>0</v>
      </c>
      <c r="V807">
        <v>1.130476720982381E-2</v>
      </c>
      <c r="W807">
        <v>0.18346706740601651</v>
      </c>
      <c r="X807">
        <v>2.4467256713628233E-2</v>
      </c>
      <c r="Y807">
        <v>1.047259818702679E-2</v>
      </c>
    </row>
    <row r="808" spans="1:25" x14ac:dyDescent="0.25">
      <c r="A808" s="1093"/>
      <c r="B808" s="1452">
        <v>558</v>
      </c>
      <c r="C808" s="1097">
        <v>1.043921817212049</v>
      </c>
      <c r="D808" s="1097">
        <v>0.98230589556965708</v>
      </c>
      <c r="E808" s="1097">
        <v>1.0339073258034244</v>
      </c>
      <c r="F808" s="1097">
        <v>1.0222660061914195</v>
      </c>
      <c r="G808" s="1097">
        <v>1.0210104895670071</v>
      </c>
      <c r="H808" s="1097">
        <v>1.0148859309016389</v>
      </c>
      <c r="I808" s="1097">
        <v>0.98862292894231707</v>
      </c>
      <c r="K808">
        <v>5.2577659592096069</v>
      </c>
      <c r="L808">
        <v>0</v>
      </c>
      <c r="M808">
        <v>3.369458114857813E-3</v>
      </c>
      <c r="N808">
        <v>0.3231858040915157</v>
      </c>
      <c r="O808">
        <v>0.14542303051177449</v>
      </c>
      <c r="P808">
        <v>2.1176044133028451E-2</v>
      </c>
      <c r="Q808">
        <v>1.2943701969614456E-3</v>
      </c>
      <c r="R808">
        <v>3.3640688305765121E-3</v>
      </c>
      <c r="S808">
        <v>0.45038149591738214</v>
      </c>
      <c r="T808">
        <v>4.0799737368784861</v>
      </c>
      <c r="U808">
        <v>0</v>
      </c>
      <c r="V808">
        <v>1.1304767209823827E-2</v>
      </c>
      <c r="W808">
        <v>0.18819578295317538</v>
      </c>
      <c r="X808">
        <v>2.7329201252019764E-2</v>
      </c>
      <c r="Y808">
        <v>9.5071153497145785E-3</v>
      </c>
    </row>
    <row r="809" spans="1:25" x14ac:dyDescent="0.25">
      <c r="A809" s="1093"/>
      <c r="B809" s="1452">
        <v>559</v>
      </c>
      <c r="C809" s="1097">
        <v>1.0163040906942051</v>
      </c>
      <c r="D809" s="1097">
        <v>0.96900489080858243</v>
      </c>
      <c r="E809" s="1097">
        <v>0.9837238751443601</v>
      </c>
      <c r="F809" s="1097">
        <v>1.014678461760482</v>
      </c>
      <c r="G809" s="1097">
        <v>1.0139683000789026</v>
      </c>
      <c r="H809" s="1097">
        <v>0.97649354617213802</v>
      </c>
      <c r="I809" s="1097">
        <v>0.99665945565668124</v>
      </c>
      <c r="K809">
        <v>5.2217939373726505</v>
      </c>
      <c r="L809">
        <v>0</v>
      </c>
      <c r="M809">
        <v>3.6944808044774911E-3</v>
      </c>
      <c r="N809">
        <v>0.30540697693951124</v>
      </c>
      <c r="O809">
        <v>0.15048929072391942</v>
      </c>
      <c r="P809">
        <v>2.0328732944792864E-2</v>
      </c>
      <c r="Q809">
        <v>1.2808432891363694E-3</v>
      </c>
      <c r="R809">
        <v>3.6882934855018605E-3</v>
      </c>
      <c r="S809">
        <v>0.45748781841599601</v>
      </c>
      <c r="T809">
        <v>4.0560575523001603</v>
      </c>
      <c r="U809">
        <v>0</v>
      </c>
      <c r="V809">
        <v>1.1304767209823817E-2</v>
      </c>
      <c r="W809">
        <v>0.18394163923493678</v>
      </c>
      <c r="X809">
        <v>2.5079104655433244E-2</v>
      </c>
      <c r="Y809">
        <v>1.0423398977915025E-2</v>
      </c>
    </row>
    <row r="810" spans="1:25" x14ac:dyDescent="0.25">
      <c r="A810" s="1093"/>
      <c r="B810" s="1452">
        <v>560</v>
      </c>
      <c r="C810" s="1097">
        <v>1.0043051241375163</v>
      </c>
      <c r="D810" s="1097">
        <v>0.99984044186873688</v>
      </c>
      <c r="E810" s="1097">
        <v>0.98337184955230161</v>
      </c>
      <c r="F810" s="1097">
        <v>1.0109606729941076</v>
      </c>
      <c r="G810" s="1097">
        <v>1.0004045785161997</v>
      </c>
      <c r="H810" s="1097">
        <v>1.0023457632716188</v>
      </c>
      <c r="I810" s="1097">
        <v>0.98130003458766046</v>
      </c>
      <c r="K810">
        <v>5.2158055654401805</v>
      </c>
      <c r="L810">
        <v>0</v>
      </c>
      <c r="M810">
        <v>3.778742193889234E-3</v>
      </c>
      <c r="N810">
        <v>0.31205809183084721</v>
      </c>
      <c r="O810">
        <v>0.14984977521688314</v>
      </c>
      <c r="P810">
        <v>2.0252028098374505E-2</v>
      </c>
      <c r="Q810">
        <v>1.2796160941581499E-3</v>
      </c>
      <c r="R810">
        <v>3.772554344406636E-3</v>
      </c>
      <c r="S810">
        <v>0.45643173257126052</v>
      </c>
      <c r="T810">
        <v>4.0412411570762377</v>
      </c>
      <c r="U810">
        <v>0</v>
      </c>
      <c r="V810">
        <v>1.1304767209823811E-2</v>
      </c>
      <c r="W810">
        <v>0.18799272308777906</v>
      </c>
      <c r="X810">
        <v>2.4740335506109809E-2</v>
      </c>
      <c r="Y810">
        <v>1.0661526598192179E-2</v>
      </c>
    </row>
    <row r="811" spans="1:25" x14ac:dyDescent="0.25">
      <c r="A811" s="1093"/>
      <c r="B811" s="1452">
        <v>561</v>
      </c>
      <c r="C811" s="1097">
        <v>1.0288551735971136</v>
      </c>
      <c r="D811" s="1097">
        <v>1.0433524551884361</v>
      </c>
      <c r="E811" s="1097">
        <v>0.99674625727784549</v>
      </c>
      <c r="F811" s="1097">
        <v>1.0204380535927566</v>
      </c>
      <c r="G811" s="1097">
        <v>1.0066294237173286</v>
      </c>
      <c r="H811" s="1097">
        <v>0.99779050709704509</v>
      </c>
      <c r="I811" s="1097">
        <v>0.99141226783022296</v>
      </c>
      <c r="K811">
        <v>5.2255965091530179</v>
      </c>
      <c r="L811">
        <v>0</v>
      </c>
      <c r="M811">
        <v>3.5425250249877505E-3</v>
      </c>
      <c r="N811">
        <v>0.304387873550723</v>
      </c>
      <c r="O811">
        <v>0.14478798207577526</v>
      </c>
      <c r="P811">
        <v>2.0587854789261641E-2</v>
      </c>
      <c r="Q811">
        <v>1.2422260615905522E-3</v>
      </c>
      <c r="R811">
        <v>3.5367515427677833E-3</v>
      </c>
      <c r="S811">
        <v>0.44915300718308987</v>
      </c>
      <c r="T811">
        <v>4.0774047767750519</v>
      </c>
      <c r="U811">
        <v>0</v>
      </c>
      <c r="V811">
        <v>1.1304767209823822E-2</v>
      </c>
      <c r="W811">
        <v>0.18171071888647181</v>
      </c>
      <c r="X811">
        <v>2.5027946225376598E-2</v>
      </c>
      <c r="Y811">
        <v>9.9951298780685174E-3</v>
      </c>
    </row>
    <row r="812" spans="1:25" x14ac:dyDescent="0.25">
      <c r="A812" s="1093"/>
      <c r="B812" s="1452">
        <v>562</v>
      </c>
      <c r="C812" s="1097">
        <v>1.0046467124944725</v>
      </c>
      <c r="D812" s="1097">
        <v>0.9998395908129285</v>
      </c>
      <c r="E812" s="1097">
        <v>0.99666839523732309</v>
      </c>
      <c r="F812" s="1097">
        <v>0.95692422947418032</v>
      </c>
      <c r="G812" s="1097">
        <v>0.9840626164576104</v>
      </c>
      <c r="H812" s="1097">
        <v>0.97015664762811582</v>
      </c>
      <c r="I812" s="1097">
        <v>1.0055856123727533</v>
      </c>
      <c r="K812">
        <v>4.9334483576875199</v>
      </c>
      <c r="L812">
        <v>0</v>
      </c>
      <c r="M812">
        <v>3.3656235657188978E-3</v>
      </c>
      <c r="N812">
        <v>0.2890754641725915</v>
      </c>
      <c r="O812">
        <v>0.14143956853097017</v>
      </c>
      <c r="P812">
        <v>1.9397550621337141E-2</v>
      </c>
      <c r="Q812">
        <v>1.2939358881550501E-3</v>
      </c>
      <c r="R812">
        <v>3.3596083643316794E-3</v>
      </c>
      <c r="S812">
        <v>0.44081082656410098</v>
      </c>
      <c r="T812">
        <v>3.8236294415078569</v>
      </c>
      <c r="U812">
        <v>0</v>
      </c>
      <c r="V812">
        <v>1.130476720982382E-2</v>
      </c>
      <c r="W812">
        <v>0.17257875730023414</v>
      </c>
      <c r="X812">
        <v>2.4429551362269191E-2</v>
      </c>
      <c r="Y812">
        <v>9.4945097315661947E-3</v>
      </c>
    </row>
    <row r="813" spans="1:25" x14ac:dyDescent="0.25">
      <c r="A813" s="1093"/>
      <c r="B813" s="1452">
        <v>563</v>
      </c>
      <c r="C813" s="1097">
        <v>1.039324039523996</v>
      </c>
      <c r="D813" s="1097">
        <v>1.0091138321091273</v>
      </c>
      <c r="E813" s="1097">
        <v>0.96422140549914581</v>
      </c>
      <c r="F813" s="1097">
        <v>0.97708702133257086</v>
      </c>
      <c r="G813" s="1097">
        <v>1.0020862745930363</v>
      </c>
      <c r="H813" s="1097">
        <v>0.98640903783072531</v>
      </c>
      <c r="I813" s="1097">
        <v>1.025462514850618</v>
      </c>
      <c r="K813">
        <v>5.0093215318974824</v>
      </c>
      <c r="L813">
        <v>0</v>
      </c>
      <c r="M813">
        <v>3.6021680043566507E-3</v>
      </c>
      <c r="N813">
        <v>0.28101202021295868</v>
      </c>
      <c r="O813">
        <v>0.13993208635494098</v>
      </c>
      <c r="P813">
        <v>1.931532576903483E-2</v>
      </c>
      <c r="Q813">
        <v>1.2115533020914638E-3</v>
      </c>
      <c r="R813">
        <v>3.5959665541132843E-3</v>
      </c>
      <c r="S813">
        <v>0.44425048347246143</v>
      </c>
      <c r="T813">
        <v>3.9082118436496494</v>
      </c>
      <c r="U813">
        <v>0</v>
      </c>
      <c r="V813">
        <v>1.1304767209823815E-2</v>
      </c>
      <c r="W813">
        <v>0.17153506458237705</v>
      </c>
      <c r="X813">
        <v>2.2392112773400277E-2</v>
      </c>
      <c r="Y813">
        <v>1.0162476020983151E-2</v>
      </c>
    </row>
    <row r="814" spans="1:25" x14ac:dyDescent="0.25">
      <c r="A814" s="1093"/>
      <c r="B814" s="1452">
        <v>564</v>
      </c>
      <c r="C814" s="1097">
        <v>0.99618835481706103</v>
      </c>
      <c r="D814" s="1097">
        <v>0.97461218901925906</v>
      </c>
      <c r="E814" s="1097">
        <v>0.9897191268342298</v>
      </c>
      <c r="F814" s="1097">
        <v>0.99633487342493021</v>
      </c>
      <c r="G814" s="1097">
        <v>0.96047263542929029</v>
      </c>
      <c r="H814" s="1097">
        <v>0.99687786689718016</v>
      </c>
      <c r="I814" s="1097">
        <v>0.98187827168480923</v>
      </c>
      <c r="K814">
        <v>5.1577996548224512</v>
      </c>
      <c r="L814">
        <v>0</v>
      </c>
      <c r="M814">
        <v>3.7224079156344095E-3</v>
      </c>
      <c r="N814">
        <v>0.31323736319553924</v>
      </c>
      <c r="O814">
        <v>0.1502364516592567</v>
      </c>
      <c r="P814">
        <v>2.0080451686543117E-2</v>
      </c>
      <c r="Q814">
        <v>1.3104675759683087E-3</v>
      </c>
      <c r="R814">
        <v>3.7161890594686955E-3</v>
      </c>
      <c r="S814">
        <v>0.45612933357884444</v>
      </c>
      <c r="T814">
        <v>3.9819765830673943</v>
      </c>
      <c r="U814">
        <v>0</v>
      </c>
      <c r="V814">
        <v>1.1304767209823822E-2</v>
      </c>
      <c r="W814">
        <v>0.18788794908072234</v>
      </c>
      <c r="X814">
        <v>2.5140272624849452E-2</v>
      </c>
      <c r="Y814">
        <v>1.050223399967163E-2</v>
      </c>
    </row>
    <row r="815" spans="1:25" x14ac:dyDescent="0.25">
      <c r="A815" s="1093"/>
      <c r="B815" s="1452">
        <v>565</v>
      </c>
      <c r="C815" s="1097">
        <v>1.0349257622378241</v>
      </c>
      <c r="D815" s="1097">
        <v>0.99122900399646574</v>
      </c>
      <c r="E815" s="1097">
        <v>0.9835357769926687</v>
      </c>
      <c r="F815" s="1097">
        <v>0.96396838970680121</v>
      </c>
      <c r="G815" s="1097">
        <v>1.0062741638604498</v>
      </c>
      <c r="H815" s="1097">
        <v>0.98527601319962266</v>
      </c>
      <c r="I815" s="1097">
        <v>1.0021667767733877</v>
      </c>
      <c r="K815">
        <v>4.9462686500751065</v>
      </c>
      <c r="L815">
        <v>0</v>
      </c>
      <c r="M815">
        <v>3.4479464699775876E-3</v>
      </c>
      <c r="N815">
        <v>0.28484742001847879</v>
      </c>
      <c r="O815">
        <v>0.13913310567032267</v>
      </c>
      <c r="P815">
        <v>1.9302911533830826E-2</v>
      </c>
      <c r="Q815">
        <v>1.2462366378777538E-3</v>
      </c>
      <c r="R815">
        <v>3.4419229637763626E-3</v>
      </c>
      <c r="S815">
        <v>0.43245307139826772</v>
      </c>
      <c r="T815">
        <v>3.8533729565651935</v>
      </c>
      <c r="U815">
        <v>0</v>
      </c>
      <c r="V815">
        <v>1.1304767209823815E-2</v>
      </c>
      <c r="W815">
        <v>0.17158100948455618</v>
      </c>
      <c r="X815">
        <v>2.3306057988936882E-2</v>
      </c>
      <c r="Y815">
        <v>9.7271370740192424E-3</v>
      </c>
    </row>
    <row r="816" spans="1:25" x14ac:dyDescent="0.25">
      <c r="A816" s="1093"/>
      <c r="B816" s="1452">
        <v>566</v>
      </c>
      <c r="C816" s="1097">
        <v>1.0176293079755678</v>
      </c>
      <c r="D816" s="1097">
        <v>0.98860758796491865</v>
      </c>
      <c r="E816" s="1097">
        <v>0.99578755628233662</v>
      </c>
      <c r="F816" s="1097">
        <v>1.0050195291474151</v>
      </c>
      <c r="G816" s="1097">
        <v>1.0196208410350507</v>
      </c>
      <c r="H816" s="1097">
        <v>1.0374287717105317</v>
      </c>
      <c r="I816" s="1097">
        <v>0.99107171410500694</v>
      </c>
      <c r="K816">
        <v>5.2058192267133636</v>
      </c>
      <c r="L816">
        <v>0</v>
      </c>
      <c r="M816">
        <v>3.7552109000750173E-3</v>
      </c>
      <c r="N816">
        <v>0.32175951630561689</v>
      </c>
      <c r="O816">
        <v>0.14734177256808087</v>
      </c>
      <c r="P816">
        <v>2.0344298319279381E-2</v>
      </c>
      <c r="Q816">
        <v>1.2822432922209746E-3</v>
      </c>
      <c r="R816">
        <v>3.7492344729481994E-3</v>
      </c>
      <c r="S816">
        <v>0.46016860496926454</v>
      </c>
      <c r="T816">
        <v>4.0159175518089727</v>
      </c>
      <c r="U816">
        <v>0</v>
      </c>
      <c r="V816">
        <v>1.1304767209823815E-2</v>
      </c>
      <c r="W816">
        <v>0.19220590246881036</v>
      </c>
      <c r="X816">
        <v>2.4904923337355795E-2</v>
      </c>
      <c r="Y816">
        <v>1.0595622861062677E-2</v>
      </c>
    </row>
    <row r="817" spans="1:25" x14ac:dyDescent="0.25">
      <c r="A817" s="1093"/>
      <c r="B817" s="1452">
        <v>567</v>
      </c>
      <c r="C817" s="1097">
        <v>0.99210144747302564</v>
      </c>
      <c r="D817" s="1097">
        <v>0.97057647203314157</v>
      </c>
      <c r="E817" s="1097">
        <v>0.99469267518353299</v>
      </c>
      <c r="F817" s="1097">
        <v>1.0250247793238347</v>
      </c>
      <c r="G817" s="1097">
        <v>1.017899330844062</v>
      </c>
      <c r="H817" s="1097">
        <v>0.99322996388917195</v>
      </c>
      <c r="I817" s="1097">
        <v>0.96783764198727462</v>
      </c>
      <c r="K817">
        <v>5.3018251669339262</v>
      </c>
      <c r="L817">
        <v>0</v>
      </c>
      <c r="M817">
        <v>3.7975504629932438E-3</v>
      </c>
      <c r="N817">
        <v>0.3243205855961564</v>
      </c>
      <c r="O817">
        <v>0.15531237250888563</v>
      </c>
      <c r="P817">
        <v>2.0698667038167605E-2</v>
      </c>
      <c r="Q817">
        <v>1.3237100774229074E-3</v>
      </c>
      <c r="R817">
        <v>3.7913607080417894E-3</v>
      </c>
      <c r="S817">
        <v>0.46199992100663406</v>
      </c>
      <c r="T817">
        <v>4.0959969559938525</v>
      </c>
      <c r="U817">
        <v>0</v>
      </c>
      <c r="V817">
        <v>1.130476720982382E-2</v>
      </c>
      <c r="W817">
        <v>0.19387966224347325</v>
      </c>
      <c r="X817">
        <v>2.6280040196839247E-2</v>
      </c>
      <c r="Y817">
        <v>1.0714674817623063E-2</v>
      </c>
    </row>
    <row r="818" spans="1:25" x14ac:dyDescent="0.25">
      <c r="A818" s="1093"/>
      <c r="B818" s="1452">
        <v>568</v>
      </c>
      <c r="C818" s="1097">
        <v>0.99448890885947439</v>
      </c>
      <c r="D818" s="1097">
        <v>0.96449685067529967</v>
      </c>
      <c r="E818" s="1097">
        <v>1.0107817774689314</v>
      </c>
      <c r="F818" s="1097">
        <v>1.0002416025244751</v>
      </c>
      <c r="G818" s="1097">
        <v>0.9784181269586254</v>
      </c>
      <c r="H818" s="1097">
        <v>0.96698809943990482</v>
      </c>
      <c r="I818" s="1097">
        <v>0.95641637594000073</v>
      </c>
      <c r="K818">
        <v>5.1548691730264613</v>
      </c>
      <c r="L818">
        <v>0</v>
      </c>
      <c r="M818">
        <v>3.4881034854430857E-3</v>
      </c>
      <c r="N818">
        <v>0.31240811269110919</v>
      </c>
      <c r="O818">
        <v>0.15111685512659814</v>
      </c>
      <c r="P818">
        <v>2.0392814613394625E-2</v>
      </c>
      <c r="Q818">
        <v>1.3422043262726936E-3</v>
      </c>
      <c r="R818">
        <v>3.4821193698034644E-3</v>
      </c>
      <c r="S818">
        <v>0.4419860725779246</v>
      </c>
      <c r="T818">
        <v>3.9949455142149728</v>
      </c>
      <c r="U818">
        <v>0</v>
      </c>
      <c r="V818">
        <v>1.1304767209823813E-2</v>
      </c>
      <c r="W818">
        <v>0.18474222116860853</v>
      </c>
      <c r="X818">
        <v>2.6795860027090525E-2</v>
      </c>
      <c r="Y818">
        <v>9.8407351863022581E-3</v>
      </c>
    </row>
    <row r="819" spans="1:25" x14ac:dyDescent="0.25">
      <c r="A819" s="1093"/>
      <c r="B819" s="1452">
        <v>569</v>
      </c>
      <c r="C819" s="1097">
        <v>0.98694274541471816</v>
      </c>
      <c r="D819" s="1097">
        <v>0.97425197916357542</v>
      </c>
      <c r="E819" s="1097">
        <v>1.0030848946117441</v>
      </c>
      <c r="F819" s="1097">
        <v>0.97147430572762772</v>
      </c>
      <c r="G819" s="1097">
        <v>0.99493553350439246</v>
      </c>
      <c r="H819" s="1097">
        <v>1.0226928065474425</v>
      </c>
      <c r="I819" s="1097">
        <v>1.0306208252628284</v>
      </c>
      <c r="K819">
        <v>5.0850644423452005</v>
      </c>
      <c r="L819">
        <v>0</v>
      </c>
      <c r="M819">
        <v>3.6548369423938056E-3</v>
      </c>
      <c r="N819">
        <v>0.31997900645986377</v>
      </c>
      <c r="O819">
        <v>0.14751188462836645</v>
      </c>
      <c r="P819">
        <v>1.9922438446080038E-2</v>
      </c>
      <c r="Q819">
        <v>1.3382159918909505E-3</v>
      </c>
      <c r="R819">
        <v>3.6487330508007372E-3</v>
      </c>
      <c r="S819">
        <v>0.47818450232873749</v>
      </c>
      <c r="T819">
        <v>3.8809852249713415</v>
      </c>
      <c r="U819">
        <v>0</v>
      </c>
      <c r="V819">
        <v>1.1304767209823832E-2</v>
      </c>
      <c r="W819">
        <v>0.19020153016566096</v>
      </c>
      <c r="X819">
        <v>2.5331377865869628E-2</v>
      </c>
      <c r="Y819">
        <v>1.0311598169153339E-2</v>
      </c>
    </row>
    <row r="820" spans="1:25" x14ac:dyDescent="0.25">
      <c r="A820" s="1093"/>
      <c r="B820" s="1452">
        <v>570</v>
      </c>
      <c r="C820" s="1097">
        <v>0.98317806070767289</v>
      </c>
      <c r="D820" s="1097">
        <v>1.0111220871159743</v>
      </c>
      <c r="E820" s="1097">
        <v>1.0089897404562429</v>
      </c>
      <c r="F820" s="1097">
        <v>0.96711298550173519</v>
      </c>
      <c r="G820" s="1097">
        <v>1.0397597196399986</v>
      </c>
      <c r="H820" s="1097">
        <v>0.99778106597960048</v>
      </c>
      <c r="I820" s="1097">
        <v>0.9992449676786932</v>
      </c>
      <c r="K820">
        <v>5.0230980499648981</v>
      </c>
      <c r="L820">
        <v>0</v>
      </c>
      <c r="M820">
        <v>3.467437169361964E-3</v>
      </c>
      <c r="N820">
        <v>0.30891253964812732</v>
      </c>
      <c r="O820">
        <v>0.14507685765129291</v>
      </c>
      <c r="P820">
        <v>1.9823495071321775E-2</v>
      </c>
      <c r="Q820">
        <v>1.3302169011404814E-3</v>
      </c>
      <c r="R820">
        <v>3.4614749478429031E-3</v>
      </c>
      <c r="S820">
        <v>0.45562217351221929</v>
      </c>
      <c r="T820">
        <v>3.8628470446141399</v>
      </c>
      <c r="U820">
        <v>0</v>
      </c>
      <c r="V820">
        <v>1.1304767209823811E-2</v>
      </c>
      <c r="W820">
        <v>0.18289502712774891</v>
      </c>
      <c r="X820">
        <v>2.5509497976885495E-2</v>
      </c>
      <c r="Y820">
        <v>9.7823924737146552E-3</v>
      </c>
    </row>
    <row r="821" spans="1:25" x14ac:dyDescent="0.25">
      <c r="A821" s="1093"/>
      <c r="B821" s="1452">
        <v>571</v>
      </c>
      <c r="C821" s="1097">
        <v>0.99079814380177211</v>
      </c>
      <c r="D821" s="1097">
        <v>0.99813432799124313</v>
      </c>
      <c r="E821" s="1097">
        <v>1.0080405202031382</v>
      </c>
      <c r="F821" s="1097">
        <v>0.97633494855904668</v>
      </c>
      <c r="G821" s="1097">
        <v>1.0093196703964347</v>
      </c>
      <c r="H821" s="1097">
        <v>0.98528795029907079</v>
      </c>
      <c r="I821" s="1097">
        <v>0.99099690819295716</v>
      </c>
      <c r="K821">
        <v>5.0535226862039195</v>
      </c>
      <c r="L821">
        <v>0</v>
      </c>
      <c r="M821">
        <v>3.4547229272818255E-3</v>
      </c>
      <c r="N821">
        <v>0.30691430620407029</v>
      </c>
      <c r="O821">
        <v>0.14611340429381478</v>
      </c>
      <c r="P821">
        <v>1.9956659833955108E-2</v>
      </c>
      <c r="Q821">
        <v>1.3257569185365313E-3</v>
      </c>
      <c r="R821">
        <v>3.448763970528226E-3</v>
      </c>
      <c r="S821">
        <v>0.45082246703972317</v>
      </c>
      <c r="T821">
        <v>3.8997973414192049</v>
      </c>
      <c r="U821">
        <v>0</v>
      </c>
      <c r="V821">
        <v>1.1304767209823815E-2</v>
      </c>
      <c r="W821">
        <v>0.1818278953174472</v>
      </c>
      <c r="X821">
        <v>2.5719576642713207E-2</v>
      </c>
      <c r="Y821">
        <v>9.7464702813861714E-3</v>
      </c>
    </row>
    <row r="822" spans="1:25" x14ac:dyDescent="0.25">
      <c r="A822" s="1093"/>
      <c r="B822" s="1452">
        <v>572</v>
      </c>
      <c r="C822" s="1097">
        <v>1.0383749325095077</v>
      </c>
      <c r="D822" s="1097">
        <v>0.97729174276133501</v>
      </c>
      <c r="E822" s="1097">
        <v>1.0163146488597421</v>
      </c>
      <c r="F822" s="1097">
        <v>1.0136632938859467</v>
      </c>
      <c r="G822" s="1097">
        <v>0.98574857797233273</v>
      </c>
      <c r="H822" s="1097">
        <v>0.98808603494401848</v>
      </c>
      <c r="I822" s="1097">
        <v>1.0057544616574003</v>
      </c>
      <c r="K822">
        <v>5.2079195356185775</v>
      </c>
      <c r="L822">
        <v>0</v>
      </c>
      <c r="M822">
        <v>3.4011657238764868E-3</v>
      </c>
      <c r="N822">
        <v>0.30966981823665246</v>
      </c>
      <c r="O822">
        <v>0.14574918238650825</v>
      </c>
      <c r="P822">
        <v>2.0769732750778924E-2</v>
      </c>
      <c r="Q822">
        <v>1.284744362853986E-3</v>
      </c>
      <c r="R822">
        <v>3.3955308329834538E-3</v>
      </c>
      <c r="S822">
        <v>0.45286771742595844</v>
      </c>
      <c r="T822">
        <v>4.0478518258805032</v>
      </c>
      <c r="U822">
        <v>0</v>
      </c>
      <c r="V822">
        <v>1.1304767209823811E-2</v>
      </c>
      <c r="W822">
        <v>0.18244565138995508</v>
      </c>
      <c r="X822">
        <v>2.6385701495911514E-2</v>
      </c>
      <c r="Y822">
        <v>9.5960293705268512E-3</v>
      </c>
    </row>
    <row r="823" spans="1:25" x14ac:dyDescent="0.25">
      <c r="A823" s="1093"/>
      <c r="B823" s="1452">
        <v>573</v>
      </c>
      <c r="C823" s="1097">
        <v>0.98347838178648594</v>
      </c>
      <c r="D823" s="1097">
        <v>0.98084719637932349</v>
      </c>
      <c r="E823" s="1097">
        <v>1.0340173110057072</v>
      </c>
      <c r="F823" s="1097">
        <v>1.0375277670766236</v>
      </c>
      <c r="G823" s="1097">
        <v>1.0214581405468099</v>
      </c>
      <c r="H823" s="1097">
        <v>0.98374294215998204</v>
      </c>
      <c r="I823" s="1097">
        <v>1.0142197709185583</v>
      </c>
      <c r="K823">
        <v>5.3959085264472693</v>
      </c>
      <c r="L823">
        <v>0</v>
      </c>
      <c r="M823">
        <v>3.5197361132898648E-3</v>
      </c>
      <c r="N823">
        <v>0.33770073616677992</v>
      </c>
      <c r="O823">
        <v>0.15675496104784187</v>
      </c>
      <c r="P823">
        <v>2.1648553642974605E-2</v>
      </c>
      <c r="Q823">
        <v>1.3748644540437494E-3</v>
      </c>
      <c r="R823">
        <v>3.5140135408570148E-3</v>
      </c>
      <c r="S823">
        <v>0.49044533089617004</v>
      </c>
      <c r="T823">
        <v>4.1408709712437073</v>
      </c>
      <c r="U823">
        <v>0</v>
      </c>
      <c r="V823">
        <v>1.130476720982381E-2</v>
      </c>
      <c r="W823">
        <v>0.19663375256109192</v>
      </c>
      <c r="X823">
        <v>2.9249441248562644E-2</v>
      </c>
      <c r="Y823">
        <v>9.9308705487043576E-3</v>
      </c>
    </row>
    <row r="824" spans="1:25" x14ac:dyDescent="0.25">
      <c r="A824" s="1093"/>
      <c r="B824" s="1452">
        <v>574</v>
      </c>
      <c r="C824" s="1097">
        <v>0.97923847561415434</v>
      </c>
      <c r="D824" s="1097">
        <v>0.97257673222303787</v>
      </c>
      <c r="E824" s="1097">
        <v>1.0052962450829042</v>
      </c>
      <c r="F824" s="1097">
        <v>0.98903425098661057</v>
      </c>
      <c r="G824" s="1097">
        <v>1.0152763965583689</v>
      </c>
      <c r="H824" s="1097">
        <v>1.0100795918966308</v>
      </c>
      <c r="I824" s="1097">
        <v>1.0005804452054585</v>
      </c>
      <c r="K824">
        <v>5.1624847289376135</v>
      </c>
      <c r="L824">
        <v>0</v>
      </c>
      <c r="M824">
        <v>3.689129545636619E-3</v>
      </c>
      <c r="N824">
        <v>0.32510678312340446</v>
      </c>
      <c r="O824">
        <v>0.1514011530522564</v>
      </c>
      <c r="P824">
        <v>2.0249158709772598E-2</v>
      </c>
      <c r="Q824">
        <v>1.352226853555254E-3</v>
      </c>
      <c r="R824">
        <v>3.6830020152555177E-3</v>
      </c>
      <c r="S824">
        <v>0.47269535285076797</v>
      </c>
      <c r="T824">
        <v>3.9508621634076224</v>
      </c>
      <c r="U824">
        <v>0</v>
      </c>
      <c r="V824">
        <v>1.1304767209823825E-2</v>
      </c>
      <c r="W824">
        <v>0.19296178122653551</v>
      </c>
      <c r="X824">
        <v>2.6149025155235081E-2</v>
      </c>
      <c r="Y824">
        <v>1.0408444879014224E-2</v>
      </c>
    </row>
    <row r="825" spans="1:25" x14ac:dyDescent="0.25">
      <c r="A825" s="1093"/>
      <c r="B825" s="1452">
        <v>575</v>
      </c>
      <c r="C825" s="1097">
        <v>0.98918320395876835</v>
      </c>
      <c r="D825" s="1097">
        <v>1.044116340937864</v>
      </c>
      <c r="E825" s="1097">
        <v>1.0292251714234879</v>
      </c>
      <c r="F825" s="1097">
        <v>0.95410844688401197</v>
      </c>
      <c r="G825" s="1097">
        <v>0.96862453132569604</v>
      </c>
      <c r="H825" s="1097">
        <v>0.98672986679316077</v>
      </c>
      <c r="I825" s="1097">
        <v>1.0089676952665976</v>
      </c>
      <c r="K825">
        <v>4.9397366476157778</v>
      </c>
      <c r="L825">
        <v>0</v>
      </c>
      <c r="M825">
        <v>3.1806686542092703E-3</v>
      </c>
      <c r="N825">
        <v>0.30083531706296607</v>
      </c>
      <c r="O825">
        <v>0.1399075676742805</v>
      </c>
      <c r="P825">
        <v>1.9828535565175772E-2</v>
      </c>
      <c r="Q825">
        <v>1.3278246192375801E-3</v>
      </c>
      <c r="R825">
        <v>3.1750630266578405E-3</v>
      </c>
      <c r="S825">
        <v>0.44730342821176378</v>
      </c>
      <c r="T825">
        <v>3.8085020893702897</v>
      </c>
      <c r="U825">
        <v>0</v>
      </c>
      <c r="V825">
        <v>1.1304767209823813E-2</v>
      </c>
      <c r="W825">
        <v>0.1757242784632376</v>
      </c>
      <c r="X825">
        <v>2.6035474548624545E-2</v>
      </c>
      <c r="Y825">
        <v>8.9729705179299075E-3</v>
      </c>
    </row>
    <row r="826" spans="1:25" x14ac:dyDescent="0.25">
      <c r="A826" s="1093"/>
      <c r="B826" s="1452">
        <v>576</v>
      </c>
      <c r="C826" s="1097">
        <v>1.0004386950182009</v>
      </c>
      <c r="D826" s="1097">
        <v>0.97209777410458187</v>
      </c>
      <c r="E826" s="1097">
        <v>1.0243795707549661</v>
      </c>
      <c r="F826" s="1097">
        <v>0.98586813900347769</v>
      </c>
      <c r="G826" s="1097">
        <v>0.95772930445831905</v>
      </c>
      <c r="H826" s="1097">
        <v>1.0469395936991737</v>
      </c>
      <c r="I826" s="1097">
        <v>0.99697086150465752</v>
      </c>
      <c r="K826">
        <v>5.1496205159784063</v>
      </c>
      <c r="L826">
        <v>0</v>
      </c>
      <c r="M826">
        <v>3.5841831210931354E-3</v>
      </c>
      <c r="N826">
        <v>0.33422963639265835</v>
      </c>
      <c r="O826">
        <v>0.14721802163836334</v>
      </c>
      <c r="P826">
        <v>2.0438231659912091E-2</v>
      </c>
      <c r="Q826">
        <v>1.3454557245790113E-3</v>
      </c>
      <c r="R826">
        <v>3.5784210861195299E-3</v>
      </c>
      <c r="S826">
        <v>0.46668593040829487</v>
      </c>
      <c r="T826">
        <v>3.9358690223241473</v>
      </c>
      <c r="U826">
        <v>0</v>
      </c>
      <c r="V826">
        <v>1.1304767209823817E-2</v>
      </c>
      <c r="W826">
        <v>0.19585951794050083</v>
      </c>
      <c r="X826">
        <v>2.6562803526200537E-2</v>
      </c>
      <c r="Y826">
        <v>1.0112891188899692E-2</v>
      </c>
    </row>
    <row r="827" spans="1:25" x14ac:dyDescent="0.25">
      <c r="A827" s="1093"/>
      <c r="B827" s="1452">
        <v>577</v>
      </c>
      <c r="C827" s="1097">
        <v>1.0009614172630472</v>
      </c>
      <c r="D827" s="1097">
        <v>1.0104540321149345</v>
      </c>
      <c r="E827" s="1097">
        <v>0.97149487179649663</v>
      </c>
      <c r="F827" s="1097">
        <v>0.98327253715066332</v>
      </c>
      <c r="G827" s="1097">
        <v>1.0157700854550435</v>
      </c>
      <c r="H827" s="1097">
        <v>1.0055730774561145</v>
      </c>
      <c r="I827" s="1097">
        <v>1.0341678789037188</v>
      </c>
      <c r="K827">
        <v>5.0993807423375381</v>
      </c>
      <c r="L827">
        <v>0</v>
      </c>
      <c r="M827">
        <v>3.7769494470500701E-3</v>
      </c>
      <c r="N827">
        <v>0.30109449445554787</v>
      </c>
      <c r="O827">
        <v>0.14593942542210006</v>
      </c>
      <c r="P827">
        <v>1.9649362220473865E-2</v>
      </c>
      <c r="Q827">
        <v>1.26534494907077E-3</v>
      </c>
      <c r="R827">
        <v>3.7706110731983542E-3</v>
      </c>
      <c r="S827">
        <v>0.47116179269734598</v>
      </c>
      <c r="T827">
        <v>3.9320416143987043</v>
      </c>
      <c r="U827">
        <v>0</v>
      </c>
      <c r="V827">
        <v>1.1304767209823811E-2</v>
      </c>
      <c r="W827">
        <v>0.18287258026106781</v>
      </c>
      <c r="X827">
        <v>2.3401664331860167E-2</v>
      </c>
      <c r="Y827">
        <v>1.0656034765395837E-2</v>
      </c>
    </row>
    <row r="828" spans="1:25" x14ac:dyDescent="0.25">
      <c r="A828" s="1093"/>
      <c r="B828" s="1452">
        <v>578</v>
      </c>
      <c r="C828" s="1097">
        <v>0.96124474021236461</v>
      </c>
      <c r="D828" s="1097">
        <v>0.98516264760087535</v>
      </c>
      <c r="E828" s="1097">
        <v>0.98879923274155301</v>
      </c>
      <c r="F828" s="1097">
        <v>0.99712017542851705</v>
      </c>
      <c r="G828" s="1097">
        <v>0.96093474614041119</v>
      </c>
      <c r="H828" s="1097">
        <v>0.96566898721520544</v>
      </c>
      <c r="I828" s="1097">
        <v>0.99716828706135963</v>
      </c>
      <c r="K828">
        <v>5.1840007704553557</v>
      </c>
      <c r="L828">
        <v>0</v>
      </c>
      <c r="M828">
        <v>3.7310310446798055E-3</v>
      </c>
      <c r="N828">
        <v>0.31309122764349007</v>
      </c>
      <c r="O828">
        <v>0.1551776976777004</v>
      </c>
      <c r="P828">
        <v>2.015857065676115E-2</v>
      </c>
      <c r="Q828">
        <v>1.3511967311023534E-3</v>
      </c>
      <c r="R828">
        <v>3.7246013925121596E-3</v>
      </c>
      <c r="S828">
        <v>0.47327385765364727</v>
      </c>
      <c r="T828">
        <v>3.9852308841598925</v>
      </c>
      <c r="U828">
        <v>0</v>
      </c>
      <c r="V828">
        <v>1.130476720982381E-2</v>
      </c>
      <c r="W828">
        <v>0.18791794679123006</v>
      </c>
      <c r="X828">
        <v>2.5975043688770311E-2</v>
      </c>
      <c r="Y828">
        <v>1.0526007895103702E-2</v>
      </c>
    </row>
    <row r="829" spans="1:25" x14ac:dyDescent="0.25">
      <c r="A829" s="1093"/>
      <c r="B829" s="1452">
        <v>579</v>
      </c>
      <c r="C829" s="1097">
        <v>0.95631154643062033</v>
      </c>
      <c r="D829" s="1097">
        <v>0.98919428665697517</v>
      </c>
      <c r="E829" s="1097">
        <v>0.97857428041201733</v>
      </c>
      <c r="F829" s="1097">
        <v>1.0398781922278624</v>
      </c>
      <c r="G829" s="1097">
        <v>1.0216202510489776</v>
      </c>
      <c r="H829" s="1097">
        <v>0.96200324576878726</v>
      </c>
      <c r="I829" s="1097">
        <v>1.0154380396669347</v>
      </c>
      <c r="K829">
        <v>5.4111803298314287</v>
      </c>
      <c r="L829">
        <v>0</v>
      </c>
      <c r="M829">
        <v>3.9740680176170882E-3</v>
      </c>
      <c r="N829">
        <v>0.32354299226548372</v>
      </c>
      <c r="O829">
        <v>0.16271195992731372</v>
      </c>
      <c r="P829">
        <v>2.0896299735420114E-2</v>
      </c>
      <c r="Q829">
        <v>1.3439965228506648E-3</v>
      </c>
      <c r="R829">
        <v>3.9674756652854229E-3</v>
      </c>
      <c r="S829">
        <v>0.50059838515991217</v>
      </c>
      <c r="T829">
        <v>4.1574687776664838</v>
      </c>
      <c r="U829">
        <v>0</v>
      </c>
      <c r="V829">
        <v>1.1304767209823829E-2</v>
      </c>
      <c r="W829">
        <v>0.19555285177756987</v>
      </c>
      <c r="X829">
        <v>2.6554502786364995E-2</v>
      </c>
      <c r="Y829">
        <v>1.1212389132534492E-2</v>
      </c>
    </row>
    <row r="830" spans="1:25" x14ac:dyDescent="0.25">
      <c r="A830" s="1093"/>
      <c r="B830" s="1452">
        <v>580</v>
      </c>
      <c r="C830" s="1097">
        <v>1.0245146812823702</v>
      </c>
      <c r="D830" s="1097">
        <v>0.97816316199832398</v>
      </c>
      <c r="E830" s="1097">
        <v>1.0055506355355872</v>
      </c>
      <c r="F830" s="1097">
        <v>0.99286978611498522</v>
      </c>
      <c r="G830" s="1097">
        <v>0.99927542927113377</v>
      </c>
      <c r="H830" s="1097">
        <v>1.0047967607044779</v>
      </c>
      <c r="I830" s="1097">
        <v>0.98087855301801219</v>
      </c>
      <c r="K830">
        <v>5.1154424488523436</v>
      </c>
      <c r="L830">
        <v>0</v>
      </c>
      <c r="M830">
        <v>3.5112935385300443E-3</v>
      </c>
      <c r="N830">
        <v>0.30966739614638727</v>
      </c>
      <c r="O830">
        <v>0.14493214204538163</v>
      </c>
      <c r="P830">
        <v>2.0186611983864709E-2</v>
      </c>
      <c r="Q830">
        <v>1.2897906584900447E-3</v>
      </c>
      <c r="R830">
        <v>3.5054533357544294E-3</v>
      </c>
      <c r="S830">
        <v>0.44288155188828909</v>
      </c>
      <c r="T830">
        <v>3.9661522169914161</v>
      </c>
      <c r="U830">
        <v>0</v>
      </c>
      <c r="V830">
        <v>1.130476720982383E-2</v>
      </c>
      <c r="W830">
        <v>0.18376650436707112</v>
      </c>
      <c r="X830">
        <v>2.5360629008847422E-2</v>
      </c>
      <c r="Y830">
        <v>9.9066787555437113E-3</v>
      </c>
    </row>
    <row r="831" spans="1:25" x14ac:dyDescent="0.25">
      <c r="A831" s="1093"/>
      <c r="B831" s="1452">
        <v>581</v>
      </c>
      <c r="C831" s="1097">
        <v>1.0043868712832722</v>
      </c>
      <c r="D831" s="1097">
        <v>1.0280548122172586</v>
      </c>
      <c r="E831" s="1097">
        <v>0.9992128186252931</v>
      </c>
      <c r="F831" s="1097">
        <v>0.99689429284350561</v>
      </c>
      <c r="G831" s="1097">
        <v>1.0365348636137635</v>
      </c>
      <c r="H831" s="1097">
        <v>0.9898520286953798</v>
      </c>
      <c r="I831" s="1097">
        <v>0.97022296637416017</v>
      </c>
      <c r="K831">
        <v>5.1240648964248221</v>
      </c>
      <c r="L831">
        <v>0</v>
      </c>
      <c r="M831">
        <v>3.5195481370677581E-3</v>
      </c>
      <c r="N831">
        <v>0.30461636812485099</v>
      </c>
      <c r="O831">
        <v>0.14568446881095487</v>
      </c>
      <c r="P831">
        <v>2.0161256687119808E-2</v>
      </c>
      <c r="Q831">
        <v>1.2827410963363384E-3</v>
      </c>
      <c r="R831">
        <v>3.5136297718355953E-3</v>
      </c>
      <c r="S831">
        <v>0.44132784996770535</v>
      </c>
      <c r="T831">
        <v>3.9830210230512657</v>
      </c>
      <c r="U831">
        <v>0</v>
      </c>
      <c r="V831">
        <v>1.1304767209823829E-2</v>
      </c>
      <c r="W831">
        <v>0.18154380605200224</v>
      </c>
      <c r="X831">
        <v>2.5198747801838391E-2</v>
      </c>
      <c r="Y831">
        <v>9.9297859881504486E-3</v>
      </c>
    </row>
    <row r="832" spans="1:25" x14ac:dyDescent="0.25">
      <c r="A832" s="1093"/>
      <c r="B832" s="1452">
        <v>582</v>
      </c>
      <c r="C832" s="1097">
        <v>0.98986244415073688</v>
      </c>
      <c r="D832" s="1097">
        <v>1.0416603950437133</v>
      </c>
      <c r="E832" s="1097">
        <v>0.96749753249297876</v>
      </c>
      <c r="F832" s="1097">
        <v>0.98829023454146081</v>
      </c>
      <c r="G832" s="1097">
        <v>0.9971311834962171</v>
      </c>
      <c r="H832" s="1097">
        <v>1.0157326643536269</v>
      </c>
      <c r="I832" s="1097">
        <v>0.96480466524130326</v>
      </c>
      <c r="K832">
        <v>5.1006368965521718</v>
      </c>
      <c r="L832">
        <v>0</v>
      </c>
      <c r="M832">
        <v>3.8628765023480459E-3</v>
      </c>
      <c r="N832">
        <v>0.30431826030434134</v>
      </c>
      <c r="O832">
        <v>0.14664436576558221</v>
      </c>
      <c r="P832">
        <v>1.9566863773168571E-2</v>
      </c>
      <c r="Q832">
        <v>1.2596518053574863E-3</v>
      </c>
      <c r="R832">
        <v>3.8564912973062734E-3</v>
      </c>
      <c r="S832">
        <v>0.44555747742086488</v>
      </c>
      <c r="T832">
        <v>3.9526101338008544</v>
      </c>
      <c r="U832">
        <v>0</v>
      </c>
      <c r="V832">
        <v>1.1304767209823825E-2</v>
      </c>
      <c r="W832">
        <v>0.18534110845885526</v>
      </c>
      <c r="X832">
        <v>2.3141914382989723E-2</v>
      </c>
      <c r="Y832">
        <v>1.0898738835369758E-2</v>
      </c>
    </row>
    <row r="833" spans="1:25" x14ac:dyDescent="0.25">
      <c r="A833" s="1093"/>
      <c r="B833" s="1452">
        <v>583</v>
      </c>
      <c r="C833" s="1097">
        <v>0.95883621763163429</v>
      </c>
      <c r="D833" s="1097">
        <v>0.99734641174267946</v>
      </c>
      <c r="E833" s="1097">
        <v>1.0013974651384998</v>
      </c>
      <c r="F833" s="1097">
        <v>0.97552883941721735</v>
      </c>
      <c r="G833" s="1097">
        <v>1.0087821740337015</v>
      </c>
      <c r="H833" s="1097">
        <v>0.99021312659600691</v>
      </c>
      <c r="I833" s="1097">
        <v>1.0287287772809668</v>
      </c>
      <c r="K833">
        <v>5.1069292394069334</v>
      </c>
      <c r="L833">
        <v>0</v>
      </c>
      <c r="M833">
        <v>3.636458867880049E-3</v>
      </c>
      <c r="N833">
        <v>0.31676735650696897</v>
      </c>
      <c r="O833">
        <v>0.15109530518343203</v>
      </c>
      <c r="P833">
        <v>1.9999956069170526E-2</v>
      </c>
      <c r="Q833">
        <v>1.3626260221984282E-3</v>
      </c>
      <c r="R833">
        <v>3.630212489391178E-3</v>
      </c>
      <c r="S833">
        <v>0.48429691598285324</v>
      </c>
      <c r="T833">
        <v>3.8973893184348762</v>
      </c>
      <c r="U833">
        <v>0</v>
      </c>
      <c r="V833">
        <v>1.1304767209823817E-2</v>
      </c>
      <c r="W833">
        <v>0.18850700674428544</v>
      </c>
      <c r="X833">
        <v>2.5952975983179381E-2</v>
      </c>
      <c r="Y833">
        <v>1.0259257648631956E-2</v>
      </c>
    </row>
    <row r="834" spans="1:25" x14ac:dyDescent="0.25">
      <c r="A834" s="1093"/>
      <c r="B834" s="1452">
        <v>584</v>
      </c>
      <c r="C834" s="1097">
        <v>1.0213346578008102</v>
      </c>
      <c r="D834" s="1097">
        <v>0.98229627359379867</v>
      </c>
      <c r="E834" s="1097">
        <v>1.0107581716099066</v>
      </c>
      <c r="F834" s="1097">
        <v>1.0142812545878164</v>
      </c>
      <c r="G834" s="1097">
        <v>0.99658823983574818</v>
      </c>
      <c r="H834" s="1097">
        <v>1.0389098830195009</v>
      </c>
      <c r="I834" s="1097">
        <v>0.98863544683663451</v>
      </c>
      <c r="K834">
        <v>5.2542305037538526</v>
      </c>
      <c r="L834">
        <v>0</v>
      </c>
      <c r="M834">
        <v>3.673385005103834E-3</v>
      </c>
      <c r="N834">
        <v>0.3290260646004205</v>
      </c>
      <c r="O834">
        <v>0.14812334838623473</v>
      </c>
      <c r="P834">
        <v>2.0740291237161222E-2</v>
      </c>
      <c r="Q834">
        <v>1.2973737590916494E-3</v>
      </c>
      <c r="R834">
        <v>3.6676003588689407E-3</v>
      </c>
      <c r="S834">
        <v>0.461778154640756</v>
      </c>
      <c r="T834">
        <v>4.0510226024604972</v>
      </c>
      <c r="U834">
        <v>0</v>
      </c>
      <c r="V834">
        <v>1.1304767209823806E-2</v>
      </c>
      <c r="W834">
        <v>0.19457231193193517</v>
      </c>
      <c r="X834">
        <v>2.6006455551966932E-2</v>
      </c>
      <c r="Y834">
        <v>1.0364918622204915E-2</v>
      </c>
    </row>
    <row r="835" spans="1:25" x14ac:dyDescent="0.25">
      <c r="A835" s="1093"/>
      <c r="B835" s="1452">
        <v>585</v>
      </c>
      <c r="C835" s="1097">
        <v>1.0135095214108951</v>
      </c>
      <c r="D835" s="1097">
        <v>1.0152707673485659</v>
      </c>
      <c r="E835" s="1097">
        <v>1.0151461560685011</v>
      </c>
      <c r="F835" s="1097">
        <v>0.97820787809622189</v>
      </c>
      <c r="G835" s="1097">
        <v>1.0095560425113668</v>
      </c>
      <c r="H835" s="1097">
        <v>0.98344389102042118</v>
      </c>
      <c r="I835" s="1097">
        <v>0.99839692140760317</v>
      </c>
      <c r="K835">
        <v>5.035461616147173</v>
      </c>
      <c r="L835">
        <v>0</v>
      </c>
      <c r="M835">
        <v>3.304611395109285E-3</v>
      </c>
      <c r="N835">
        <v>0.29981959462212943</v>
      </c>
      <c r="O835">
        <v>0.14195227503079585</v>
      </c>
      <c r="P835">
        <v>2.0055567084712206E-2</v>
      </c>
      <c r="Q835">
        <v>1.2950586272061622E-3</v>
      </c>
      <c r="R835">
        <v>3.2989115889721005E-3</v>
      </c>
      <c r="S835">
        <v>0.44290607805522469</v>
      </c>
      <c r="T835">
        <v>3.9064105031472915</v>
      </c>
      <c r="U835">
        <v>0</v>
      </c>
      <c r="V835">
        <v>1.1304767209823824E-2</v>
      </c>
      <c r="W835">
        <v>0.17678035491703445</v>
      </c>
      <c r="X835">
        <v>2.5620141248668238E-2</v>
      </c>
      <c r="Y835">
        <v>9.3229760104204407E-3</v>
      </c>
    </row>
    <row r="836" spans="1:25" x14ac:dyDescent="0.25">
      <c r="A836" s="1093"/>
      <c r="B836" s="1452">
        <v>586</v>
      </c>
      <c r="C836" s="1097">
        <v>1.0274321971256655</v>
      </c>
      <c r="D836" s="1097">
        <v>1.0159621353547266</v>
      </c>
      <c r="E836" s="1097">
        <v>1.0093736641706907</v>
      </c>
      <c r="F836" s="1097">
        <v>1.0076987276062885</v>
      </c>
      <c r="G836" s="1097">
        <v>1.0003459007797275</v>
      </c>
      <c r="H836" s="1097">
        <v>0.99923219575531952</v>
      </c>
      <c r="I836" s="1097">
        <v>1.018931061061374</v>
      </c>
      <c r="K836">
        <v>5.1881137892668265</v>
      </c>
      <c r="L836">
        <v>0</v>
      </c>
      <c r="M836">
        <v>3.4527175521492448E-3</v>
      </c>
      <c r="N836">
        <v>0.30797311592395488</v>
      </c>
      <c r="O836">
        <v>0.1443676006893416</v>
      </c>
      <c r="P836">
        <v>2.0591312920641404E-2</v>
      </c>
      <c r="Q836">
        <v>1.2709075663276659E-3</v>
      </c>
      <c r="R836">
        <v>3.4470276353654587E-3</v>
      </c>
      <c r="S836">
        <v>0.45999447207842431</v>
      </c>
      <c r="T836">
        <v>4.0249064348388215</v>
      </c>
      <c r="U836">
        <v>0</v>
      </c>
      <c r="V836">
        <v>1.1304767209823804E-2</v>
      </c>
      <c r="W836">
        <v>0.18229181663801824</v>
      </c>
      <c r="X836">
        <v>2.5677488052603257E-2</v>
      </c>
      <c r="Y836">
        <v>9.7415632656532702E-3</v>
      </c>
    </row>
    <row r="837" spans="1:25" x14ac:dyDescent="0.25">
      <c r="A837" s="1093"/>
      <c r="B837" s="1452">
        <v>587</v>
      </c>
      <c r="C837" s="1097">
        <v>0.95279274696214056</v>
      </c>
      <c r="D837" s="1097">
        <v>0.99256317820744522</v>
      </c>
      <c r="E837" s="1097">
        <v>0.99492665046505835</v>
      </c>
      <c r="F837" s="1097">
        <v>0.95595379598626873</v>
      </c>
      <c r="G837" s="1097">
        <v>0.97231521793329589</v>
      </c>
      <c r="H837" s="1097">
        <v>1.008869367282587</v>
      </c>
      <c r="I837" s="1097">
        <v>0.98645251912616372</v>
      </c>
      <c r="K837">
        <v>5.0071830741384327</v>
      </c>
      <c r="L837">
        <v>0</v>
      </c>
      <c r="M837">
        <v>3.7110300531970645E-3</v>
      </c>
      <c r="N837">
        <v>0.31712265565782494</v>
      </c>
      <c r="O837">
        <v>0.14947061872834469</v>
      </c>
      <c r="P837">
        <v>1.945820278240917E-2</v>
      </c>
      <c r="Q837">
        <v>1.3663014539670735E-3</v>
      </c>
      <c r="R837">
        <v>3.7046455675287695E-3</v>
      </c>
      <c r="S837">
        <v>0.46343603498020863</v>
      </c>
      <c r="T837">
        <v>3.8199612946440014</v>
      </c>
      <c r="U837">
        <v>0</v>
      </c>
      <c r="V837">
        <v>1.1304767209823818E-2</v>
      </c>
      <c r="W837">
        <v>0.18954663890667245</v>
      </c>
      <c r="X837">
        <v>2.5053333050701038E-2</v>
      </c>
      <c r="Y837">
        <v>1.0469611210145478E-2</v>
      </c>
    </row>
    <row r="838" spans="1:25" x14ac:dyDescent="0.25">
      <c r="A838" s="1093"/>
      <c r="B838" s="1452">
        <v>588</v>
      </c>
      <c r="C838" s="1097">
        <v>1.0057963083155328</v>
      </c>
      <c r="D838" s="1097">
        <v>1.0046938805644454</v>
      </c>
      <c r="E838" s="1097">
        <v>0.99681702492271818</v>
      </c>
      <c r="F838" s="1097">
        <v>0.9914509159915087</v>
      </c>
      <c r="G838" s="1097">
        <v>0.98695857505583884</v>
      </c>
      <c r="H838" s="1097">
        <v>0.98969520454272653</v>
      </c>
      <c r="I838" s="1097">
        <v>0.96467295462181746</v>
      </c>
      <c r="K838">
        <v>5.099938821100567</v>
      </c>
      <c r="L838">
        <v>0</v>
      </c>
      <c r="M838">
        <v>3.5450198934789188E-3</v>
      </c>
      <c r="N838">
        <v>0.30464743071861078</v>
      </c>
      <c r="O838">
        <v>0.14608796838295218</v>
      </c>
      <c r="P838">
        <v>2.0013260962524447E-2</v>
      </c>
      <c r="Q838">
        <v>1.290120134081828E-3</v>
      </c>
      <c r="R838">
        <v>3.5390250718722207E-3</v>
      </c>
      <c r="S838">
        <v>0.43810402112100055</v>
      </c>
      <c r="T838">
        <v>3.9615708996682093</v>
      </c>
      <c r="U838">
        <v>0</v>
      </c>
      <c r="V838">
        <v>1.130476720982381E-2</v>
      </c>
      <c r="W838">
        <v>0.18185694952137832</v>
      </c>
      <c r="X838">
        <v>2.5067843158699761E-2</v>
      </c>
      <c r="Y838">
        <v>1.0001555044893392E-2</v>
      </c>
    </row>
    <row r="839" spans="1:25" x14ac:dyDescent="0.25">
      <c r="A839" s="1093"/>
      <c r="B839" s="1452">
        <v>589</v>
      </c>
      <c r="C839" s="1097">
        <v>1.0080416335466706</v>
      </c>
      <c r="D839" s="1097">
        <v>1.0227419252903187</v>
      </c>
      <c r="E839" s="1097">
        <v>0.99674088312789288</v>
      </c>
      <c r="F839" s="1097">
        <v>0.98590604180596342</v>
      </c>
      <c r="G839" s="1097">
        <v>1.0090803523380043</v>
      </c>
      <c r="H839" s="1097">
        <v>0.99508649344154199</v>
      </c>
      <c r="I839" s="1097">
        <v>0.99168185829935585</v>
      </c>
      <c r="K839">
        <v>5.0790745858224593</v>
      </c>
      <c r="L839">
        <v>0</v>
      </c>
      <c r="M839">
        <v>3.5120014838644479E-3</v>
      </c>
      <c r="N839">
        <v>0.30174175292655431</v>
      </c>
      <c r="O839">
        <v>0.14392081335457144</v>
      </c>
      <c r="P839">
        <v>1.995059204435487E-2</v>
      </c>
      <c r="Q839">
        <v>1.278028096218634E-3</v>
      </c>
      <c r="R839">
        <v>3.5060615102628792E-3</v>
      </c>
      <c r="S839">
        <v>0.4466850180048883</v>
      </c>
      <c r="T839">
        <v>3.939424514818787</v>
      </c>
      <c r="U839">
        <v>0</v>
      </c>
      <c r="V839">
        <v>1.1304767209823837E-2</v>
      </c>
      <c r="W839">
        <v>0.18013171746632151</v>
      </c>
      <c r="X839">
        <v>2.4734924371397748E-2</v>
      </c>
      <c r="Y839">
        <v>9.9083975031365179E-3</v>
      </c>
    </row>
    <row r="840" spans="1:25" x14ac:dyDescent="0.25">
      <c r="A840" s="1093"/>
      <c r="B840" s="1452">
        <v>590</v>
      </c>
      <c r="C840" s="1097">
        <v>0.97516549123954577</v>
      </c>
      <c r="D840" s="1097">
        <v>0.99807146708071404</v>
      </c>
      <c r="E840" s="1097">
        <v>1.0112121391230178</v>
      </c>
      <c r="F840" s="1097">
        <v>1.0389714864125326</v>
      </c>
      <c r="G840" s="1097">
        <v>0.97280976786711459</v>
      </c>
      <c r="H840" s="1097">
        <v>0.96082544491896693</v>
      </c>
      <c r="I840" s="1097">
        <v>0.97805927002923265</v>
      </c>
      <c r="K840">
        <v>5.3673565035638831</v>
      </c>
      <c r="L840">
        <v>0</v>
      </c>
      <c r="M840">
        <v>3.6179920008965168E-3</v>
      </c>
      <c r="N840">
        <v>0.32447186881834966</v>
      </c>
      <c r="O840">
        <v>0.15788969058348556</v>
      </c>
      <c r="P840">
        <v>2.1243638381989487E-2</v>
      </c>
      <c r="Q840">
        <v>1.3506878402045985E-3</v>
      </c>
      <c r="R840">
        <v>3.6119777298700734E-3</v>
      </c>
      <c r="S840">
        <v>0.47146810253219068</v>
      </c>
      <c r="T840">
        <v>4.1495760694547483</v>
      </c>
      <c r="U840">
        <v>0</v>
      </c>
      <c r="V840">
        <v>1.130476720982382E-2</v>
      </c>
      <c r="W840">
        <v>0.19182072238911785</v>
      </c>
      <c r="X840">
        <v>2.8029245798930284E-2</v>
      </c>
      <c r="Y840">
        <v>1.020772482606728E-2</v>
      </c>
    </row>
    <row r="841" spans="1:25" x14ac:dyDescent="0.25">
      <c r="A841" s="1093"/>
      <c r="B841" s="1452">
        <v>591</v>
      </c>
      <c r="C841" s="1097">
        <v>0.99064003258085376</v>
      </c>
      <c r="D841" s="1097">
        <v>0.96278762376401483</v>
      </c>
      <c r="E841" s="1097">
        <v>1.0075606787259674</v>
      </c>
      <c r="F841" s="1097">
        <v>0.97375520058311305</v>
      </c>
      <c r="G841" s="1097">
        <v>0.99811422244155001</v>
      </c>
      <c r="H841" s="1097">
        <v>1.0271625677165062</v>
      </c>
      <c r="I841" s="1097">
        <v>1.0210750429487447</v>
      </c>
      <c r="K841">
        <v>5.0964515924748497</v>
      </c>
      <c r="L841">
        <v>0</v>
      </c>
      <c r="M841">
        <v>3.6484990695717272E-3</v>
      </c>
      <c r="N841">
        <v>0.32369033687078325</v>
      </c>
      <c r="O841">
        <v>0.14788116856753783</v>
      </c>
      <c r="P841">
        <v>2.0012923690739315E-2</v>
      </c>
      <c r="Q841">
        <v>1.3446798416780811E-3</v>
      </c>
      <c r="R841">
        <v>3.6424464646250092E-3</v>
      </c>
      <c r="S841">
        <v>0.47491282824459202</v>
      </c>
      <c r="T841">
        <v>3.8895514430880622</v>
      </c>
      <c r="U841">
        <v>0</v>
      </c>
      <c r="V841">
        <v>1.1304767209823825E-2</v>
      </c>
      <c r="W841">
        <v>0.19182853849165851</v>
      </c>
      <c r="X841">
        <v>2.5637127278253201E-2</v>
      </c>
      <c r="Y841">
        <v>1.0293831796662585E-2</v>
      </c>
    </row>
    <row r="842" spans="1:25" x14ac:dyDescent="0.25">
      <c r="A842" s="1093"/>
      <c r="B842" s="1452">
        <v>592</v>
      </c>
      <c r="C842" s="1097">
        <v>0.98611765177158106</v>
      </c>
      <c r="D842" s="1097">
        <v>0.99545568152270925</v>
      </c>
      <c r="E842" s="1097">
        <v>1.0235942889728114</v>
      </c>
      <c r="F842" s="1097">
        <v>1.0097236650942409</v>
      </c>
      <c r="G842" s="1097">
        <v>1.0089593895537001</v>
      </c>
      <c r="H842" s="1097">
        <v>0.99658489408176221</v>
      </c>
      <c r="I842" s="1097">
        <v>0.98254989445592766</v>
      </c>
      <c r="K842">
        <v>5.2370820847351265</v>
      </c>
      <c r="L842">
        <v>0</v>
      </c>
      <c r="M842">
        <v>3.5172812288970768E-3</v>
      </c>
      <c r="N842">
        <v>0.32721646373602342</v>
      </c>
      <c r="O842">
        <v>0.15154650178141188</v>
      </c>
      <c r="P842">
        <v>2.0856554356702924E-2</v>
      </c>
      <c r="Q842">
        <v>1.3511964589873987E-3</v>
      </c>
      <c r="R842">
        <v>3.5114811528918358E-3</v>
      </c>
      <c r="S842">
        <v>0.46427698506106141</v>
      </c>
      <c r="T842">
        <v>4.0312055660682269</v>
      </c>
      <c r="U842">
        <v>0</v>
      </c>
      <c r="V842">
        <v>1.130476720982381E-2</v>
      </c>
      <c r="W842">
        <v>0.19184993841186521</v>
      </c>
      <c r="X842">
        <v>2.7556197900050504E-2</v>
      </c>
      <c r="Y842">
        <v>9.923713826976089E-3</v>
      </c>
    </row>
    <row r="843" spans="1:25" x14ac:dyDescent="0.25">
      <c r="A843" s="1093"/>
      <c r="B843" s="1452">
        <v>593</v>
      </c>
      <c r="C843" s="1097">
        <v>0.97356526784464859</v>
      </c>
      <c r="D843" s="1097">
        <v>1.0110918792504784</v>
      </c>
      <c r="E843" s="1097">
        <v>1.0393847088872905</v>
      </c>
      <c r="F843" s="1097">
        <v>1.0031467371787413</v>
      </c>
      <c r="G843" s="1097">
        <v>0.97570413408910461</v>
      </c>
      <c r="H843" s="1097">
        <v>1.0244264270506058</v>
      </c>
      <c r="I843" s="1097">
        <v>0.9934657542034605</v>
      </c>
      <c r="K843">
        <v>5.2414353755446719</v>
      </c>
      <c r="L843">
        <v>0</v>
      </c>
      <c r="M843">
        <v>3.4969193820664902E-3</v>
      </c>
      <c r="N843">
        <v>0.34087912455102842</v>
      </c>
      <c r="O843">
        <v>0.15110180986555388</v>
      </c>
      <c r="P843">
        <v>2.1023119527779299E-2</v>
      </c>
      <c r="Q843">
        <v>1.378274582064284E-3</v>
      </c>
      <c r="R843">
        <v>3.4912728847253517E-3</v>
      </c>
      <c r="S843">
        <v>0.47676808951587657</v>
      </c>
      <c r="T843">
        <v>4.0029887659604775</v>
      </c>
      <c r="U843">
        <v>0</v>
      </c>
      <c r="V843">
        <v>1.1304767209823813E-2</v>
      </c>
      <c r="W843">
        <v>0.19778326976096236</v>
      </c>
      <c r="X843">
        <v>2.8347197350136969E-2</v>
      </c>
      <c r="Y843">
        <v>9.8666037183093181E-3</v>
      </c>
    </row>
    <row r="844" spans="1:25" x14ac:dyDescent="0.25">
      <c r="A844" s="1093"/>
      <c r="B844" s="1452">
        <v>594</v>
      </c>
      <c r="C844" s="1097">
        <v>1.0029238117192152</v>
      </c>
      <c r="D844" s="1097">
        <v>1.0025360792744038</v>
      </c>
      <c r="E844" s="1097">
        <v>0.98554255836970528</v>
      </c>
      <c r="F844" s="1097">
        <v>1.0309460352005388</v>
      </c>
      <c r="G844" s="1097">
        <v>0.96159881250148349</v>
      </c>
      <c r="H844" s="1097">
        <v>1.021735568977256</v>
      </c>
      <c r="I844" s="1097">
        <v>0.9780733707972209</v>
      </c>
      <c r="K844">
        <v>5.3303268053122483</v>
      </c>
      <c r="L844">
        <v>0</v>
      </c>
      <c r="M844">
        <v>3.9111600192285609E-3</v>
      </c>
      <c r="N844">
        <v>0.32510024552148847</v>
      </c>
      <c r="O844">
        <v>0.15279583762066551</v>
      </c>
      <c r="P844">
        <v>2.0688845049713477E-2</v>
      </c>
      <c r="Q844">
        <v>1.2824064520629117E-3</v>
      </c>
      <c r="R844">
        <v>3.9049984794397529E-3</v>
      </c>
      <c r="S844">
        <v>0.46652480892880605</v>
      </c>
      <c r="T844">
        <v>4.1208481550031273</v>
      </c>
      <c r="U844">
        <v>0</v>
      </c>
      <c r="V844">
        <v>1.1304767209823813E-2</v>
      </c>
      <c r="W844">
        <v>0.1955595163133467</v>
      </c>
      <c r="X844">
        <v>2.5192560917577593E-2</v>
      </c>
      <c r="Y844">
        <v>1.1035823835427136E-2</v>
      </c>
    </row>
    <row r="845" spans="1:25" x14ac:dyDescent="0.25">
      <c r="A845" s="1093"/>
      <c r="B845" s="1452">
        <v>595</v>
      </c>
      <c r="C845" s="1097">
        <v>1.0280432546717153</v>
      </c>
      <c r="D845" s="1097">
        <v>1.0147799398270665</v>
      </c>
      <c r="E845" s="1097">
        <v>0.97250253368807715</v>
      </c>
      <c r="F845" s="1097">
        <v>1.0102480969553633</v>
      </c>
      <c r="G845" s="1097">
        <v>1.0029277837246566</v>
      </c>
      <c r="H845" s="1097">
        <v>0.99597733981595937</v>
      </c>
      <c r="I845" s="1097">
        <v>1.0001668104984263</v>
      </c>
      <c r="K845">
        <v>5.1829663057058317</v>
      </c>
      <c r="L845">
        <v>0</v>
      </c>
      <c r="M845">
        <v>3.7278449720286825E-3</v>
      </c>
      <c r="N845">
        <v>0.29807905032291959</v>
      </c>
      <c r="O845">
        <v>0.1457165879634531</v>
      </c>
      <c r="P845">
        <v>2.0057809870989585E-2</v>
      </c>
      <c r="Q845">
        <v>1.2309901502656692E-3</v>
      </c>
      <c r="R845">
        <v>3.7216971096019481E-3</v>
      </c>
      <c r="S845">
        <v>0.45172030283967168</v>
      </c>
      <c r="T845">
        <v>4.0397856007227393</v>
      </c>
      <c r="U845">
        <v>0</v>
      </c>
      <c r="V845">
        <v>1.130476720982383E-2</v>
      </c>
      <c r="W845">
        <v>0.18091549358093362</v>
      </c>
      <c r="X845">
        <v>2.3644050737589264E-2</v>
      </c>
      <c r="Y845">
        <v>1.0517800169867931E-2</v>
      </c>
    </row>
    <row r="846" spans="1:25" x14ac:dyDescent="0.25">
      <c r="A846" s="1093"/>
      <c r="B846" s="1452">
        <v>596</v>
      </c>
      <c r="C846" s="1097">
        <v>1.0320674792994269</v>
      </c>
      <c r="D846" s="1097">
        <v>1.0081219163810788</v>
      </c>
      <c r="E846" s="1097">
        <v>1.0166319984531138</v>
      </c>
      <c r="F846" s="1097">
        <v>0.98530486582147148</v>
      </c>
      <c r="G846" s="1097">
        <v>0.98356724171029275</v>
      </c>
      <c r="H846" s="1097">
        <v>0.98325834911397825</v>
      </c>
      <c r="I846" s="1097">
        <v>0.97409813922486932</v>
      </c>
      <c r="K846">
        <v>5.0434162381130765</v>
      </c>
      <c r="L846">
        <v>0</v>
      </c>
      <c r="M846">
        <v>3.2670639586150083E-3</v>
      </c>
      <c r="N846">
        <v>0.29772289974810873</v>
      </c>
      <c r="O846">
        <v>0.140769207802594</v>
      </c>
      <c r="P846">
        <v>2.0136102284177955E-2</v>
      </c>
      <c r="Q846">
        <v>1.2769802510375708E-3</v>
      </c>
      <c r="R846">
        <v>3.2614683786814755E-3</v>
      </c>
      <c r="S846">
        <v>0.42748378338394361</v>
      </c>
      <c r="T846">
        <v>3.9345694357370999</v>
      </c>
      <c r="U846">
        <v>0</v>
      </c>
      <c r="V846">
        <v>1.1304767209823804E-2</v>
      </c>
      <c r="W846">
        <v>0.17536978097483194</v>
      </c>
      <c r="X846">
        <v>2.5571717661909944E-2</v>
      </c>
      <c r="Y846">
        <v>9.217158639485256E-3</v>
      </c>
    </row>
    <row r="847" spans="1:25" x14ac:dyDescent="0.25">
      <c r="A847" s="1093"/>
      <c r="B847" s="1452">
        <v>597</v>
      </c>
      <c r="C847" s="1097">
        <v>1.0304771518617641</v>
      </c>
      <c r="D847" s="1097">
        <v>0.99818110710738295</v>
      </c>
      <c r="E847" s="1097">
        <v>1.0200079935071436</v>
      </c>
      <c r="F847" s="1097">
        <v>0.9718390338992704</v>
      </c>
      <c r="G847" s="1097">
        <v>1.0444349436129341</v>
      </c>
      <c r="H847" s="1097">
        <v>1.0217907619760729</v>
      </c>
      <c r="I847" s="1097">
        <v>0.98588215258224665</v>
      </c>
      <c r="K847">
        <v>5.0117465865822757</v>
      </c>
      <c r="L847">
        <v>0</v>
      </c>
      <c r="M847">
        <v>3.3433412434364204E-3</v>
      </c>
      <c r="N847">
        <v>0.30774558240940547</v>
      </c>
      <c r="O847">
        <v>0.139523239322452</v>
      </c>
      <c r="P847">
        <v>1.9974955340869082E-2</v>
      </c>
      <c r="Q847">
        <v>1.2877080600201772E-3</v>
      </c>
      <c r="R847">
        <v>3.3377547409123632E-3</v>
      </c>
      <c r="S847">
        <v>0.43593099326679713</v>
      </c>
      <c r="T847">
        <v>3.8803886219721391</v>
      </c>
      <c r="U847">
        <v>0</v>
      </c>
      <c r="V847">
        <v>1.1304767209823817E-2</v>
      </c>
      <c r="W847">
        <v>0.18086544851707376</v>
      </c>
      <c r="X847">
        <v>2.5298107262881238E-2</v>
      </c>
      <c r="Y847">
        <v>9.4327497233379857E-3</v>
      </c>
    </row>
    <row r="848" spans="1:25" x14ac:dyDescent="0.25">
      <c r="A848" s="1093"/>
      <c r="B848" s="1452">
        <v>598</v>
      </c>
      <c r="C848" s="1097">
        <v>0.99384467595491288</v>
      </c>
      <c r="D848" s="1097">
        <v>0.99597077940752232</v>
      </c>
      <c r="E848" s="1097">
        <v>1.0024996210608099</v>
      </c>
      <c r="F848" s="1097">
        <v>1.0224038496756513</v>
      </c>
      <c r="G848" s="1097">
        <v>1.0250208318413552</v>
      </c>
      <c r="H848" s="1097">
        <v>1.0057249089236155</v>
      </c>
      <c r="I848" s="1097">
        <v>1.0241876830068601</v>
      </c>
      <c r="K848">
        <v>5.3143182743044033</v>
      </c>
      <c r="L848">
        <v>0</v>
      </c>
      <c r="M848">
        <v>3.7276494087842373E-3</v>
      </c>
      <c r="N848">
        <v>0.325806728579007</v>
      </c>
      <c r="O848">
        <v>0.15283020610126116</v>
      </c>
      <c r="P848">
        <v>2.0881328472722036E-2</v>
      </c>
      <c r="Q848">
        <v>1.3165946453247775E-3</v>
      </c>
      <c r="R848">
        <v>3.7216337159302264E-3</v>
      </c>
      <c r="S848">
        <v>0.48700412899200951</v>
      </c>
      <c r="T848">
        <v>4.0845209196796821</v>
      </c>
      <c r="U848">
        <v>0</v>
      </c>
      <c r="V848">
        <v>1.130476720982381E-2</v>
      </c>
      <c r="W848">
        <v>0.19374211634245622</v>
      </c>
      <c r="X848">
        <v>2.6399878960460629E-2</v>
      </c>
      <c r="Y848">
        <v>1.051762101451177E-2</v>
      </c>
    </row>
    <row r="849" spans="1:25" x14ac:dyDescent="0.25">
      <c r="A849" s="1093"/>
      <c r="B849" s="1452">
        <v>599</v>
      </c>
      <c r="C849" s="1097">
        <v>1.025659883867583</v>
      </c>
      <c r="D849" s="1097">
        <v>1.0235548020505725</v>
      </c>
      <c r="E849" s="1097">
        <v>1.0018079358710981</v>
      </c>
      <c r="F849" s="1097">
        <v>0.98619974999015358</v>
      </c>
      <c r="G849" s="1097">
        <v>0.98451652305315185</v>
      </c>
      <c r="H849" s="1097">
        <v>1.03991478276071</v>
      </c>
      <c r="I849" s="1097">
        <v>1.0025718125324288</v>
      </c>
      <c r="K849">
        <v>5.096738864981921</v>
      </c>
      <c r="L849">
        <v>0</v>
      </c>
      <c r="M849">
        <v>3.568815197281991E-3</v>
      </c>
      <c r="N849">
        <v>0.31128438102643036</v>
      </c>
      <c r="O849">
        <v>0.14131144196791665</v>
      </c>
      <c r="P849">
        <v>2.0052384856537552E-2</v>
      </c>
      <c r="Q849">
        <v>1.2611430004590314E-3</v>
      </c>
      <c r="R849">
        <v>3.5630410504824033E-3</v>
      </c>
      <c r="S849">
        <v>0.45189707958026737</v>
      </c>
      <c r="T849">
        <v>3.939970478219212</v>
      </c>
      <c r="U849">
        <v>0</v>
      </c>
      <c r="V849">
        <v>1.1304767209823806E-2</v>
      </c>
      <c r="W849">
        <v>0.1851927809374416</v>
      </c>
      <c r="X849">
        <v>2.4400756296654176E-2</v>
      </c>
      <c r="Y849">
        <v>1.0069426033978994E-2</v>
      </c>
    </row>
    <row r="850" spans="1:25" x14ac:dyDescent="0.25">
      <c r="A850" s="1093"/>
      <c r="B850" s="1452">
        <v>600</v>
      </c>
      <c r="C850" s="1097">
        <v>1.0162845109692606</v>
      </c>
      <c r="D850" s="1097">
        <v>1.0336934472169996</v>
      </c>
      <c r="E850" s="1097">
        <v>0.9619859048716326</v>
      </c>
      <c r="F850" s="1097">
        <v>1.0051067608943953</v>
      </c>
      <c r="G850" s="1097">
        <v>1.0125629003629184</v>
      </c>
      <c r="H850" s="1097">
        <v>0.98130032805503498</v>
      </c>
      <c r="I850" s="1097">
        <v>0.9898357928730287</v>
      </c>
      <c r="K850">
        <v>5.1469269654097349</v>
      </c>
      <c r="L850">
        <v>0</v>
      </c>
      <c r="M850">
        <v>3.7510676792130429E-3</v>
      </c>
      <c r="N850">
        <v>0.29070223061338413</v>
      </c>
      <c r="O850">
        <v>0.14585856536879332</v>
      </c>
      <c r="P850">
        <v>1.9786439099551505E-2</v>
      </c>
      <c r="Q850">
        <v>1.2247449246412362E-3</v>
      </c>
      <c r="R850">
        <v>3.7447569301904595E-3</v>
      </c>
      <c r="S850">
        <v>0.44603881110211646</v>
      </c>
      <c r="T850">
        <v>4.0205738665885953</v>
      </c>
      <c r="U850">
        <v>0</v>
      </c>
      <c r="V850">
        <v>1.1304767209823808E-2</v>
      </c>
      <c r="W850">
        <v>0.17772530675066611</v>
      </c>
      <c r="X850">
        <v>2.313557551780385E-2</v>
      </c>
      <c r="Y850">
        <v>1.0582968983385082E-2</v>
      </c>
    </row>
    <row r="851" spans="1:25" x14ac:dyDescent="0.25">
      <c r="A851" s="1093"/>
      <c r="B851" s="1452">
        <v>601</v>
      </c>
      <c r="C851" s="1097">
        <v>1.0028263895195915</v>
      </c>
      <c r="D851" s="1097">
        <v>0.9893170837623636</v>
      </c>
      <c r="E851" s="1097">
        <v>0.97876366505785539</v>
      </c>
      <c r="F851" s="1097">
        <v>0.97103097509202208</v>
      </c>
      <c r="G851" s="1097">
        <v>1.0342524981811116</v>
      </c>
      <c r="H851" s="1097">
        <v>0.99733464133268779</v>
      </c>
      <c r="I851" s="1097">
        <v>0.96216579907503885</v>
      </c>
      <c r="K851">
        <v>5.0056694533806372</v>
      </c>
      <c r="L851">
        <v>0</v>
      </c>
      <c r="M851">
        <v>3.6675738087053348E-3</v>
      </c>
      <c r="N851">
        <v>0.29874176762098464</v>
      </c>
      <c r="O851">
        <v>0.14487945824065299</v>
      </c>
      <c r="P851">
        <v>1.9366269955928241E-2</v>
      </c>
      <c r="Q851">
        <v>1.2818041754855435E-3</v>
      </c>
      <c r="R851">
        <v>3.6612900447651046E-3</v>
      </c>
      <c r="S851">
        <v>0.43337058005633972</v>
      </c>
      <c r="T851">
        <v>3.8821919158217675</v>
      </c>
      <c r="U851">
        <v>0</v>
      </c>
      <c r="V851">
        <v>1.1304767209823827E-2</v>
      </c>
      <c r="W851">
        <v>0.18053927742931217</v>
      </c>
      <c r="X851">
        <v>2.3652811441500051E-2</v>
      </c>
      <c r="Y851">
        <v>1.0347085192777784E-2</v>
      </c>
    </row>
    <row r="852" spans="1:25" x14ac:dyDescent="0.25">
      <c r="A852" s="1093"/>
      <c r="B852" s="1452">
        <v>602</v>
      </c>
      <c r="C852" s="1097">
        <v>0.99588266557492533</v>
      </c>
      <c r="D852" s="1097">
        <v>1.0172918846475325</v>
      </c>
      <c r="E852" s="1097">
        <v>0.97490991748562683</v>
      </c>
      <c r="F852" s="1097">
        <v>1.0089627748549581</v>
      </c>
      <c r="G852" s="1097">
        <v>0.98949180865067921</v>
      </c>
      <c r="H852" s="1097">
        <v>1.0083734729572975</v>
      </c>
      <c r="I852" s="1097">
        <v>0.96723065807343733</v>
      </c>
      <c r="K852">
        <v>5.2048250967824519</v>
      </c>
      <c r="L852">
        <v>0</v>
      </c>
      <c r="M852">
        <v>3.8677542678259825E-3</v>
      </c>
      <c r="N852">
        <v>0.31149011263193133</v>
      </c>
      <c r="O852">
        <v>0.15001504507979507</v>
      </c>
      <c r="P852">
        <v>2.0073948150897854E-2</v>
      </c>
      <c r="Q852">
        <v>1.2721534673396609E-3</v>
      </c>
      <c r="R852">
        <v>3.8614460714377023E-3</v>
      </c>
      <c r="S852">
        <v>0.45251523974247582</v>
      </c>
      <c r="T852">
        <v>4.0343371294248369</v>
      </c>
      <c r="U852">
        <v>0</v>
      </c>
      <c r="V852">
        <v>1.1304767209823832E-2</v>
      </c>
      <c r="W852">
        <v>0.18874227061664606</v>
      </c>
      <c r="X852">
        <v>2.4167997249742949E-2</v>
      </c>
      <c r="Y852">
        <v>1.0912741405344284E-2</v>
      </c>
    </row>
    <row r="853" spans="1:25" x14ac:dyDescent="0.25">
      <c r="A853" s="1093"/>
      <c r="B853" s="1452">
        <v>603</v>
      </c>
      <c r="C853" s="1097">
        <v>0.97457279657170071</v>
      </c>
      <c r="D853" s="1097">
        <v>1.0323821170264966</v>
      </c>
      <c r="E853" s="1097">
        <v>1.0066639558750237</v>
      </c>
      <c r="F853" s="1097">
        <v>1.0221819276483335</v>
      </c>
      <c r="G853" s="1097">
        <v>0.97110683432224965</v>
      </c>
      <c r="H853" s="1097">
        <v>1.0138693584724958</v>
      </c>
      <c r="I853" s="1097">
        <v>0.96560999808727532</v>
      </c>
      <c r="K853">
        <v>5.3014180814601515</v>
      </c>
      <c r="L853">
        <v>0</v>
      </c>
      <c r="M853">
        <v>3.7436827354737699E-3</v>
      </c>
      <c r="N853">
        <v>0.33127324056694052</v>
      </c>
      <c r="O853">
        <v>0.15347655376208</v>
      </c>
      <c r="P853">
        <v>2.0845466464852396E-2</v>
      </c>
      <c r="Q853">
        <v>1.3282023263488942E-3</v>
      </c>
      <c r="R853">
        <v>3.7376884011037282E-3</v>
      </c>
      <c r="S853">
        <v>0.46643482242812284</v>
      </c>
      <c r="T853">
        <v>4.0831010477072462</v>
      </c>
      <c r="U853">
        <v>0</v>
      </c>
      <c r="V853">
        <v>1.1304767209823832E-2</v>
      </c>
      <c r="W853">
        <v>0.19644084205249504</v>
      </c>
      <c r="X853">
        <v>2.6656140496077396E-2</v>
      </c>
      <c r="Y853">
        <v>1.0562992780529315E-2</v>
      </c>
    </row>
    <row r="854" spans="1:25" x14ac:dyDescent="0.25">
      <c r="A854" s="1093"/>
      <c r="B854" s="1452">
        <v>604</v>
      </c>
      <c r="C854" s="1097">
        <v>1.0158519977540512</v>
      </c>
      <c r="D854" s="1097">
        <v>0.9876780450128424</v>
      </c>
      <c r="E854" s="1097">
        <v>0.99550569850704951</v>
      </c>
      <c r="F854" s="1097">
        <v>0.99984257200356574</v>
      </c>
      <c r="G854" s="1097">
        <v>1.0343950045855868</v>
      </c>
      <c r="H854" s="1097">
        <v>0.99041861319877578</v>
      </c>
      <c r="I854" s="1097">
        <v>1.0123687371645023</v>
      </c>
      <c r="K854">
        <v>5.1594318614900034</v>
      </c>
      <c r="L854">
        <v>0</v>
      </c>
      <c r="M854">
        <v>3.576315861674428E-3</v>
      </c>
      <c r="N854">
        <v>0.30614947299868045</v>
      </c>
      <c r="O854">
        <v>0.14690228038131614</v>
      </c>
      <c r="P854">
        <v>2.0246144250199931E-2</v>
      </c>
      <c r="Q854">
        <v>1.284658868082627E-3</v>
      </c>
      <c r="R854">
        <v>3.5703231715295777E-3</v>
      </c>
      <c r="S854">
        <v>0.4601110003116059</v>
      </c>
      <c r="T854">
        <v>3.9952666096501548</v>
      </c>
      <c r="U854">
        <v>0</v>
      </c>
      <c r="V854">
        <v>1.1304767209823825E-2</v>
      </c>
      <c r="W854">
        <v>0.18291604995181271</v>
      </c>
      <c r="X854">
        <v>2.5166864694447739E-2</v>
      </c>
      <c r="Y854">
        <v>1.009000586402195E-2</v>
      </c>
    </row>
    <row r="855" spans="1:25" x14ac:dyDescent="0.25">
      <c r="A855" s="1093"/>
      <c r="B855" s="1452">
        <v>605</v>
      </c>
      <c r="C855" s="1097">
        <v>0.99519919152644665</v>
      </c>
      <c r="D855" s="1097">
        <v>0.99330911179933079</v>
      </c>
      <c r="E855" s="1097">
        <v>0.99147411079341974</v>
      </c>
      <c r="F855" s="1097">
        <v>0.96029317493170496</v>
      </c>
      <c r="G855" s="1097">
        <v>1.0049122688933052</v>
      </c>
      <c r="H855" s="1097">
        <v>1.0048052822110711</v>
      </c>
      <c r="I855" s="1097">
        <v>1.0093821087639883</v>
      </c>
      <c r="K855">
        <v>4.986921359483576</v>
      </c>
      <c r="L855">
        <v>0</v>
      </c>
      <c r="M855">
        <v>3.5794577447209423E-3</v>
      </c>
      <c r="N855">
        <v>0.30276484006037713</v>
      </c>
      <c r="O855">
        <v>0.14380088386084441</v>
      </c>
      <c r="P855">
        <v>1.9449543525583736E-2</v>
      </c>
      <c r="Q855">
        <v>1.3038085648679695E-3</v>
      </c>
      <c r="R855">
        <v>3.5733026012960906E-3</v>
      </c>
      <c r="S855">
        <v>0.45490286936103086</v>
      </c>
      <c r="T855">
        <v>3.8377189110874674</v>
      </c>
      <c r="U855">
        <v>0</v>
      </c>
      <c r="V855">
        <v>1.1304767209823834E-2</v>
      </c>
      <c r="W855">
        <v>0.18138959318385936</v>
      </c>
      <c r="X855">
        <v>2.4193871813130131E-2</v>
      </c>
      <c r="Y855">
        <v>1.0098425960010822E-2</v>
      </c>
    </row>
    <row r="856" spans="1:25" x14ac:dyDescent="0.25">
      <c r="A856" s="1093"/>
      <c r="B856" s="1452">
        <v>606</v>
      </c>
      <c r="C856" s="1097">
        <v>1.0065577534327366</v>
      </c>
      <c r="D856" s="1097">
        <v>1.007608065967629</v>
      </c>
      <c r="E856" s="1097">
        <v>0.96323404822087055</v>
      </c>
      <c r="F856" s="1097">
        <v>1.020647106342379</v>
      </c>
      <c r="G856" s="1097">
        <v>0.99395236679414212</v>
      </c>
      <c r="H856" s="1097">
        <v>0.97171131120338383</v>
      </c>
      <c r="I856" s="1097">
        <v>0.95908737082781881</v>
      </c>
      <c r="K856">
        <v>5.2242870541900199</v>
      </c>
      <c r="L856">
        <v>0</v>
      </c>
      <c r="M856">
        <v>3.8372897394235352E-3</v>
      </c>
      <c r="N856">
        <v>0.29849196095476765</v>
      </c>
      <c r="O856">
        <v>0.15104667107880262</v>
      </c>
      <c r="P856">
        <v>2.0063803400766841E-2</v>
      </c>
      <c r="Q856">
        <v>1.2506566564204728E-3</v>
      </c>
      <c r="R856">
        <v>3.8308693290233431E-3</v>
      </c>
      <c r="S856">
        <v>0.44244263977676135</v>
      </c>
      <c r="T856">
        <v>4.0825747801200531</v>
      </c>
      <c r="U856">
        <v>0</v>
      </c>
      <c r="V856">
        <v>1.1304767209823813E-2</v>
      </c>
      <c r="W856">
        <v>0.18232982873847467</v>
      </c>
      <c r="X856">
        <v>2.3962037467692671E-2</v>
      </c>
      <c r="Y856">
        <v>1.0826329196857457E-2</v>
      </c>
    </row>
    <row r="857" spans="1:25" x14ac:dyDescent="0.25">
      <c r="A857" s="1093"/>
      <c r="B857" s="1452">
        <v>607</v>
      </c>
      <c r="C857" s="1097">
        <v>0.98598220252922064</v>
      </c>
      <c r="D857" s="1097">
        <v>0.99807461769658856</v>
      </c>
      <c r="E857" s="1097">
        <v>0.98752247634864376</v>
      </c>
      <c r="F857" s="1097">
        <v>0.99375677938885665</v>
      </c>
      <c r="G857" s="1097">
        <v>1.0051498524258433</v>
      </c>
      <c r="H857" s="1097">
        <v>0.9899091439448654</v>
      </c>
      <c r="I857" s="1097">
        <v>0.97623667017448745</v>
      </c>
      <c r="K857">
        <v>5.1398763215729364</v>
      </c>
      <c r="L857">
        <v>0</v>
      </c>
      <c r="M857">
        <v>3.70680201996707E-3</v>
      </c>
      <c r="N857">
        <v>0.30989384066247261</v>
      </c>
      <c r="O857">
        <v>0.15002668979134123</v>
      </c>
      <c r="P857">
        <v>1.9991447371283749E-2</v>
      </c>
      <c r="Q857">
        <v>1.309009038903375E-3</v>
      </c>
      <c r="R857">
        <v>3.7005494881728633E-3</v>
      </c>
      <c r="S857">
        <v>0.45377201483090052</v>
      </c>
      <c r="T857">
        <v>3.9719484472340119</v>
      </c>
      <c r="U857">
        <v>0</v>
      </c>
      <c r="V857">
        <v>1.1304767209823806E-2</v>
      </c>
      <c r="W857">
        <v>0.18616073933792285</v>
      </c>
      <c r="X857">
        <v>2.5017583250905532E-2</v>
      </c>
      <c r="Y857">
        <v>1.0458035377164821E-2</v>
      </c>
    </row>
    <row r="858" spans="1:25" x14ac:dyDescent="0.25">
      <c r="A858" s="1093"/>
      <c r="B858" s="1452">
        <v>608</v>
      </c>
      <c r="C858" s="1097">
        <v>0.9684301421072683</v>
      </c>
      <c r="D858" s="1097">
        <v>1.0272351908305108</v>
      </c>
      <c r="E858" s="1097">
        <v>1.0153361444662841</v>
      </c>
      <c r="F858" s="1097">
        <v>0.98375409065881458</v>
      </c>
      <c r="G858" s="1097">
        <v>0.98608330115211584</v>
      </c>
      <c r="H858" s="1097">
        <v>0.99443955760562996</v>
      </c>
      <c r="I858" s="1097">
        <v>0.97229043649976155</v>
      </c>
      <c r="K858">
        <v>5.1059040804820199</v>
      </c>
      <c r="L858">
        <v>0</v>
      </c>
      <c r="M858">
        <v>3.4990536907213905E-3</v>
      </c>
      <c r="N858">
        <v>0.31764856481163567</v>
      </c>
      <c r="O858">
        <v>0.14869849030061794</v>
      </c>
      <c r="P858">
        <v>2.0213599660420148E-2</v>
      </c>
      <c r="Q858">
        <v>1.3492231809301158E-3</v>
      </c>
      <c r="R858">
        <v>3.4931188338682595E-3</v>
      </c>
      <c r="S858">
        <v>0.45452473987320258</v>
      </c>
      <c r="T858">
        <v>3.9285356503106366</v>
      </c>
      <c r="U858">
        <v>0</v>
      </c>
      <c r="V858">
        <v>1.1304767209823815E-2</v>
      </c>
      <c r="W858">
        <v>0.18726891400347356</v>
      </c>
      <c r="X858">
        <v>2.6494245476616017E-2</v>
      </c>
      <c r="Y858">
        <v>9.8718205115187248E-3</v>
      </c>
    </row>
    <row r="859" spans="1:25" x14ac:dyDescent="0.25">
      <c r="A859" s="1093"/>
      <c r="B859" s="1452">
        <v>609</v>
      </c>
      <c r="C859" s="1097">
        <v>0.98379573523368069</v>
      </c>
      <c r="D859" s="1097">
        <v>1.02447718305156</v>
      </c>
      <c r="E859" s="1097">
        <v>0.99693691796665695</v>
      </c>
      <c r="F859" s="1097">
        <v>0.98853123402358734</v>
      </c>
      <c r="G859" s="1097">
        <v>1.0213677154943366</v>
      </c>
      <c r="H859" s="1097">
        <v>0.98175951996344879</v>
      </c>
      <c r="I859" s="1097">
        <v>0.99560242276148159</v>
      </c>
      <c r="K859">
        <v>5.1117456633768841</v>
      </c>
      <c r="L859">
        <v>0</v>
      </c>
      <c r="M859">
        <v>3.5559180557988685E-3</v>
      </c>
      <c r="N859">
        <v>0.30568685807354617</v>
      </c>
      <c r="O859">
        <v>0.14775478519665372</v>
      </c>
      <c r="P859">
        <v>2.0051917603630683E-2</v>
      </c>
      <c r="Q859">
        <v>1.3088580694391933E-3</v>
      </c>
      <c r="R859">
        <v>3.5498383249708914E-3</v>
      </c>
      <c r="S859">
        <v>0.45790271419140316</v>
      </c>
      <c r="T859">
        <v>3.9498897345424475</v>
      </c>
      <c r="U859">
        <v>0</v>
      </c>
      <c r="V859">
        <v>1.1304767209823824E-2</v>
      </c>
      <c r="W859">
        <v>0.18246261031529604</v>
      </c>
      <c r="X859">
        <v>2.5357383781765049E-2</v>
      </c>
      <c r="Y859">
        <v>1.0032114123703053E-2</v>
      </c>
    </row>
    <row r="860" spans="1:25" x14ac:dyDescent="0.25">
      <c r="A860" s="1093"/>
      <c r="B860" s="1452">
        <v>610</v>
      </c>
      <c r="C860" s="1097">
        <v>0.96080298213333548</v>
      </c>
      <c r="D860" s="1097">
        <v>0.99726599283458306</v>
      </c>
      <c r="E860" s="1097">
        <v>1.000166408968854</v>
      </c>
      <c r="F860" s="1097">
        <v>0.99443545170827663</v>
      </c>
      <c r="G860" s="1097">
        <v>0.99552844867037138</v>
      </c>
      <c r="H860" s="1097">
        <v>0.97945564844827737</v>
      </c>
      <c r="I860" s="1097">
        <v>0.99927512617121406</v>
      </c>
      <c r="K860">
        <v>5.1795363981872367</v>
      </c>
      <c r="L860">
        <v>0</v>
      </c>
      <c r="M860">
        <v>3.6686591656581538E-3</v>
      </c>
      <c r="N860">
        <v>0.31841330691303643</v>
      </c>
      <c r="O860">
        <v>0.15374884235463374</v>
      </c>
      <c r="P860">
        <v>2.0283457309085481E-2</v>
      </c>
      <c r="Q860">
        <v>1.3584473099571847E-3</v>
      </c>
      <c r="R860">
        <v>3.6624091882837529E-3</v>
      </c>
      <c r="S860">
        <v>0.47497332888825511</v>
      </c>
      <c r="T860">
        <v>3.9730778189616882</v>
      </c>
      <c r="U860">
        <v>0</v>
      </c>
      <c r="V860">
        <v>1.1304767209823806E-2</v>
      </c>
      <c r="W860">
        <v>0.18964414746847905</v>
      </c>
      <c r="X860">
        <v>2.6388283771849305E-2</v>
      </c>
      <c r="Y860">
        <v>1.0350247977804046E-2</v>
      </c>
    </row>
    <row r="861" spans="1:25" x14ac:dyDescent="0.25">
      <c r="A861" s="1093"/>
      <c r="B861" s="1452">
        <v>611</v>
      </c>
      <c r="C861" s="1097">
        <v>0.99358630556096483</v>
      </c>
      <c r="D861" s="1097">
        <v>1.0427750559864253</v>
      </c>
      <c r="E861" s="1097">
        <v>1.014089796671507</v>
      </c>
      <c r="F861" s="1097">
        <v>1.0110980131800256</v>
      </c>
      <c r="G861" s="1097">
        <v>0.97584980356694451</v>
      </c>
      <c r="H861" s="1097">
        <v>0.99547281688094258</v>
      </c>
      <c r="I861" s="1097">
        <v>0.98355666920388185</v>
      </c>
      <c r="K861">
        <v>5.2160696021217161</v>
      </c>
      <c r="L861">
        <v>0</v>
      </c>
      <c r="M861">
        <v>3.496917543209199E-3</v>
      </c>
      <c r="N861">
        <v>0.31630080497453278</v>
      </c>
      <c r="O861">
        <v>0.14810492595246816</v>
      </c>
      <c r="P861">
        <v>2.0711124860353335E-2</v>
      </c>
      <c r="Q861">
        <v>1.3058058754076929E-3</v>
      </c>
      <c r="R861">
        <v>3.4911524394905425E-3</v>
      </c>
      <c r="S861">
        <v>0.45746650771734998</v>
      </c>
      <c r="T861">
        <v>4.0378883276370425</v>
      </c>
      <c r="U861">
        <v>0</v>
      </c>
      <c r="V861">
        <v>1.1304767209823824E-2</v>
      </c>
      <c r="W861">
        <v>0.1866299341783455</v>
      </c>
      <c r="X861">
        <v>2.6496905489230168E-2</v>
      </c>
      <c r="Y861">
        <v>9.8662633308801862E-3</v>
      </c>
    </row>
    <row r="862" spans="1:25" x14ac:dyDescent="0.25">
      <c r="A862" s="1093"/>
      <c r="B862" s="1452">
        <v>612</v>
      </c>
      <c r="C862" s="1097">
        <v>1.0251424332861125</v>
      </c>
      <c r="D862" s="1097">
        <v>0.97768270769079713</v>
      </c>
      <c r="E862" s="1097">
        <v>1.0207424594864405</v>
      </c>
      <c r="F862" s="1097">
        <v>0.99654419161337093</v>
      </c>
      <c r="G862" s="1097">
        <v>0.99860249613696117</v>
      </c>
      <c r="H862" s="1097">
        <v>0.96572409545201032</v>
      </c>
      <c r="I862" s="1097">
        <v>1.0000530240387056</v>
      </c>
      <c r="K862">
        <v>5.1185243973449319</v>
      </c>
      <c r="L862">
        <v>0</v>
      </c>
      <c r="M862">
        <v>3.2789933436100024E-3</v>
      </c>
      <c r="N862">
        <v>0.30246294422585124</v>
      </c>
      <c r="O862">
        <v>0.1449931275772823</v>
      </c>
      <c r="P862">
        <v>2.0485116076053779E-2</v>
      </c>
      <c r="Q862">
        <v>1.306008465369388E-3</v>
      </c>
      <c r="R862">
        <v>3.2733397460371879E-3</v>
      </c>
      <c r="S862">
        <v>0.44552059901716579</v>
      </c>
      <c r="T862">
        <v>3.9789411192165693</v>
      </c>
      <c r="U862">
        <v>0</v>
      </c>
      <c r="V862">
        <v>1.1304767209823827E-2</v>
      </c>
      <c r="W862">
        <v>0.17767377235024062</v>
      </c>
      <c r="X862">
        <v>2.6591888774174528E-2</v>
      </c>
      <c r="Y862">
        <v>9.2507080299685223E-3</v>
      </c>
    </row>
    <row r="863" spans="1:25" x14ac:dyDescent="0.25">
      <c r="A863" s="1093"/>
      <c r="B863" s="1452">
        <v>613</v>
      </c>
      <c r="C863" s="1097">
        <v>1.0389672666483145</v>
      </c>
      <c r="D863" s="1097">
        <v>1.0040243140967857</v>
      </c>
      <c r="E863" s="1097">
        <v>1.008070269168764</v>
      </c>
      <c r="F863" s="1097">
        <v>0.99704498344816861</v>
      </c>
      <c r="G863" s="1097">
        <v>0.97354661334125381</v>
      </c>
      <c r="H863" s="1097">
        <v>1.0214410010005102</v>
      </c>
      <c r="I863" s="1097">
        <v>0.96820434744104589</v>
      </c>
      <c r="K863">
        <v>5.1177028775972007</v>
      </c>
      <c r="L863">
        <v>0</v>
      </c>
      <c r="M863">
        <v>3.4793482950172903E-3</v>
      </c>
      <c r="N863">
        <v>0.30915882049191268</v>
      </c>
      <c r="O863">
        <v>0.14195960209839106</v>
      </c>
      <c r="P863">
        <v>2.0255133658367428E-2</v>
      </c>
      <c r="Q863">
        <v>1.2613515417816505E-3</v>
      </c>
      <c r="R863">
        <v>3.4736793242735723E-3</v>
      </c>
      <c r="S863">
        <v>0.43325154062155585</v>
      </c>
      <c r="T863">
        <v>3.9825162044593623</v>
      </c>
      <c r="U863">
        <v>0</v>
      </c>
      <c r="V863">
        <v>1.1304767209823824E-2</v>
      </c>
      <c r="W863">
        <v>0.18315396973830625</v>
      </c>
      <c r="X863">
        <v>2.503027377517044E-2</v>
      </c>
      <c r="Y863">
        <v>9.8168829732677848E-3</v>
      </c>
    </row>
    <row r="864" spans="1:25" x14ac:dyDescent="0.25">
      <c r="A864" s="1093"/>
      <c r="B864" s="1452">
        <v>614</v>
      </c>
      <c r="C864" s="1097">
        <v>0.9708449236966088</v>
      </c>
      <c r="D864" s="1097">
        <v>1.0065681045889789</v>
      </c>
      <c r="E864" s="1097">
        <v>0.9829179952849596</v>
      </c>
      <c r="F864" s="1097">
        <v>0.97106502859502275</v>
      </c>
      <c r="G864" s="1097">
        <v>1.0026197516559503</v>
      </c>
      <c r="H864" s="1097">
        <v>0.99523784190528275</v>
      </c>
      <c r="I864" s="1097">
        <v>1.0328431999152381</v>
      </c>
      <c r="K864">
        <v>5.0678631277600052</v>
      </c>
      <c r="L864">
        <v>0</v>
      </c>
      <c r="M864">
        <v>3.7219004196999052E-3</v>
      </c>
      <c r="N864">
        <v>0.30692599477005633</v>
      </c>
      <c r="O864">
        <v>0.14851072474430835</v>
      </c>
      <c r="P864">
        <v>1.9628346097051143E-2</v>
      </c>
      <c r="Q864">
        <v>1.3196530656464924E-3</v>
      </c>
      <c r="R864">
        <v>3.7155103651234601E-3</v>
      </c>
      <c r="S864">
        <v>0.47848654034310967</v>
      </c>
      <c r="T864">
        <v>3.8818170155763982</v>
      </c>
      <c r="U864">
        <v>0</v>
      </c>
      <c r="V864">
        <v>1.1304767209823815E-2</v>
      </c>
      <c r="W864">
        <v>0.18495838172890672</v>
      </c>
      <c r="X864">
        <v>2.4417778321643633E-2</v>
      </c>
      <c r="Y864">
        <v>1.050031595763613E-2</v>
      </c>
    </row>
    <row r="865" spans="1:25" x14ac:dyDescent="0.25">
      <c r="A865" s="1093"/>
      <c r="B865" s="1452">
        <v>615</v>
      </c>
      <c r="C865" s="1097">
        <v>0.9741291120196417</v>
      </c>
      <c r="D865" s="1097">
        <v>1.0300384775148543</v>
      </c>
      <c r="E865" s="1097">
        <v>1.0134481604772281</v>
      </c>
      <c r="F865" s="1097">
        <v>0.98081234328861877</v>
      </c>
      <c r="G865" s="1097">
        <v>0.97820460729695646</v>
      </c>
      <c r="H865" s="1097">
        <v>1.0015265563905729</v>
      </c>
      <c r="I865" s="1097">
        <v>0.99822197744592278</v>
      </c>
      <c r="K865">
        <v>5.0998750588938426</v>
      </c>
      <c r="L865">
        <v>0</v>
      </c>
      <c r="M865">
        <v>3.5030404680126167E-3</v>
      </c>
      <c r="N865">
        <v>0.31624058544519235</v>
      </c>
      <c r="O865">
        <v>0.14727822253813155</v>
      </c>
      <c r="P865">
        <v>2.0175381870550763E-2</v>
      </c>
      <c r="Q865">
        <v>1.3377218726592208E-3</v>
      </c>
      <c r="R865">
        <v>3.4971232284811533E-3</v>
      </c>
      <c r="S865">
        <v>0.46382937467504348</v>
      </c>
      <c r="T865">
        <v>3.9170189564929814</v>
      </c>
      <c r="U865">
        <v>0</v>
      </c>
      <c r="V865">
        <v>1.1304767209823801E-2</v>
      </c>
      <c r="W865">
        <v>0.18667458785975732</v>
      </c>
      <c r="X865">
        <v>2.613824093281962E-2</v>
      </c>
      <c r="Y865">
        <v>9.8831372364158229E-3</v>
      </c>
    </row>
    <row r="866" spans="1:25" x14ac:dyDescent="0.25">
      <c r="A866" s="1093"/>
      <c r="B866" s="1452">
        <v>616</v>
      </c>
      <c r="C866" s="1097">
        <v>0.98513171033184921</v>
      </c>
      <c r="D866" s="1097">
        <v>1.0211730066131155</v>
      </c>
      <c r="E866" s="1097">
        <v>0.95914246524636182</v>
      </c>
      <c r="F866" s="1097">
        <v>0.99006206915677242</v>
      </c>
      <c r="G866" s="1097">
        <v>1.0241736712601017</v>
      </c>
      <c r="H866" s="1097">
        <v>0.99848370860724112</v>
      </c>
      <c r="I866" s="1097">
        <v>0.98049530643143701</v>
      </c>
      <c r="K866">
        <v>5.1161458340278756</v>
      </c>
      <c r="L866">
        <v>0</v>
      </c>
      <c r="M866">
        <v>3.9208240970166732E-3</v>
      </c>
      <c r="N866">
        <v>0.30130258169274299</v>
      </c>
      <c r="O866">
        <v>0.14902179712512209</v>
      </c>
      <c r="P866">
        <v>1.951556850950175E-2</v>
      </c>
      <c r="Q866">
        <v>1.2664798699820179E-3</v>
      </c>
      <c r="R866">
        <v>3.914242925566234E-3</v>
      </c>
      <c r="S866">
        <v>0.45426988827895659</v>
      </c>
      <c r="T866">
        <v>3.9607528675540449</v>
      </c>
      <c r="U866">
        <v>0</v>
      </c>
      <c r="V866">
        <v>1.1304767209823803E-2</v>
      </c>
      <c r="W866">
        <v>0.18457001113314542</v>
      </c>
      <c r="X866">
        <v>2.3086504480047711E-2</v>
      </c>
      <c r="Y866">
        <v>1.1061949345960645E-2</v>
      </c>
    </row>
    <row r="867" spans="1:25" x14ac:dyDescent="0.25">
      <c r="A867" s="1093"/>
      <c r="B867" s="1452">
        <v>617</v>
      </c>
      <c r="C867" s="1097">
        <v>1.0134350228630857</v>
      </c>
      <c r="D867" s="1097">
        <v>0.99513192885697732</v>
      </c>
      <c r="E867" s="1097">
        <v>0.99003433038290878</v>
      </c>
      <c r="F867" s="1097">
        <v>1.0029314324379506</v>
      </c>
      <c r="G867" s="1097">
        <v>1.0213572680435299</v>
      </c>
      <c r="H867" s="1097">
        <v>0.99734178118246164</v>
      </c>
      <c r="I867" s="1097">
        <v>1.0098292747909803</v>
      </c>
      <c r="K867">
        <v>5.1776112793726954</v>
      </c>
      <c r="L867">
        <v>0</v>
      </c>
      <c r="M867">
        <v>3.6519546020530301E-3</v>
      </c>
      <c r="N867">
        <v>0.30759975302037534</v>
      </c>
      <c r="O867">
        <v>0.14741498353860541</v>
      </c>
      <c r="P867">
        <v>2.0229905692627774E-2</v>
      </c>
      <c r="Q867">
        <v>1.277822061231145E-3</v>
      </c>
      <c r="R867">
        <v>3.6458963309148255E-3</v>
      </c>
      <c r="S867">
        <v>0.46185738397377918</v>
      </c>
      <c r="T867">
        <v>4.0083006744189111</v>
      </c>
      <c r="U867">
        <v>0</v>
      </c>
      <c r="V867">
        <v>1.1304767209823806E-2</v>
      </c>
      <c r="W867">
        <v>0.18446678941875128</v>
      </c>
      <c r="X867">
        <v>2.4861676927547854E-2</v>
      </c>
      <c r="Y867">
        <v>1.0303581382182441E-2</v>
      </c>
    </row>
    <row r="868" spans="1:25" x14ac:dyDescent="0.25">
      <c r="A868" s="1093"/>
      <c r="B868" s="1452">
        <v>618</v>
      </c>
      <c r="C868" s="1097">
        <v>0.96894231353693716</v>
      </c>
      <c r="D868" s="1097">
        <v>0.99842028363613233</v>
      </c>
      <c r="E868" s="1097">
        <v>1.0241693316792415</v>
      </c>
      <c r="F868" s="1097">
        <v>0.96779718292523331</v>
      </c>
      <c r="G868" s="1097">
        <v>0.99005034035032835</v>
      </c>
      <c r="H868" s="1097">
        <v>0.98164015281163486</v>
      </c>
      <c r="I868" s="1097">
        <v>0.97573013269891362</v>
      </c>
      <c r="K868">
        <v>5.0286823269603609</v>
      </c>
      <c r="L868">
        <v>0</v>
      </c>
      <c r="M868">
        <v>3.3716635090235386E-3</v>
      </c>
      <c r="N868">
        <v>0.31417275253138699</v>
      </c>
      <c r="O868">
        <v>0.14763689062253429</v>
      </c>
      <c r="P868">
        <v>2.002342762187611E-2</v>
      </c>
      <c r="Q868">
        <v>1.3741797232306144E-3</v>
      </c>
      <c r="R868">
        <v>3.3657748004115788E-3</v>
      </c>
      <c r="S868">
        <v>0.44988935629385235</v>
      </c>
      <c r="T868">
        <v>3.8637498240581403</v>
      </c>
      <c r="U868">
        <v>0</v>
      </c>
      <c r="V868">
        <v>1.1304767209823806E-2</v>
      </c>
      <c r="W868">
        <v>0.18413186325816816</v>
      </c>
      <c r="X868">
        <v>2.6893217799248813E-2</v>
      </c>
      <c r="Y868">
        <v>9.5119365507131126E-3</v>
      </c>
    </row>
    <row r="869" spans="1:25" x14ac:dyDescent="0.25">
      <c r="A869" s="1093"/>
      <c r="B869" s="1452">
        <v>619</v>
      </c>
      <c r="C869" s="1097">
        <v>0.99243347241987656</v>
      </c>
      <c r="D869" s="1097">
        <v>1.008946911965209</v>
      </c>
      <c r="E869" s="1097">
        <v>0.98193018782951103</v>
      </c>
      <c r="F869" s="1097">
        <v>0.97748868455050564</v>
      </c>
      <c r="G869" s="1097">
        <v>1.043482879030287</v>
      </c>
      <c r="H869" s="1097">
        <v>1.0014372369466982</v>
      </c>
      <c r="I869" s="1097">
        <v>1.0159483755708949</v>
      </c>
      <c r="K869">
        <v>5.0709957870931168</v>
      </c>
      <c r="L869">
        <v>0</v>
      </c>
      <c r="M869">
        <v>3.6919814537277047E-3</v>
      </c>
      <c r="N869">
        <v>0.3035744107985498</v>
      </c>
      <c r="O869">
        <v>0.14613014457794446</v>
      </c>
      <c r="P869">
        <v>1.9663974494370594E-2</v>
      </c>
      <c r="Q869">
        <v>1.288624437595365E-3</v>
      </c>
      <c r="R869">
        <v>3.6857233331636743E-3</v>
      </c>
      <c r="S869">
        <v>0.46390471986929188</v>
      </c>
      <c r="T869">
        <v>3.9076177077837242</v>
      </c>
      <c r="U869">
        <v>0</v>
      </c>
      <c r="V869">
        <v>1.130476720982383E-2</v>
      </c>
      <c r="W869">
        <v>0.18306231132905798</v>
      </c>
      <c r="X869">
        <v>2.4039249182133463E-2</v>
      </c>
      <c r="Y869">
        <v>1.041613553118546E-2</v>
      </c>
    </row>
    <row r="870" spans="1:25" x14ac:dyDescent="0.25">
      <c r="A870" s="1093"/>
      <c r="B870" s="1452">
        <v>620</v>
      </c>
      <c r="C870" s="1097">
        <v>1.0042530916709431</v>
      </c>
      <c r="D870" s="1097">
        <v>1.0151108785966649</v>
      </c>
      <c r="E870" s="1097">
        <v>1.0231106253102848</v>
      </c>
      <c r="F870" s="1097">
        <v>1.0181828343671735</v>
      </c>
      <c r="G870" s="1097">
        <v>1.0069735300230143</v>
      </c>
      <c r="H870" s="1097">
        <v>0.98288063650791568</v>
      </c>
      <c r="I870" s="1097">
        <v>1.0236356731606004</v>
      </c>
      <c r="K870">
        <v>5.2611798529716491</v>
      </c>
      <c r="L870">
        <v>0</v>
      </c>
      <c r="M870">
        <v>3.4114871895028617E-3</v>
      </c>
      <c r="N870">
        <v>0.31691772198663248</v>
      </c>
      <c r="O870">
        <v>0.14890101961564112</v>
      </c>
      <c r="P870">
        <v>2.104992978221934E-2</v>
      </c>
      <c r="Q870">
        <v>1.3159217359361586E-3</v>
      </c>
      <c r="R870">
        <v>3.4058304451799115E-3</v>
      </c>
      <c r="S870">
        <v>0.47383432748380711</v>
      </c>
      <c r="T870">
        <v>4.065038974128659</v>
      </c>
      <c r="U870">
        <v>0</v>
      </c>
      <c r="V870">
        <v>1.1304767209823822E-2</v>
      </c>
      <c r="W870">
        <v>0.1858714926413973</v>
      </c>
      <c r="X870">
        <v>2.7326218270918363E-2</v>
      </c>
      <c r="Y870">
        <v>9.6251368609322312E-3</v>
      </c>
    </row>
    <row r="871" spans="1:25" x14ac:dyDescent="0.25">
      <c r="A871" s="1093"/>
      <c r="B871" s="1452">
        <v>621</v>
      </c>
      <c r="C871" s="1097">
        <v>1.0440421452202073</v>
      </c>
      <c r="D871" s="1097">
        <v>0.97677173385589355</v>
      </c>
      <c r="E871" s="1097">
        <v>0.98080852834941701</v>
      </c>
      <c r="F871" s="1097">
        <v>0.99618291886916666</v>
      </c>
      <c r="G871" s="1097">
        <v>0.98855910052867113</v>
      </c>
      <c r="H871" s="1097">
        <v>0.9965288580035484</v>
      </c>
      <c r="I871" s="1097">
        <v>1.0130850614429161</v>
      </c>
      <c r="K871">
        <v>5.1160071191460021</v>
      </c>
      <c r="L871">
        <v>0</v>
      </c>
      <c r="M871">
        <v>3.6138948169591426E-3</v>
      </c>
      <c r="N871">
        <v>0.29617340938427994</v>
      </c>
      <c r="O871">
        <v>0.14344045240915129</v>
      </c>
      <c r="P871">
        <v>1.9914867213749188E-2</v>
      </c>
      <c r="Q871">
        <v>1.2397021515975031E-3</v>
      </c>
      <c r="R871">
        <v>3.6078542144059996E-3</v>
      </c>
      <c r="S871">
        <v>0.44873559372450483</v>
      </c>
      <c r="T871">
        <v>3.9824914657190513</v>
      </c>
      <c r="U871">
        <v>0</v>
      </c>
      <c r="V871">
        <v>1.1304767209823822E-2</v>
      </c>
      <c r="W871">
        <v>0.17873651366253776</v>
      </c>
      <c r="X871">
        <v>2.3780316817304088E-2</v>
      </c>
      <c r="Y871">
        <v>1.0196071456550299E-2</v>
      </c>
    </row>
    <row r="872" spans="1:25" x14ac:dyDescent="0.25">
      <c r="A872" s="1093"/>
      <c r="B872" s="1452">
        <v>622</v>
      </c>
      <c r="C872" s="1097">
        <v>0.99850652313442367</v>
      </c>
      <c r="D872" s="1097">
        <v>0.98628674345115253</v>
      </c>
      <c r="E872" s="1097">
        <v>1.015812758091071</v>
      </c>
      <c r="F872" s="1097">
        <v>1.0055652845794969</v>
      </c>
      <c r="G872" s="1097">
        <v>0.96437756334361702</v>
      </c>
      <c r="H872" s="1097">
        <v>0.96874026257619683</v>
      </c>
      <c r="I872" s="1097">
        <v>1.0021907373729531</v>
      </c>
      <c r="K872">
        <v>5.1927252579356589</v>
      </c>
      <c r="L872">
        <v>0</v>
      </c>
      <c r="M872">
        <v>3.4311090172162374E-3</v>
      </c>
      <c r="N872">
        <v>0.31191785430686636</v>
      </c>
      <c r="O872">
        <v>0.14982193420593712</v>
      </c>
      <c r="P872">
        <v>2.0653862191565942E-2</v>
      </c>
      <c r="Q872">
        <v>1.3305877292093648E-3</v>
      </c>
      <c r="R872">
        <v>3.4252643825551615E-3</v>
      </c>
      <c r="S872">
        <v>0.46162255751731868</v>
      </c>
      <c r="T872">
        <v>4.0155770082245157</v>
      </c>
      <c r="U872">
        <v>0</v>
      </c>
      <c r="V872">
        <v>1.130476720982382E-2</v>
      </c>
      <c r="W872">
        <v>0.1838317820645072</v>
      </c>
      <c r="X872">
        <v>2.6990690468904958E-2</v>
      </c>
      <c r="Y872">
        <v>9.6800586516656208E-3</v>
      </c>
    </row>
    <row r="873" spans="1:25" x14ac:dyDescent="0.25">
      <c r="A873" s="1093"/>
      <c r="B873" s="1452">
        <v>623</v>
      </c>
      <c r="C873" s="1097">
        <v>1.0174501813391008</v>
      </c>
      <c r="D873" s="1097">
        <v>0.99344228007888669</v>
      </c>
      <c r="E873" s="1097">
        <v>0.98601012682687306</v>
      </c>
      <c r="F873" s="1097">
        <v>0.99951774677717375</v>
      </c>
      <c r="G873" s="1097">
        <v>1.0327564307591275</v>
      </c>
      <c r="H873" s="1097">
        <v>1.0100046929195468</v>
      </c>
      <c r="I873" s="1097">
        <v>1.0289366270265774</v>
      </c>
      <c r="K873">
        <v>5.1730369977192092</v>
      </c>
      <c r="L873">
        <v>0</v>
      </c>
      <c r="M873">
        <v>3.7049135010877705E-3</v>
      </c>
      <c r="N873">
        <v>0.30836307345064529</v>
      </c>
      <c r="O873">
        <v>0.14654326459961803</v>
      </c>
      <c r="P873">
        <v>2.0146023995410583E-2</v>
      </c>
      <c r="Q873">
        <v>1.2692262556051512E-3</v>
      </c>
      <c r="R873">
        <v>3.6988237392337892E-3</v>
      </c>
      <c r="S873">
        <v>0.46996381109890106</v>
      </c>
      <c r="T873">
        <v>3.9951654365679086</v>
      </c>
      <c r="U873">
        <v>0</v>
      </c>
      <c r="V873">
        <v>1.1304767209823808E-2</v>
      </c>
      <c r="W873">
        <v>0.18543232540293084</v>
      </c>
      <c r="X873">
        <v>2.4402000621314378E-2</v>
      </c>
      <c r="Y873">
        <v>1.0453158278908298E-2</v>
      </c>
    </row>
    <row r="874" spans="1:25" x14ac:dyDescent="0.25">
      <c r="A874" s="1093"/>
      <c r="B874" s="1452">
        <v>624</v>
      </c>
      <c r="C874" s="1097">
        <v>0.96162827361823655</v>
      </c>
      <c r="D874" s="1097">
        <v>1.0010361212302132</v>
      </c>
      <c r="E874" s="1097">
        <v>1.0099404111044841</v>
      </c>
      <c r="F874" s="1097">
        <v>0.97869591629124508</v>
      </c>
      <c r="G874" s="1097">
        <v>0.97504022392112011</v>
      </c>
      <c r="H874" s="1097">
        <v>0.99903319232507848</v>
      </c>
      <c r="I874" s="1097">
        <v>1.0105431712123663</v>
      </c>
      <c r="K874">
        <v>5.1178458933111157</v>
      </c>
      <c r="L874">
        <v>0</v>
      </c>
      <c r="M874">
        <v>3.5992395554151051E-3</v>
      </c>
      <c r="N874">
        <v>0.32156584914750352</v>
      </c>
      <c r="O874">
        <v>0.15068069029791178</v>
      </c>
      <c r="P874">
        <v>2.0146787189243693E-2</v>
      </c>
      <c r="Q874">
        <v>1.366597671463265E-3</v>
      </c>
      <c r="R874">
        <v>3.5931314874880159E-3</v>
      </c>
      <c r="S874">
        <v>0.47698989239543266</v>
      </c>
      <c r="T874">
        <v>3.9089953431567994</v>
      </c>
      <c r="U874">
        <v>0</v>
      </c>
      <c r="V874">
        <v>1.1304767209823824E-2</v>
      </c>
      <c r="W874">
        <v>0.19026504774564079</v>
      </c>
      <c r="X874">
        <v>2.6382562658969488E-2</v>
      </c>
      <c r="Y874">
        <v>1.0154463906253047E-2</v>
      </c>
    </row>
    <row r="875" spans="1:25" x14ac:dyDescent="0.25">
      <c r="A875" s="1093"/>
      <c r="B875" s="1452">
        <v>625</v>
      </c>
      <c r="C875" s="1097">
        <v>1.0362817335310521</v>
      </c>
      <c r="D875" s="1097">
        <v>0.97136955396662583</v>
      </c>
      <c r="E875" s="1097">
        <v>1.0130450755652263</v>
      </c>
      <c r="F875" s="1097">
        <v>0.97657070496345033</v>
      </c>
      <c r="G875" s="1097">
        <v>0.98797259939840931</v>
      </c>
      <c r="H875" s="1097">
        <v>1.0435966435227182</v>
      </c>
      <c r="I875" s="1097">
        <v>1.0251355203189298</v>
      </c>
      <c r="K875">
        <v>5.0699017098624886</v>
      </c>
      <c r="L875">
        <v>0</v>
      </c>
      <c r="M875">
        <v>3.500515393188471E-3</v>
      </c>
      <c r="N875">
        <v>0.3156551117415583</v>
      </c>
      <c r="O875">
        <v>0.1411287493490255</v>
      </c>
      <c r="P875">
        <v>2.006999755125433E-2</v>
      </c>
      <c r="Q875">
        <v>1.2868956120236914E-3</v>
      </c>
      <c r="R875">
        <v>3.4948161810535385E-3</v>
      </c>
      <c r="S875">
        <v>0.45907647526976214</v>
      </c>
      <c r="T875">
        <v>3.9001284615529292</v>
      </c>
      <c r="U875">
        <v>0</v>
      </c>
      <c r="V875">
        <v>1.1304767209823817E-2</v>
      </c>
      <c r="W875">
        <v>0.18637930267271102</v>
      </c>
      <c r="X875">
        <v>2.5001030771281751E-2</v>
      </c>
      <c r="Y875">
        <v>9.8766173442506495E-3</v>
      </c>
    </row>
    <row r="876" spans="1:25" x14ac:dyDescent="0.25">
      <c r="A876" s="1093"/>
      <c r="B876" s="1452">
        <v>626</v>
      </c>
      <c r="C876" s="1097">
        <v>0.96657150835966354</v>
      </c>
      <c r="D876" s="1097">
        <v>0.99691065657552691</v>
      </c>
      <c r="E876" s="1097">
        <v>1.0005728168190735</v>
      </c>
      <c r="F876" s="1097">
        <v>0.97941681524337276</v>
      </c>
      <c r="G876" s="1097">
        <v>1.0156504009019061</v>
      </c>
      <c r="H876" s="1097">
        <v>0.98020090882587829</v>
      </c>
      <c r="I876" s="1097">
        <v>1.0039630172791532</v>
      </c>
      <c r="K876">
        <v>5.098745681082951</v>
      </c>
      <c r="L876">
        <v>0</v>
      </c>
      <c r="M876">
        <v>3.5919501680353959E-3</v>
      </c>
      <c r="N876">
        <v>0.3121233960229709</v>
      </c>
      <c r="O876">
        <v>0.15053308542452326</v>
      </c>
      <c r="P876">
        <v>1.9987106639141557E-2</v>
      </c>
      <c r="Q876">
        <v>1.3510029292867088E-3</v>
      </c>
      <c r="R876">
        <v>3.5857419210398602E-3</v>
      </c>
      <c r="S876">
        <v>0.46854304152504822</v>
      </c>
      <c r="T876">
        <v>3.9130237450343035</v>
      </c>
      <c r="U876">
        <v>0</v>
      </c>
      <c r="V876">
        <v>1.1304767209823808E-2</v>
      </c>
      <c r="W876">
        <v>0.18584688946894004</v>
      </c>
      <c r="X876">
        <v>2.5905274648606966E-2</v>
      </c>
      <c r="Y876">
        <v>1.013358042730385E-2</v>
      </c>
    </row>
    <row r="877" spans="1:25" x14ac:dyDescent="0.25">
      <c r="A877" s="1093"/>
      <c r="B877" s="1452">
        <v>627</v>
      </c>
      <c r="C877" s="1097">
        <v>1.007727116286798</v>
      </c>
      <c r="D877" s="1097">
        <v>0.96027110730464194</v>
      </c>
      <c r="E877" s="1097">
        <v>1.001542959782745</v>
      </c>
      <c r="F877" s="1097">
        <v>1.0026788634493409</v>
      </c>
      <c r="G877" s="1097">
        <v>1.0315716403689292</v>
      </c>
      <c r="H877" s="1097">
        <v>0.98975871279774397</v>
      </c>
      <c r="I877" s="1097">
        <v>1.0000870768226133</v>
      </c>
      <c r="K877">
        <v>5.1882310388387793</v>
      </c>
      <c r="L877">
        <v>0</v>
      </c>
      <c r="M877">
        <v>3.607699299612595E-3</v>
      </c>
      <c r="N877">
        <v>0.3144120203550636</v>
      </c>
      <c r="O877">
        <v>0.15001794546339106</v>
      </c>
      <c r="P877">
        <v>2.0393139159641003E-2</v>
      </c>
      <c r="Q877">
        <v>1.3164765685493957E-3</v>
      </c>
      <c r="R877">
        <v>3.6016670743741637E-3</v>
      </c>
      <c r="S877">
        <v>0.46173480636526421</v>
      </c>
      <c r="T877">
        <v>4.0058395802184856</v>
      </c>
      <c r="U877">
        <v>0</v>
      </c>
      <c r="V877">
        <v>1.1304767209823824E-2</v>
      </c>
      <c r="W877">
        <v>0.18708697551049852</v>
      </c>
      <c r="X877">
        <v>2.5952774086842281E-2</v>
      </c>
      <c r="Y877">
        <v>1.0178586126454536E-2</v>
      </c>
    </row>
    <row r="878" spans="1:25" x14ac:dyDescent="0.25">
      <c r="A878" s="1093"/>
      <c r="B878" s="1452">
        <v>628</v>
      </c>
      <c r="C878" s="1097">
        <v>1.0181652786145643</v>
      </c>
      <c r="D878" s="1097">
        <v>0.96804643663186341</v>
      </c>
      <c r="E878" s="1097">
        <v>0.99948518342705217</v>
      </c>
      <c r="F878" s="1097">
        <v>1.0012675031629266</v>
      </c>
      <c r="G878" s="1097">
        <v>0.96751547303681684</v>
      </c>
      <c r="H878" s="1097">
        <v>1.0107889765706619</v>
      </c>
      <c r="I878" s="1097">
        <v>0.98533520750526382</v>
      </c>
      <c r="K878">
        <v>5.1736828698781832</v>
      </c>
      <c r="L878">
        <v>0</v>
      </c>
      <c r="M878">
        <v>3.6454964620576853E-3</v>
      </c>
      <c r="N878">
        <v>0.31578520494599016</v>
      </c>
      <c r="O878">
        <v>0.14785052045450894</v>
      </c>
      <c r="P878">
        <v>2.029713327455563E-2</v>
      </c>
      <c r="Q878">
        <v>1.2964960636096807E-3</v>
      </c>
      <c r="R878">
        <v>3.639519459236241E-3</v>
      </c>
      <c r="S878">
        <v>0.45287316631537128</v>
      </c>
      <c r="T878">
        <v>4.0004596272123676</v>
      </c>
      <c r="U878">
        <v>0</v>
      </c>
      <c r="V878">
        <v>1.1304767209823832E-2</v>
      </c>
      <c r="W878">
        <v>0.18816549917812089</v>
      </c>
      <c r="X878">
        <v>2.5370872370681696E-2</v>
      </c>
      <c r="Y878">
        <v>1.0285559855967638E-2</v>
      </c>
    </row>
    <row r="879" spans="1:25" x14ac:dyDescent="0.25">
      <c r="A879" s="1093"/>
      <c r="B879" s="1452">
        <v>629</v>
      </c>
      <c r="C879" s="1097">
        <v>1.0246654385854839</v>
      </c>
      <c r="D879" s="1097">
        <v>1.0109636666620057</v>
      </c>
      <c r="E879" s="1097">
        <v>0.98993877135580233</v>
      </c>
      <c r="F879" s="1097">
        <v>1.0200260725375303</v>
      </c>
      <c r="G879" s="1097">
        <v>1.0047855142874027</v>
      </c>
      <c r="H879" s="1097">
        <v>1.0061281992259958</v>
      </c>
      <c r="I879" s="1097">
        <v>1.0202128657327054</v>
      </c>
      <c r="K879">
        <v>5.2568666582037284</v>
      </c>
      <c r="L879">
        <v>0</v>
      </c>
      <c r="M879">
        <v>3.6831702491276629E-3</v>
      </c>
      <c r="N879">
        <v>0.31015416713755239</v>
      </c>
      <c r="O879">
        <v>0.14735378401662433</v>
      </c>
      <c r="P879">
        <v>2.0566034099459094E-2</v>
      </c>
      <c r="Q879">
        <v>1.255759443953541E-3</v>
      </c>
      <c r="R879">
        <v>3.6772148916739394E-3</v>
      </c>
      <c r="S879">
        <v>0.46831433577065651</v>
      </c>
      <c r="T879">
        <v>4.0766331514037413</v>
      </c>
      <c r="U879">
        <v>0</v>
      </c>
      <c r="V879">
        <v>1.1304767209823817E-2</v>
      </c>
      <c r="W879">
        <v>0.18601076034886205</v>
      </c>
      <c r="X879">
        <v>2.4887764104557564E-2</v>
      </c>
      <c r="Y879">
        <v>1.0392090025946692E-2</v>
      </c>
    </row>
    <row r="880" spans="1:25" x14ac:dyDescent="0.25">
      <c r="A880" s="1093"/>
      <c r="B880" s="1452">
        <v>630</v>
      </c>
      <c r="C880" s="1097">
        <v>1.0075069015804381</v>
      </c>
      <c r="D880" s="1097">
        <v>0.9537278120579068</v>
      </c>
      <c r="E880" s="1097">
        <v>1.0274765718371399</v>
      </c>
      <c r="F880" s="1097">
        <v>1.0398319909044598</v>
      </c>
      <c r="G880" s="1097">
        <v>1.0045877903588061</v>
      </c>
      <c r="H880" s="1097">
        <v>0.96440540359602822</v>
      </c>
      <c r="I880" s="1097">
        <v>1.0128193529937357</v>
      </c>
      <c r="K880">
        <v>5.3728448497154826</v>
      </c>
      <c r="L880">
        <v>0</v>
      </c>
      <c r="M880">
        <v>3.4613664988963526E-3</v>
      </c>
      <c r="N880">
        <v>0.32573124283971633</v>
      </c>
      <c r="O880">
        <v>0.15527744378390035</v>
      </c>
      <c r="P880">
        <v>2.153376448852545E-2</v>
      </c>
      <c r="Q880">
        <v>1.3497706041485044E-3</v>
      </c>
      <c r="R880">
        <v>3.4556386854075905E-3</v>
      </c>
      <c r="S880">
        <v>0.47776089864562366</v>
      </c>
      <c r="T880">
        <v>4.1509088572755966</v>
      </c>
      <c r="U880">
        <v>0</v>
      </c>
      <c r="V880">
        <v>1.1304767209823811E-2</v>
      </c>
      <c r="W880">
        <v>0.19048723798078657</v>
      </c>
      <c r="X880">
        <v>2.8730695950357737E-2</v>
      </c>
      <c r="Y880">
        <v>9.7658987504949044E-3</v>
      </c>
    </row>
    <row r="881" spans="1:25" x14ac:dyDescent="0.25">
      <c r="A881" s="1093"/>
      <c r="B881" s="1452">
        <v>631</v>
      </c>
      <c r="C881" s="1097">
        <v>0.99857466561212205</v>
      </c>
      <c r="D881" s="1097">
        <v>1.0069905935254868</v>
      </c>
      <c r="E881" s="1097">
        <v>1.0015119906867969</v>
      </c>
      <c r="F881" s="1097">
        <v>1.0275319117611865</v>
      </c>
      <c r="G881" s="1097">
        <v>1.018737019036027</v>
      </c>
      <c r="H881" s="1097">
        <v>0.96352033731066233</v>
      </c>
      <c r="I881" s="1097">
        <v>1.0021937308360234</v>
      </c>
      <c r="K881">
        <v>5.2899692693544278</v>
      </c>
      <c r="L881">
        <v>0</v>
      </c>
      <c r="M881">
        <v>3.5638225391824282E-3</v>
      </c>
      <c r="N881">
        <v>0.31055839115814948</v>
      </c>
      <c r="O881">
        <v>0.15222604920806196</v>
      </c>
      <c r="P881">
        <v>2.086936961765859E-2</v>
      </c>
      <c r="Q881">
        <v>1.303501089946449E-3</v>
      </c>
      <c r="R881">
        <v>3.5578492208380966E-3</v>
      </c>
      <c r="S881">
        <v>0.46713999842827414</v>
      </c>
      <c r="T881">
        <v>4.1051349093454066</v>
      </c>
      <c r="U881">
        <v>0</v>
      </c>
      <c r="V881">
        <v>1.1304767209823832E-2</v>
      </c>
      <c r="W881">
        <v>0.18479778521892545</v>
      </c>
      <c r="X881">
        <v>2.6585717869495016E-2</v>
      </c>
      <c r="Y881">
        <v>1.0054753527026747E-2</v>
      </c>
    </row>
    <row r="882" spans="1:25" x14ac:dyDescent="0.25">
      <c r="A882" s="1093"/>
      <c r="B882" s="1452">
        <v>632</v>
      </c>
      <c r="C882" s="1097">
        <v>0.99796409267263675</v>
      </c>
      <c r="D882" s="1097">
        <v>0.98076218725680597</v>
      </c>
      <c r="E882" s="1097">
        <v>0.95928533942856875</v>
      </c>
      <c r="F882" s="1097">
        <v>0.98973406288044341</v>
      </c>
      <c r="G882" s="1097">
        <v>1.0336211968461941</v>
      </c>
      <c r="H882" s="1097">
        <v>0.99345150478805422</v>
      </c>
      <c r="I882" s="1097">
        <v>1.029491537028548</v>
      </c>
      <c r="K882">
        <v>5.1336404517056859</v>
      </c>
      <c r="L882">
        <v>0</v>
      </c>
      <c r="M882">
        <v>3.9111384233959812E-3</v>
      </c>
      <c r="N882">
        <v>0.30068318850678516</v>
      </c>
      <c r="O882">
        <v>0.14944726942199782</v>
      </c>
      <c r="P882">
        <v>1.9596675384739963E-2</v>
      </c>
      <c r="Q882">
        <v>1.2707101590496714E-3</v>
      </c>
      <c r="R882">
        <v>3.9045380727477444E-3</v>
      </c>
      <c r="S882">
        <v>0.47349846952542574</v>
      </c>
      <c r="T882">
        <v>3.9594225829848959</v>
      </c>
      <c r="U882">
        <v>0</v>
      </c>
      <c r="V882">
        <v>1.1304767209823803E-2</v>
      </c>
      <c r="W882">
        <v>0.18417230010505808</v>
      </c>
      <c r="X882">
        <v>2.3216566067593609E-2</v>
      </c>
      <c r="Y882">
        <v>1.1034522690965132E-2</v>
      </c>
    </row>
    <row r="883" spans="1:25" x14ac:dyDescent="0.25">
      <c r="A883" s="1093"/>
      <c r="B883" s="1452">
        <v>633</v>
      </c>
      <c r="C883" s="1097">
        <v>0.98069061868405571</v>
      </c>
      <c r="D883" s="1097">
        <v>0.98911587466470174</v>
      </c>
      <c r="E883" s="1097">
        <v>1.0217918546475895</v>
      </c>
      <c r="F883" s="1097">
        <v>1.00966238334287</v>
      </c>
      <c r="G883" s="1097">
        <v>0.9653141945664141</v>
      </c>
      <c r="H883" s="1097">
        <v>0.99117889305300177</v>
      </c>
      <c r="I883" s="1097">
        <v>0.96774613054724157</v>
      </c>
      <c r="K883">
        <v>5.2342853066945851</v>
      </c>
      <c r="L883">
        <v>0</v>
      </c>
      <c r="M883">
        <v>3.5398050088065389E-3</v>
      </c>
      <c r="N883">
        <v>0.3275578096253649</v>
      </c>
      <c r="O883">
        <v>0.15281770502259701</v>
      </c>
      <c r="P883">
        <v>2.0806253010862866E-2</v>
      </c>
      <c r="Q883">
        <v>1.3600780645628425E-3</v>
      </c>
      <c r="R883">
        <v>3.5339355980981836E-3</v>
      </c>
      <c r="S883">
        <v>0.45935268124855699</v>
      </c>
      <c r="T883">
        <v>4.0311869457847651</v>
      </c>
      <c r="U883">
        <v>0</v>
      </c>
      <c r="V883">
        <v>1.1304767209823829E-2</v>
      </c>
      <c r="W883">
        <v>0.19228060513914613</v>
      </c>
      <c r="X883">
        <v>2.7637159196164482E-2</v>
      </c>
      <c r="Y883">
        <v>9.9871718034450184E-3</v>
      </c>
    </row>
    <row r="884" spans="1:25" x14ac:dyDescent="0.25">
      <c r="A884" s="1093"/>
      <c r="B884" s="1452">
        <v>634</v>
      </c>
      <c r="C884" s="1097">
        <v>1.0214710612617226</v>
      </c>
      <c r="D884" s="1097">
        <v>1.0173305542123108</v>
      </c>
      <c r="E884" s="1097">
        <v>1.0132422752107955</v>
      </c>
      <c r="F884" s="1097">
        <v>0.98671511917048804</v>
      </c>
      <c r="G884" s="1097">
        <v>1.0047007491834614</v>
      </c>
      <c r="H884" s="1097">
        <v>0.95980843712755404</v>
      </c>
      <c r="I884" s="1097">
        <v>0.95599902514691626</v>
      </c>
      <c r="K884">
        <v>5.0343286199852111</v>
      </c>
      <c r="L884">
        <v>0</v>
      </c>
      <c r="M884">
        <v>3.2382054487945845E-3</v>
      </c>
      <c r="N884">
        <v>0.29213582447891423</v>
      </c>
      <c r="O884">
        <v>0.14200649591250974</v>
      </c>
      <c r="P884">
        <v>2.0077600001910396E-2</v>
      </c>
      <c r="Q884">
        <v>1.281848923876142E-3</v>
      </c>
      <c r="R884">
        <v>3.2325318994528016E-3</v>
      </c>
      <c r="S884">
        <v>0.41962016145920211</v>
      </c>
      <c r="T884">
        <v>3.9406179094541898</v>
      </c>
      <c r="U884">
        <v>0</v>
      </c>
      <c r="V884">
        <v>1.1304767209823803E-2</v>
      </c>
      <c r="W884">
        <v>0.17246949937296877</v>
      </c>
      <c r="X884">
        <v>2.5684804781170589E-2</v>
      </c>
      <c r="Y884">
        <v>9.1353819399893482E-3</v>
      </c>
    </row>
    <row r="885" spans="1:25" x14ac:dyDescent="0.25">
      <c r="A885" s="1093"/>
      <c r="B885" s="1452">
        <v>635</v>
      </c>
      <c r="C885" s="1097">
        <v>0.97323867845079903</v>
      </c>
      <c r="D885" s="1097">
        <v>0.99267118591514647</v>
      </c>
      <c r="E885" s="1097">
        <v>0.99875700427705572</v>
      </c>
      <c r="F885" s="1097">
        <v>1.0358513685269146</v>
      </c>
      <c r="G885" s="1097">
        <v>1.0131840879875491</v>
      </c>
      <c r="H885" s="1097">
        <v>0.99923845893557883</v>
      </c>
      <c r="I885" s="1097">
        <v>1.0061750147654247</v>
      </c>
      <c r="K885">
        <v>5.3953557704794619</v>
      </c>
      <c r="L885">
        <v>0</v>
      </c>
      <c r="M885">
        <v>3.8671386935591784E-3</v>
      </c>
      <c r="N885">
        <v>0.3342747473651691</v>
      </c>
      <c r="O885">
        <v>0.15843995946475714</v>
      </c>
      <c r="P885">
        <v>2.1096669667295238E-2</v>
      </c>
      <c r="Q885">
        <v>1.3419466547653163E-3</v>
      </c>
      <c r="R885">
        <v>3.8609387948939037E-3</v>
      </c>
      <c r="S885">
        <v>0.49298627171923476</v>
      </c>
      <c r="T885">
        <v>4.1387305875043428</v>
      </c>
      <c r="U885">
        <v>0</v>
      </c>
      <c r="V885">
        <v>1.1304767209823803E-2</v>
      </c>
      <c r="W885">
        <v>0.19928089098490531</v>
      </c>
      <c r="X885">
        <v>2.6994822004734124E-2</v>
      </c>
      <c r="Y885">
        <v>1.0911307803102776E-2</v>
      </c>
    </row>
    <row r="886" spans="1:25" x14ac:dyDescent="0.25">
      <c r="A886" s="1093"/>
      <c r="B886" s="1452">
        <v>636</v>
      </c>
      <c r="C886" s="1097">
        <v>0.99238501103793775</v>
      </c>
      <c r="D886" s="1097">
        <v>0.99327490218685277</v>
      </c>
      <c r="E886" s="1097">
        <v>1.0117949848831918</v>
      </c>
      <c r="F886" s="1097">
        <v>1.0197049044139945</v>
      </c>
      <c r="G886" s="1097">
        <v>1.0327056707369333</v>
      </c>
      <c r="H886" s="1097">
        <v>0.99816833097233171</v>
      </c>
      <c r="I886" s="1097">
        <v>1.0086673724212012</v>
      </c>
      <c r="K886">
        <v>5.2924252195939765</v>
      </c>
      <c r="L886">
        <v>0</v>
      </c>
      <c r="M886">
        <v>3.6275371485700774E-3</v>
      </c>
      <c r="N886">
        <v>0.32590018405134891</v>
      </c>
      <c r="O886">
        <v>0.15254994667667574</v>
      </c>
      <c r="P886">
        <v>2.0929603780595631E-2</v>
      </c>
      <c r="Q886">
        <v>1.330470797255985E-3</v>
      </c>
      <c r="R886">
        <v>3.6216231122787761E-3</v>
      </c>
      <c r="S886">
        <v>0.47804670779888586</v>
      </c>
      <c r="T886">
        <v>4.0725525356906891</v>
      </c>
      <c r="U886">
        <v>0</v>
      </c>
      <c r="V886">
        <v>1.1304767209823811E-2</v>
      </c>
      <c r="W886">
        <v>0.19258981865200051</v>
      </c>
      <c r="X886">
        <v>2.6992115559846038E-2</v>
      </c>
      <c r="Y886">
        <v>1.0234983413144386E-2</v>
      </c>
    </row>
    <row r="887" spans="1:25" x14ac:dyDescent="0.25">
      <c r="A887" s="1093"/>
      <c r="B887" s="1452">
        <v>637</v>
      </c>
      <c r="C887" s="1097">
        <v>1.0279782200199128</v>
      </c>
      <c r="D887" s="1097">
        <v>0.9854231510434398</v>
      </c>
      <c r="E887" s="1097">
        <v>0.98980191923314365</v>
      </c>
      <c r="F887" s="1097">
        <v>1.0258392379335668</v>
      </c>
      <c r="G887" s="1097">
        <v>0.97116369567845173</v>
      </c>
      <c r="H887" s="1097">
        <v>0.99679932211272992</v>
      </c>
      <c r="I887" s="1097">
        <v>1.0019663982748104</v>
      </c>
      <c r="K887">
        <v>5.2769535669116898</v>
      </c>
      <c r="L887">
        <v>0</v>
      </c>
      <c r="M887">
        <v>3.6966513564173141E-3</v>
      </c>
      <c r="N887">
        <v>0.31116125896870744</v>
      </c>
      <c r="O887">
        <v>0.14923948473409276</v>
      </c>
      <c r="P887">
        <v>2.0636741076814454E-2</v>
      </c>
      <c r="Q887">
        <v>1.2644407264008092E-3</v>
      </c>
      <c r="R887">
        <v>3.6906523947081034E-3</v>
      </c>
      <c r="S887">
        <v>0.46120213133907223</v>
      </c>
      <c r="T887">
        <v>4.0998837408622659</v>
      </c>
      <c r="U887">
        <v>0</v>
      </c>
      <c r="V887">
        <v>1.130476720982382E-2</v>
      </c>
      <c r="W887">
        <v>0.186632130937429</v>
      </c>
      <c r="X887">
        <v>2.5204804583363171E-2</v>
      </c>
      <c r="Y887">
        <v>1.0430065435426067E-2</v>
      </c>
    </row>
    <row r="888" spans="1:25" x14ac:dyDescent="0.25">
      <c r="A888" s="1093"/>
      <c r="B888" s="1452">
        <v>638</v>
      </c>
      <c r="C888" s="1097">
        <v>1.0127637218482344</v>
      </c>
      <c r="D888" s="1097">
        <v>0.96962199729994392</v>
      </c>
      <c r="E888" s="1097">
        <v>0.96116870228856555</v>
      </c>
      <c r="F888" s="1097">
        <v>0.99565261484420897</v>
      </c>
      <c r="G888" s="1097">
        <v>0.98740264672817746</v>
      </c>
      <c r="H888" s="1097">
        <v>0.98619955405563586</v>
      </c>
      <c r="I888" s="1097">
        <v>0.99714126691165816</v>
      </c>
      <c r="K888">
        <v>5.1317356016940865</v>
      </c>
      <c r="L888">
        <v>0</v>
      </c>
      <c r="M888">
        <v>3.8511102817745443E-3</v>
      </c>
      <c r="N888">
        <v>0.29772929936856513</v>
      </c>
      <c r="O888">
        <v>0.14877038609997417</v>
      </c>
      <c r="P888">
        <v>1.9641977063644733E-2</v>
      </c>
      <c r="Q888">
        <v>1.2599601721065147E-3</v>
      </c>
      <c r="R888">
        <v>3.8446022951172548E-3</v>
      </c>
      <c r="S888">
        <v>0.45386107067984865</v>
      </c>
      <c r="T888">
        <v>3.9828598914087112</v>
      </c>
      <c r="U888">
        <v>0</v>
      </c>
      <c r="V888">
        <v>1.130476720982381E-2</v>
      </c>
      <c r="W888">
        <v>0.18212464670734524</v>
      </c>
      <c r="X888">
        <v>2.3324971363224378E-2</v>
      </c>
      <c r="Y888">
        <v>1.0865139607501214E-2</v>
      </c>
    </row>
    <row r="889" spans="1:25" x14ac:dyDescent="0.25">
      <c r="A889" s="1093"/>
      <c r="B889" s="1452">
        <v>639</v>
      </c>
      <c r="C889" s="1097">
        <v>1.0192797817878911</v>
      </c>
      <c r="D889" s="1097">
        <v>1.0217215897878609</v>
      </c>
      <c r="E889" s="1097">
        <v>0.95952860494131698</v>
      </c>
      <c r="F889" s="1097">
        <v>1.0173146625734459</v>
      </c>
      <c r="G889" s="1097">
        <v>1.0111003318854364</v>
      </c>
      <c r="H889" s="1097">
        <v>1.0275771727899901</v>
      </c>
      <c r="I889" s="1097">
        <v>1.0153260902680388</v>
      </c>
      <c r="K889">
        <v>5.2516526223437854</v>
      </c>
      <c r="L889">
        <v>0</v>
      </c>
      <c r="M889">
        <v>4.0029569341080264E-3</v>
      </c>
      <c r="N889">
        <v>0.30799555263613521</v>
      </c>
      <c r="O889">
        <v>0.14795140445340668</v>
      </c>
      <c r="P889">
        <v>2.0073887768311385E-2</v>
      </c>
      <c r="Q889">
        <v>1.2242028555276962E-3</v>
      </c>
      <c r="R889">
        <v>3.9966027482051638E-3</v>
      </c>
      <c r="S889">
        <v>0.47056715048338904</v>
      </c>
      <c r="T889">
        <v>4.0697268736035994</v>
      </c>
      <c r="U889">
        <v>0</v>
      </c>
      <c r="V889">
        <v>1.1304767209823815E-2</v>
      </c>
      <c r="W889">
        <v>0.18861933133222619</v>
      </c>
      <c r="X889">
        <v>2.2901101694655198E-2</v>
      </c>
      <c r="Y889">
        <v>1.1294704492613264E-2</v>
      </c>
    </row>
    <row r="890" spans="1:25" x14ac:dyDescent="0.25">
      <c r="A890" s="1093"/>
      <c r="B890" s="1452">
        <v>640</v>
      </c>
      <c r="C890" s="1097">
        <v>0.97848061571158906</v>
      </c>
      <c r="D890" s="1097">
        <v>0.96213945946806201</v>
      </c>
      <c r="E890" s="1097">
        <v>1.0288141704763671</v>
      </c>
      <c r="F890" s="1097">
        <v>1.004328178972099</v>
      </c>
      <c r="G890" s="1097">
        <v>0.95801475526226143</v>
      </c>
      <c r="H890" s="1097">
        <v>1.0277028416693466</v>
      </c>
      <c r="I890" s="1097">
        <v>0.97286242053963556</v>
      </c>
      <c r="K890">
        <v>5.2505817625604196</v>
      </c>
      <c r="L890">
        <v>0</v>
      </c>
      <c r="M890">
        <v>3.6453082841207711E-3</v>
      </c>
      <c r="N890">
        <v>0.34441672066674955</v>
      </c>
      <c r="O890">
        <v>0.15384438221024413</v>
      </c>
      <c r="P890">
        <v>2.0860698934223758E-2</v>
      </c>
      <c r="Q890">
        <v>1.3864984387630544E-3</v>
      </c>
      <c r="R890">
        <v>3.6394478383954577E-3</v>
      </c>
      <c r="S890">
        <v>0.47025412719214188</v>
      </c>
      <c r="T890">
        <v>4.0090146460168965</v>
      </c>
      <c r="U890">
        <v>0</v>
      </c>
      <c r="V890">
        <v>1.1304767209823818E-2</v>
      </c>
      <c r="W890">
        <v>0.20123590593214816</v>
      </c>
      <c r="X890">
        <v>2.7984518955148453E-2</v>
      </c>
      <c r="Y890">
        <v>1.0285357450003588E-2</v>
      </c>
    </row>
    <row r="891" spans="1:25" x14ac:dyDescent="0.25">
      <c r="A891" s="1093"/>
      <c r="B891" s="1452">
        <v>641</v>
      </c>
      <c r="C891" s="1097">
        <v>0.97957701460432589</v>
      </c>
      <c r="D891" s="1097">
        <v>0.97532750890243969</v>
      </c>
      <c r="E891" s="1097">
        <v>0.98900781378367431</v>
      </c>
      <c r="F891" s="1097">
        <v>0.99989506122546801</v>
      </c>
      <c r="G891" s="1097">
        <v>1.0122930995652775</v>
      </c>
      <c r="H891" s="1097">
        <v>1.0308158687207289</v>
      </c>
      <c r="I891" s="1097">
        <v>0.99498848437991605</v>
      </c>
      <c r="K891">
        <v>5.2252132879704192</v>
      </c>
      <c r="L891">
        <v>0</v>
      </c>
      <c r="M891">
        <v>3.9330958173019875E-3</v>
      </c>
      <c r="N891">
        <v>0.33028930426497177</v>
      </c>
      <c r="O891">
        <v>0.15330546868370201</v>
      </c>
      <c r="P891">
        <v>2.0232578015992687E-2</v>
      </c>
      <c r="Q891">
        <v>1.3314815323771574E-3</v>
      </c>
      <c r="R891">
        <v>3.9267638973230143E-3</v>
      </c>
      <c r="S891">
        <v>0.47791389443312132</v>
      </c>
      <c r="T891">
        <v>3.9962950617696307</v>
      </c>
      <c r="U891">
        <v>0</v>
      </c>
      <c r="V891">
        <v>1.1304767209823834E-2</v>
      </c>
      <c r="W891">
        <v>0.19821210855762797</v>
      </c>
      <c r="X891">
        <v>2.5237620855065632E-2</v>
      </c>
      <c r="Y891">
        <v>1.1097334568076277E-2</v>
      </c>
    </row>
    <row r="892" spans="1:25" x14ac:dyDescent="0.25">
      <c r="A892" s="1093"/>
      <c r="B892" s="1452">
        <v>642</v>
      </c>
      <c r="C892" s="1097">
        <v>1.01481951619253</v>
      </c>
      <c r="D892" s="1097">
        <v>1.0153455424367044</v>
      </c>
      <c r="E892" s="1097">
        <v>1.0077445091642923</v>
      </c>
      <c r="F892" s="1097">
        <v>1.0153300802352045</v>
      </c>
      <c r="G892" s="1097">
        <v>0.99362181648229919</v>
      </c>
      <c r="H892" s="1097">
        <v>1.0092488619914644</v>
      </c>
      <c r="I892" s="1097">
        <v>0.98575456452684296</v>
      </c>
      <c r="K892">
        <v>5.2322848279011964</v>
      </c>
      <c r="L892">
        <v>0</v>
      </c>
      <c r="M892">
        <v>3.570473970958811E-3</v>
      </c>
      <c r="N892">
        <v>0.31695309772420449</v>
      </c>
      <c r="O892">
        <v>0.14734963145306076</v>
      </c>
      <c r="P892">
        <v>2.0685428920796584E-2</v>
      </c>
      <c r="Q892">
        <v>1.2852295466532356E-3</v>
      </c>
      <c r="R892">
        <v>3.564692109028903E-3</v>
      </c>
      <c r="S892">
        <v>0.45530770754636085</v>
      </c>
      <c r="T892">
        <v>4.0555940953220864</v>
      </c>
      <c r="U892">
        <v>0</v>
      </c>
      <c r="V892">
        <v>1.1304767209823808E-2</v>
      </c>
      <c r="W892">
        <v>0.18781263411149607</v>
      </c>
      <c r="X892">
        <v>2.592392587716269E-2</v>
      </c>
      <c r="Y892">
        <v>1.007409205148376E-2</v>
      </c>
    </row>
    <row r="893" spans="1:25" x14ac:dyDescent="0.25">
      <c r="A893" s="1093"/>
      <c r="B893" s="1452">
        <v>643</v>
      </c>
      <c r="C893" s="1097">
        <v>0.98991768360945276</v>
      </c>
      <c r="D893" s="1097">
        <v>1.025571847263093</v>
      </c>
      <c r="E893" s="1097">
        <v>1.001397423860634</v>
      </c>
      <c r="F893" s="1097">
        <v>1.0024232065528367</v>
      </c>
      <c r="G893" s="1097">
        <v>0.97271500102816388</v>
      </c>
      <c r="H893" s="1097">
        <v>0.98040577778338522</v>
      </c>
      <c r="I893" s="1097">
        <v>1.0313478757180721</v>
      </c>
      <c r="K893">
        <v>5.1914639185895757</v>
      </c>
      <c r="L893">
        <v>0</v>
      </c>
      <c r="M893">
        <v>3.5435976387616845E-3</v>
      </c>
      <c r="N893">
        <v>0.3086873494752283</v>
      </c>
      <c r="O893">
        <v>0.14871654799505232</v>
      </c>
      <c r="P893">
        <v>2.0454044460269247E-2</v>
      </c>
      <c r="Q893">
        <v>1.305190747068329E-3</v>
      </c>
      <c r="R893">
        <v>3.5376145470912201E-3</v>
      </c>
      <c r="S893">
        <v>0.47659670153605299</v>
      </c>
      <c r="T893">
        <v>4.0048364999325559</v>
      </c>
      <c r="U893">
        <v>0</v>
      </c>
      <c r="V893">
        <v>1.130476720982382E-2</v>
      </c>
      <c r="W893">
        <v>0.18369863149076918</v>
      </c>
      <c r="X893">
        <v>2.587260004024693E-2</v>
      </c>
      <c r="Y893">
        <v>9.9975687941738101E-3</v>
      </c>
    </row>
    <row r="894" spans="1:25" x14ac:dyDescent="0.25">
      <c r="A894" s="1093"/>
      <c r="B894" s="1452">
        <v>644</v>
      </c>
      <c r="C894" s="1097">
        <v>0.99236824612974461</v>
      </c>
      <c r="D894" s="1097">
        <v>0.99025439506721658</v>
      </c>
      <c r="E894" s="1097">
        <v>1.0175241491541747</v>
      </c>
      <c r="F894" s="1097">
        <v>0.99465296109177337</v>
      </c>
      <c r="G894" s="1097">
        <v>0.99893116652807068</v>
      </c>
      <c r="H894" s="1097">
        <v>1.0087851154246421</v>
      </c>
      <c r="I894" s="1097">
        <v>1.0472637113375176</v>
      </c>
      <c r="K894">
        <v>5.1925366095367842</v>
      </c>
      <c r="L894">
        <v>0</v>
      </c>
      <c r="M894">
        <v>3.5375810171455022E-3</v>
      </c>
      <c r="N894">
        <v>0.32324605545260121</v>
      </c>
      <c r="O894">
        <v>0.14882552919174491</v>
      </c>
      <c r="P894">
        <v>2.0601952349657591E-2</v>
      </c>
      <c r="Q894">
        <v>1.3386110485245797E-3</v>
      </c>
      <c r="R894">
        <v>3.5317308434493844E-3</v>
      </c>
      <c r="S894">
        <v>0.48849599366588631</v>
      </c>
      <c r="T894">
        <v>3.9717882087430398</v>
      </c>
      <c r="U894">
        <v>0</v>
      </c>
      <c r="V894">
        <v>1.1304767209823822E-2</v>
      </c>
      <c r="W894">
        <v>0.19029040576955608</v>
      </c>
      <c r="X894">
        <v>2.6669995281158848E-2</v>
      </c>
      <c r="Y894">
        <v>9.9809409984824606E-3</v>
      </c>
    </row>
    <row r="895" spans="1:25" x14ac:dyDescent="0.25">
      <c r="A895" s="1093"/>
      <c r="B895" s="1452">
        <v>645</v>
      </c>
      <c r="C895" s="1097">
        <v>1.0108463338609819</v>
      </c>
      <c r="D895" s="1097">
        <v>0.98612743773507383</v>
      </c>
      <c r="E895" s="1097">
        <v>1.0233815084521056</v>
      </c>
      <c r="F895" s="1097">
        <v>0.99441983624711161</v>
      </c>
      <c r="G895" s="1097">
        <v>1.0091891051490298</v>
      </c>
      <c r="H895" s="1097">
        <v>0.96423267348330122</v>
      </c>
      <c r="I895" s="1097">
        <v>1.0017032397772831</v>
      </c>
      <c r="K895">
        <v>5.1205542754055315</v>
      </c>
      <c r="L895">
        <v>0</v>
      </c>
      <c r="M895">
        <v>3.283426638627792E-3</v>
      </c>
      <c r="N895">
        <v>0.30524360828434571</v>
      </c>
      <c r="O895">
        <v>0.14615366905182756</v>
      </c>
      <c r="P895">
        <v>2.050800319029453E-2</v>
      </c>
      <c r="Q895">
        <v>1.3228774703179043E-3</v>
      </c>
      <c r="R895">
        <v>3.2777445482597457E-3</v>
      </c>
      <c r="S895">
        <v>0.45072319814100936</v>
      </c>
      <c r="T895">
        <v>3.9701330616499133</v>
      </c>
      <c r="U895">
        <v>0</v>
      </c>
      <c r="V895">
        <v>1.1304767209823813E-2</v>
      </c>
      <c r="W895">
        <v>0.17899239061503866</v>
      </c>
      <c r="X895">
        <v>2.6915225545987787E-2</v>
      </c>
      <c r="Y895">
        <v>9.2631563373402146E-3</v>
      </c>
    </row>
    <row r="896" spans="1:25" x14ac:dyDescent="0.25">
      <c r="A896" s="1093"/>
      <c r="B896" s="1452">
        <v>646</v>
      </c>
      <c r="C896" s="1097">
        <v>0.96365991855027666</v>
      </c>
      <c r="D896" s="1097">
        <v>1.007606340680216</v>
      </c>
      <c r="E896" s="1097">
        <v>0.9911727014132039</v>
      </c>
      <c r="F896" s="1097">
        <v>0.98327867503122424</v>
      </c>
      <c r="G896" s="1097">
        <v>0.98091244485132056</v>
      </c>
      <c r="H896" s="1097">
        <v>1.0303272428171892</v>
      </c>
      <c r="I896" s="1097">
        <v>1.0147989192135545</v>
      </c>
      <c r="K896">
        <v>5.1565917224583551</v>
      </c>
      <c r="L896">
        <v>0</v>
      </c>
      <c r="M896">
        <v>3.8613989581119637E-3</v>
      </c>
      <c r="N896">
        <v>0.32634752752467483</v>
      </c>
      <c r="O896">
        <v>0.15120371890572956</v>
      </c>
      <c r="P896">
        <v>1.9997650315504854E-2</v>
      </c>
      <c r="Q896">
        <v>1.3384577047768301E-3</v>
      </c>
      <c r="R896">
        <v>3.8550745905552605E-3</v>
      </c>
      <c r="S896">
        <v>0.48529152146443227</v>
      </c>
      <c r="T896">
        <v>3.9296156036069489</v>
      </c>
      <c r="U896">
        <v>0</v>
      </c>
      <c r="V896">
        <v>1.1304767209823824E-2</v>
      </c>
      <c r="W896">
        <v>0.19555829824872684</v>
      </c>
      <c r="X896">
        <v>2.5045766731356542E-2</v>
      </c>
      <c r="Y896">
        <v>1.0894735113930951E-2</v>
      </c>
    </row>
    <row r="897" spans="1:25" x14ac:dyDescent="0.25">
      <c r="A897" s="1093"/>
      <c r="B897" s="1452">
        <v>647</v>
      </c>
      <c r="C897" s="1097">
        <v>1.0115889665291251</v>
      </c>
      <c r="D897" s="1097">
        <v>1.0099469082974559</v>
      </c>
      <c r="E897" s="1097">
        <v>0.99571996440380328</v>
      </c>
      <c r="F897" s="1097">
        <v>0.99508062936942698</v>
      </c>
      <c r="G897" s="1097">
        <v>1.0193119665739259</v>
      </c>
      <c r="H897" s="1097">
        <v>1.0138857182616354</v>
      </c>
      <c r="I897" s="1097">
        <v>0.95901438193270649</v>
      </c>
      <c r="K897">
        <v>5.1235487950603797</v>
      </c>
      <c r="L897">
        <v>0</v>
      </c>
      <c r="M897">
        <v>3.6248783994859237E-3</v>
      </c>
      <c r="N897">
        <v>0.31051341397514859</v>
      </c>
      <c r="O897">
        <v>0.14550933088370641</v>
      </c>
      <c r="P897">
        <v>2.0063572966922495E-2</v>
      </c>
      <c r="Q897">
        <v>1.2788537768345138E-3</v>
      </c>
      <c r="R897">
        <v>3.6189165763588936E-3</v>
      </c>
      <c r="S897">
        <v>0.43818341393964461</v>
      </c>
      <c r="T897">
        <v>3.9762115590774592</v>
      </c>
      <c r="U897">
        <v>0</v>
      </c>
      <c r="V897">
        <v>1.1304767209823808E-2</v>
      </c>
      <c r="W897">
        <v>0.18549644185592276</v>
      </c>
      <c r="X897">
        <v>2.4766068662046056E-2</v>
      </c>
      <c r="Y897">
        <v>1.0227334536000558E-2</v>
      </c>
    </row>
    <row r="898" spans="1:25" x14ac:dyDescent="0.25">
      <c r="A898" s="1093"/>
      <c r="B898" s="1452">
        <v>648</v>
      </c>
      <c r="C898" s="1097">
        <v>1.0094577200450194</v>
      </c>
      <c r="D898" s="1097">
        <v>1.011307236055599</v>
      </c>
      <c r="E898" s="1097">
        <v>1.0303304018831079</v>
      </c>
      <c r="F898" s="1097">
        <v>0.99856786543137699</v>
      </c>
      <c r="G898" s="1097">
        <v>1.0220387344907056</v>
      </c>
      <c r="H898" s="1097">
        <v>0.99251237909622869</v>
      </c>
      <c r="I898" s="1097">
        <v>0.96281636506581536</v>
      </c>
      <c r="K898">
        <v>5.1372874824548216</v>
      </c>
      <c r="L898">
        <v>0</v>
      </c>
      <c r="M898">
        <v>3.3152921898216576E-3</v>
      </c>
      <c r="N898">
        <v>0.31462239198147407</v>
      </c>
      <c r="O898">
        <v>0.14529992633827213</v>
      </c>
      <c r="P898">
        <v>2.0626918082839389E-2</v>
      </c>
      <c r="Q898">
        <v>1.319104799679597E-3</v>
      </c>
      <c r="R898">
        <v>3.3097415410899451E-3</v>
      </c>
      <c r="S898">
        <v>0.43823183751212286</v>
      </c>
      <c r="T898">
        <v>3.985833546770758</v>
      </c>
      <c r="U898">
        <v>0</v>
      </c>
      <c r="V898">
        <v>1.130476720982381E-2</v>
      </c>
      <c r="W898">
        <v>0.18364310452200072</v>
      </c>
      <c r="X898">
        <v>2.7057853604649514E-2</v>
      </c>
      <c r="Y898">
        <v>9.3535822819331982E-3</v>
      </c>
    </row>
    <row r="899" spans="1:25" x14ac:dyDescent="0.25">
      <c r="A899" s="1093"/>
      <c r="B899" s="1452">
        <v>649</v>
      </c>
      <c r="C899" s="1097">
        <v>1.0150837140415052</v>
      </c>
      <c r="D899" s="1097">
        <v>0.9633941623193667</v>
      </c>
      <c r="E899" s="1097">
        <v>1.0109750309928032</v>
      </c>
      <c r="F899" s="1097">
        <v>0.97417640298422725</v>
      </c>
      <c r="G899" s="1097">
        <v>1.0368329486383181</v>
      </c>
      <c r="H899" s="1097">
        <v>1.0190979725541895</v>
      </c>
      <c r="I899" s="1097">
        <v>1.024929335513217</v>
      </c>
      <c r="K899">
        <v>5.0671251769261278</v>
      </c>
      <c r="L899">
        <v>0</v>
      </c>
      <c r="M899">
        <v>3.5079702286892789E-3</v>
      </c>
      <c r="N899">
        <v>0.31438119898132605</v>
      </c>
      <c r="O899">
        <v>0.14425358859715301</v>
      </c>
      <c r="P899">
        <v>2.0018465668125651E-2</v>
      </c>
      <c r="Q899">
        <v>1.3157908855708834E-3</v>
      </c>
      <c r="R899">
        <v>3.5021072307880119E-3</v>
      </c>
      <c r="S899">
        <v>0.46382472399496505</v>
      </c>
      <c r="T899">
        <v>3.8908180981762253</v>
      </c>
      <c r="U899">
        <v>0</v>
      </c>
      <c r="V899">
        <v>1.130476720982382E-2</v>
      </c>
      <c r="W899">
        <v>0.18588490112475697</v>
      </c>
      <c r="X899">
        <v>2.543228287863562E-2</v>
      </c>
      <c r="Y899">
        <v>9.8972224074455866E-3</v>
      </c>
    </row>
    <row r="900" spans="1:25" x14ac:dyDescent="0.25">
      <c r="A900" s="1093"/>
      <c r="B900" s="1452">
        <v>650</v>
      </c>
      <c r="C900" s="1097">
        <v>1.0325285828633002</v>
      </c>
      <c r="D900" s="1097">
        <v>0.99603462499351958</v>
      </c>
      <c r="E900" s="1097">
        <v>0.96773301778821408</v>
      </c>
      <c r="F900" s="1097">
        <v>0.96252631174368253</v>
      </c>
      <c r="G900" s="1097">
        <v>1.0343652782846444</v>
      </c>
      <c r="H900" s="1097">
        <v>0.9717028985228845</v>
      </c>
      <c r="I900" s="1097">
        <v>0.98594029022814023</v>
      </c>
      <c r="K900">
        <v>4.9213752425828474</v>
      </c>
      <c r="L900">
        <v>0</v>
      </c>
      <c r="M900">
        <v>3.5111687782015412E-3</v>
      </c>
      <c r="N900">
        <v>0.27677061299666011</v>
      </c>
      <c r="O900">
        <v>0.13938880318370667</v>
      </c>
      <c r="P900">
        <v>1.9013512989150345E-2</v>
      </c>
      <c r="Q900">
        <v>1.2296837776724558E-3</v>
      </c>
      <c r="R900">
        <v>3.5049398399248826E-3</v>
      </c>
      <c r="S900">
        <v>0.42315648307612774</v>
      </c>
      <c r="T900">
        <v>3.8495399126066259</v>
      </c>
      <c r="U900">
        <v>0</v>
      </c>
      <c r="V900">
        <v>1.1304767209823808E-2</v>
      </c>
      <c r="W900">
        <v>0.16853614488745669</v>
      </c>
      <c r="X900">
        <v>2.2536323216776365E-2</v>
      </c>
      <c r="Y900">
        <v>9.9052275771258566E-3</v>
      </c>
    </row>
    <row r="901" spans="1:25" x14ac:dyDescent="0.25">
      <c r="A901" s="1093"/>
      <c r="B901" s="1452">
        <v>651</v>
      </c>
      <c r="C901" s="1097">
        <v>0.99476254349269422</v>
      </c>
      <c r="D901" s="1097">
        <v>1.0379403931656013</v>
      </c>
      <c r="E901" s="1097">
        <v>0.99430921119315907</v>
      </c>
      <c r="F901" s="1097">
        <v>1.0263132977073164</v>
      </c>
      <c r="G901" s="1097">
        <v>1.0320598905303975</v>
      </c>
      <c r="H901" s="1097">
        <v>0.98306733352545539</v>
      </c>
      <c r="I901" s="1097">
        <v>0.97324691945157304</v>
      </c>
      <c r="K901">
        <v>5.2760372801106969</v>
      </c>
      <c r="L901">
        <v>0</v>
      </c>
      <c r="M901">
        <v>3.6568885680242805E-3</v>
      </c>
      <c r="N901">
        <v>0.31194829404466023</v>
      </c>
      <c r="O901">
        <v>0.15099495805629568</v>
      </c>
      <c r="P901">
        <v>2.0688956586626558E-2</v>
      </c>
      <c r="Q901">
        <v>1.2847814136669267E-3</v>
      </c>
      <c r="R901">
        <v>3.6508740134770026E-3</v>
      </c>
      <c r="S901">
        <v>0.45597227611385704</v>
      </c>
      <c r="T901">
        <v>4.1011954124776873</v>
      </c>
      <c r="U901">
        <v>0</v>
      </c>
      <c r="V901">
        <v>1.1304767209823832E-2</v>
      </c>
      <c r="W901">
        <v>0.18653199388899508</v>
      </c>
      <c r="X901">
        <v>2.5804206180493412E-2</v>
      </c>
      <c r="Y901">
        <v>1.0317648693131233E-2</v>
      </c>
    </row>
    <row r="902" spans="1:25" x14ac:dyDescent="0.25">
      <c r="A902" s="1093"/>
      <c r="B902" s="1452">
        <v>652</v>
      </c>
      <c r="C902" s="1097">
        <v>0.98050311229033937</v>
      </c>
      <c r="D902" s="1097">
        <v>0.97181144747957449</v>
      </c>
      <c r="E902" s="1097">
        <v>1.0214848809554189</v>
      </c>
      <c r="F902" s="1097">
        <v>0.98915208353865558</v>
      </c>
      <c r="G902" s="1097">
        <v>1.0123147405479789</v>
      </c>
      <c r="H902" s="1097">
        <v>0.96277190935633483</v>
      </c>
      <c r="I902" s="1097">
        <v>0.99481298010418617</v>
      </c>
      <c r="K902">
        <v>5.1288975452266303</v>
      </c>
      <c r="L902">
        <v>0</v>
      </c>
      <c r="M902">
        <v>3.3953393801423844E-3</v>
      </c>
      <c r="N902">
        <v>0.31387792461161662</v>
      </c>
      <c r="O902">
        <v>0.15081161545558935</v>
      </c>
      <c r="P902">
        <v>2.0428631145099546E-2</v>
      </c>
      <c r="Q902">
        <v>1.3696204991647267E-3</v>
      </c>
      <c r="R902">
        <v>3.3894234192781265E-3</v>
      </c>
      <c r="S902">
        <v>0.46048798627540732</v>
      </c>
      <c r="T902">
        <v>3.9493350757381278</v>
      </c>
      <c r="U902">
        <v>0</v>
      </c>
      <c r="V902">
        <v>1.1304767209823811E-2</v>
      </c>
      <c r="W902">
        <v>0.18428801409440082</v>
      </c>
      <c r="X902">
        <v>2.7421056805147809E-2</v>
      </c>
      <c r="Y902">
        <v>9.5787693531166167E-3</v>
      </c>
    </row>
    <row r="903" spans="1:25" x14ac:dyDescent="0.25">
      <c r="A903" s="1093"/>
      <c r="B903" s="1452">
        <v>653</v>
      </c>
      <c r="C903" s="1097">
        <v>0.98423913605183411</v>
      </c>
      <c r="D903" s="1097">
        <v>0.99765040799963478</v>
      </c>
      <c r="E903" s="1097">
        <v>1.0136836589236864</v>
      </c>
      <c r="F903" s="1097">
        <v>1.0300913622950754</v>
      </c>
      <c r="G903" s="1097">
        <v>1.0004853755106722</v>
      </c>
      <c r="H903" s="1097">
        <v>0.95858190280401301</v>
      </c>
      <c r="I903" s="1097">
        <v>1.008054594179173</v>
      </c>
      <c r="K903">
        <v>5.3247689772630311</v>
      </c>
      <c r="L903">
        <v>0</v>
      </c>
      <c r="M903">
        <v>3.527903261369713E-3</v>
      </c>
      <c r="N903">
        <v>0.31870993568105849</v>
      </c>
      <c r="O903">
        <v>0.15505116641070543</v>
      </c>
      <c r="P903">
        <v>2.1146096111874357E-2</v>
      </c>
      <c r="Q903">
        <v>1.3412775249703269E-3</v>
      </c>
      <c r="R903">
        <v>3.5219744281390973E-3</v>
      </c>
      <c r="S903">
        <v>0.47758420388903033</v>
      </c>
      <c r="T903">
        <v>4.1137917347966795</v>
      </c>
      <c r="U903">
        <v>0</v>
      </c>
      <c r="V903">
        <v>1.1304767209823824E-2</v>
      </c>
      <c r="W903">
        <v>0.1881025596304306</v>
      </c>
      <c r="X903">
        <v>2.778979621773316E-2</v>
      </c>
      <c r="Y903">
        <v>9.953368623948515E-3</v>
      </c>
    </row>
    <row r="904" spans="1:25" x14ac:dyDescent="0.25">
      <c r="A904" s="1093"/>
      <c r="B904" s="1452">
        <v>654</v>
      </c>
      <c r="C904" s="1097">
        <v>0.99318504527430174</v>
      </c>
      <c r="D904" s="1097">
        <v>0.99018433706960773</v>
      </c>
      <c r="E904" s="1097">
        <v>0.98234383487683519</v>
      </c>
      <c r="F904" s="1097">
        <v>1.0206589350315853</v>
      </c>
      <c r="G904" s="1097">
        <v>1.0092773084003108</v>
      </c>
      <c r="H904" s="1097">
        <v>0.99001449302897282</v>
      </c>
      <c r="I904" s="1097">
        <v>0.99267850208109798</v>
      </c>
      <c r="K904">
        <v>5.2779651906726146</v>
      </c>
      <c r="L904">
        <v>0</v>
      </c>
      <c r="M904">
        <v>3.8332745300170301E-3</v>
      </c>
      <c r="N904">
        <v>0.31559604246985246</v>
      </c>
      <c r="O904">
        <v>0.15360568322975204</v>
      </c>
      <c r="P904">
        <v>2.0468089478454167E-2</v>
      </c>
      <c r="Q904">
        <v>1.2978192886950355E-3</v>
      </c>
      <c r="R904">
        <v>3.8269794855609186E-3</v>
      </c>
      <c r="S904">
        <v>0.46918164307868288</v>
      </c>
      <c r="T904">
        <v>4.0801420444247478</v>
      </c>
      <c r="U904">
        <v>0</v>
      </c>
      <c r="V904">
        <v>1.1304767209823806E-2</v>
      </c>
      <c r="W904">
        <v>0.19025778141333655</v>
      </c>
      <c r="X904">
        <v>2.5302278921471761E-2</v>
      </c>
      <c r="Y904">
        <v>1.0815336202257147E-2</v>
      </c>
    </row>
    <row r="905" spans="1:25" x14ac:dyDescent="0.25">
      <c r="A905" s="1093"/>
      <c r="B905" s="1452">
        <v>655</v>
      </c>
      <c r="C905" s="1097">
        <v>0.9831032846545632</v>
      </c>
      <c r="D905" s="1097">
        <v>0.99670963808176294</v>
      </c>
      <c r="E905" s="1097">
        <v>1.0226074140853807</v>
      </c>
      <c r="F905" s="1097">
        <v>1.0179411595259655</v>
      </c>
      <c r="G905" s="1097">
        <v>0.96742689007334137</v>
      </c>
      <c r="H905" s="1097">
        <v>0.97834069772413323</v>
      </c>
      <c r="I905" s="1097">
        <v>1.0149368118360333</v>
      </c>
      <c r="K905">
        <v>5.2841629799621215</v>
      </c>
      <c r="L905">
        <v>0</v>
      </c>
      <c r="M905">
        <v>3.497147545874876E-3</v>
      </c>
      <c r="N905">
        <v>0.32438949424749913</v>
      </c>
      <c r="O905">
        <v>0.15319963020320335</v>
      </c>
      <c r="P905">
        <v>2.1069405471061304E-2</v>
      </c>
      <c r="Q905">
        <v>1.3535285528916746E-3</v>
      </c>
      <c r="R905">
        <v>3.4913204743659042E-3</v>
      </c>
      <c r="S905">
        <v>0.48061814185846746</v>
      </c>
      <c r="T905">
        <v>4.0641377198271682</v>
      </c>
      <c r="U905">
        <v>0</v>
      </c>
      <c r="V905">
        <v>1.1304767209823829E-2</v>
      </c>
      <c r="W905">
        <v>0.19031739369074596</v>
      </c>
      <c r="X905">
        <v>2.7911987762497741E-2</v>
      </c>
      <c r="Y905">
        <v>9.8667382102668091E-3</v>
      </c>
    </row>
    <row r="906" spans="1:25" x14ac:dyDescent="0.25">
      <c r="A906" s="1093"/>
      <c r="B906" s="1452">
        <v>656</v>
      </c>
      <c r="C906" s="1097">
        <v>0.98613814781481313</v>
      </c>
      <c r="D906" s="1097">
        <v>0.99273208264131285</v>
      </c>
      <c r="E906" s="1097">
        <v>1.0012298227675629</v>
      </c>
      <c r="F906" s="1097">
        <v>1.0050750672861848</v>
      </c>
      <c r="G906" s="1097">
        <v>1.0296079268527381</v>
      </c>
      <c r="H906" s="1097">
        <v>0.9568192734091483</v>
      </c>
      <c r="I906" s="1097">
        <v>0.98992025442462428</v>
      </c>
      <c r="K906">
        <v>5.1850789632574505</v>
      </c>
      <c r="L906">
        <v>0</v>
      </c>
      <c r="M906">
        <v>3.5276232928281221E-3</v>
      </c>
      <c r="N906">
        <v>0.30713185131722459</v>
      </c>
      <c r="O906">
        <v>0.1516475076356199</v>
      </c>
      <c r="P906">
        <v>2.0418122275814226E-2</v>
      </c>
      <c r="Q906">
        <v>1.3271701124794202E-3</v>
      </c>
      <c r="R906">
        <v>3.5215364244392147E-3</v>
      </c>
      <c r="S906">
        <v>0.45865615014092614</v>
      </c>
      <c r="T906">
        <v>4.0154522322391779</v>
      </c>
      <c r="U906">
        <v>0</v>
      </c>
      <c r="V906">
        <v>1.1304767209823815E-2</v>
      </c>
      <c r="W906">
        <v>0.18279364738344545</v>
      </c>
      <c r="X906">
        <v>2.6401471019275671E-2</v>
      </c>
      <c r="Y906">
        <v>9.9521307920526474E-3</v>
      </c>
    </row>
    <row r="907" spans="1:25" x14ac:dyDescent="0.25">
      <c r="A907" s="1093"/>
      <c r="B907" s="1452">
        <v>657</v>
      </c>
      <c r="C907" s="1097">
        <v>0.99881305526458419</v>
      </c>
      <c r="D907" s="1097">
        <v>1.0187963060170993</v>
      </c>
      <c r="E907" s="1097">
        <v>0.98186509349783313</v>
      </c>
      <c r="F907" s="1097">
        <v>1.0188490515556556</v>
      </c>
      <c r="G907" s="1097">
        <v>1.0016450244457797</v>
      </c>
      <c r="H907" s="1097">
        <v>0.96418192432105931</v>
      </c>
      <c r="I907" s="1097">
        <v>1.0208549726925558</v>
      </c>
      <c r="K907">
        <v>5.2469708252877876</v>
      </c>
      <c r="L907">
        <v>0</v>
      </c>
      <c r="M907">
        <v>3.6673459478024262E-3</v>
      </c>
      <c r="N907">
        <v>0.30149228432652853</v>
      </c>
      <c r="O907">
        <v>0.15075536555711208</v>
      </c>
      <c r="P907">
        <v>2.0438583973361096E-2</v>
      </c>
      <c r="Q907">
        <v>1.2753559960477885E-3</v>
      </c>
      <c r="R907">
        <v>3.661151068251513E-3</v>
      </c>
      <c r="S907">
        <v>0.47143204635029884</v>
      </c>
      <c r="T907">
        <v>4.0729686868322315</v>
      </c>
      <c r="U907">
        <v>0</v>
      </c>
      <c r="V907">
        <v>1.1304767209823836E-2</v>
      </c>
      <c r="W907">
        <v>0.18181483940649748</v>
      </c>
      <c r="X907">
        <v>2.5148398080890321E-2</v>
      </c>
      <c r="Y907">
        <v>1.0346692434540016E-2</v>
      </c>
    </row>
    <row r="908" spans="1:25" x14ac:dyDescent="0.25">
      <c r="A908" s="1093"/>
      <c r="B908" s="1452">
        <v>658</v>
      </c>
      <c r="C908" s="1097">
        <v>1.0176703221683803</v>
      </c>
      <c r="D908" s="1097">
        <v>1.0115210592885815</v>
      </c>
      <c r="E908" s="1097">
        <v>1.0095222883543065</v>
      </c>
      <c r="F908" s="1097">
        <v>0.9865069497415716</v>
      </c>
      <c r="G908" s="1097">
        <v>1.0094955762619771</v>
      </c>
      <c r="H908" s="1097">
        <v>0.9794241033576998</v>
      </c>
      <c r="I908" s="1097">
        <v>1.0181192262723986</v>
      </c>
      <c r="K908">
        <v>5.0792822922169689</v>
      </c>
      <c r="L908">
        <v>0</v>
      </c>
      <c r="M908">
        <v>3.3498178563984016E-3</v>
      </c>
      <c r="N908">
        <v>0.29890548137696721</v>
      </c>
      <c r="O908">
        <v>0.14293353866934619</v>
      </c>
      <c r="P908">
        <v>2.0171859901909103E-2</v>
      </c>
      <c r="Q908">
        <v>1.2855117527233878E-3</v>
      </c>
      <c r="R908">
        <v>3.3440650880613727E-3</v>
      </c>
      <c r="S908">
        <v>0.45258194150773656</v>
      </c>
      <c r="T908">
        <v>3.9402448307901841</v>
      </c>
      <c r="U908">
        <v>0</v>
      </c>
      <c r="V908">
        <v>1.1304767209823818E-2</v>
      </c>
      <c r="W908">
        <v>0.17690695129448941</v>
      </c>
      <c r="X908">
        <v>2.550257923597013E-2</v>
      </c>
      <c r="Y908">
        <v>9.4505832461532994E-3</v>
      </c>
    </row>
    <row r="909" spans="1:25" x14ac:dyDescent="0.25">
      <c r="A909" s="1093"/>
      <c r="B909" s="1452">
        <v>659</v>
      </c>
      <c r="C909" s="1097">
        <v>0.96438205439007796</v>
      </c>
      <c r="D909" s="1097">
        <v>0.99600798979655525</v>
      </c>
      <c r="E909" s="1097">
        <v>1.0162343692068279</v>
      </c>
      <c r="F909" s="1097">
        <v>0.99005036718606887</v>
      </c>
      <c r="G909" s="1097">
        <v>0.95549717771653619</v>
      </c>
      <c r="H909" s="1097">
        <v>0.99906661265285002</v>
      </c>
      <c r="I909" s="1097">
        <v>1.0339504420375989</v>
      </c>
      <c r="K909">
        <v>5.1872317916487667</v>
      </c>
      <c r="L909">
        <v>0</v>
      </c>
      <c r="M909">
        <v>3.5899735348942341E-3</v>
      </c>
      <c r="N909">
        <v>0.32677596250261959</v>
      </c>
      <c r="O909">
        <v>0.15211985235094125</v>
      </c>
      <c r="P909">
        <v>2.0514048172933723E-2</v>
      </c>
      <c r="Q909">
        <v>1.3727668576167269E-3</v>
      </c>
      <c r="R909">
        <v>3.5839511465696476E-3</v>
      </c>
      <c r="S909">
        <v>0.49185451030183547</v>
      </c>
      <c r="T909">
        <v>3.9535684565836173</v>
      </c>
      <c r="U909">
        <v>0</v>
      </c>
      <c r="V909">
        <v>1.1304767209823815E-2</v>
      </c>
      <c r="W909">
        <v>0.19253427139428425</v>
      </c>
      <c r="X909">
        <v>2.7064659101486529E-2</v>
      </c>
      <c r="Y909">
        <v>1.0128519561931863E-2</v>
      </c>
    </row>
    <row r="910" spans="1:25" x14ac:dyDescent="0.25">
      <c r="A910" s="1093"/>
      <c r="B910" s="1452">
        <v>660</v>
      </c>
      <c r="C910" s="1097">
        <v>0.98428082486495105</v>
      </c>
      <c r="D910" s="1097">
        <v>1.0425540405948333</v>
      </c>
      <c r="E910" s="1097">
        <v>1.0007363678578776</v>
      </c>
      <c r="F910" s="1097">
        <v>0.99578204720937746</v>
      </c>
      <c r="G910" s="1097">
        <v>1.0471480097720345</v>
      </c>
      <c r="H910" s="1097">
        <v>0.98363174629261774</v>
      </c>
      <c r="I910" s="1097">
        <v>1.0000544343137967</v>
      </c>
      <c r="K910">
        <v>5.1459150165758345</v>
      </c>
      <c r="L910">
        <v>0</v>
      </c>
      <c r="M910">
        <v>3.5336278973593072E-3</v>
      </c>
      <c r="N910">
        <v>0.30721484596754539</v>
      </c>
      <c r="O910">
        <v>0.14762278828738448</v>
      </c>
      <c r="P910">
        <v>2.0254240469722413E-2</v>
      </c>
      <c r="Q910">
        <v>1.3033323333491106E-3</v>
      </c>
      <c r="R910">
        <v>3.5276416119519802E-3</v>
      </c>
      <c r="S910">
        <v>0.46135425511038164</v>
      </c>
      <c r="T910">
        <v>3.9783866422342533</v>
      </c>
      <c r="U910">
        <v>0</v>
      </c>
      <c r="V910">
        <v>1.1304767209823813E-2</v>
      </c>
      <c r="W910">
        <v>0.18290399287885128</v>
      </c>
      <c r="X910">
        <v>2.5606753851856782E-2</v>
      </c>
      <c r="Y910">
        <v>9.9693845180727388E-3</v>
      </c>
    </row>
    <row r="911" spans="1:25" x14ac:dyDescent="0.25">
      <c r="A911" s="1093"/>
      <c r="B911" s="1452">
        <v>661</v>
      </c>
      <c r="C911" s="1097">
        <v>1.0265182659542602</v>
      </c>
      <c r="D911" s="1097">
        <v>0.98384390908611685</v>
      </c>
      <c r="E911" s="1097">
        <v>0.98918255956982315</v>
      </c>
      <c r="F911" s="1097">
        <v>1.0139405472224277</v>
      </c>
      <c r="G911" s="1097">
        <v>1.0162314603142504</v>
      </c>
      <c r="H911" s="1097">
        <v>1.0269019294665225</v>
      </c>
      <c r="I911" s="1097">
        <v>0.99672332160077404</v>
      </c>
      <c r="K911">
        <v>5.2370117385291923</v>
      </c>
      <c r="L911">
        <v>0</v>
      </c>
      <c r="M911">
        <v>3.7768744469300689E-3</v>
      </c>
      <c r="N911">
        <v>0.3173398619907935</v>
      </c>
      <c r="O911">
        <v>0.14783018656699679</v>
      </c>
      <c r="P911">
        <v>2.0410685857354456E-2</v>
      </c>
      <c r="Q911">
        <v>1.266374785782577E-3</v>
      </c>
      <c r="R911">
        <v>3.7708552648477657E-3</v>
      </c>
      <c r="S911">
        <v>0.46069848981444061</v>
      </c>
      <c r="T911">
        <v>4.0524084993010749</v>
      </c>
      <c r="U911">
        <v>0</v>
      </c>
      <c r="V911">
        <v>1.1304767209823806E-2</v>
      </c>
      <c r="W911">
        <v>0.19041827455764959</v>
      </c>
      <c r="X911">
        <v>2.4683892757720004E-2</v>
      </c>
      <c r="Y911">
        <v>1.0656724869640226E-2</v>
      </c>
    </row>
    <row r="912" spans="1:25" x14ac:dyDescent="0.25">
      <c r="A912" s="1093"/>
      <c r="B912" s="1452">
        <v>662</v>
      </c>
      <c r="C912" s="1097">
        <v>0.97158868538391507</v>
      </c>
      <c r="D912" s="1097">
        <v>0.96603056158835998</v>
      </c>
      <c r="E912" s="1097">
        <v>1.0250228132897961</v>
      </c>
      <c r="F912" s="1097">
        <v>1.0262364946482914</v>
      </c>
      <c r="G912" s="1097">
        <v>0.99374827717924585</v>
      </c>
      <c r="H912" s="1097">
        <v>0.99676885199754928</v>
      </c>
      <c r="I912" s="1097">
        <v>0.95956932407427276</v>
      </c>
      <c r="K912">
        <v>5.3397712186801352</v>
      </c>
      <c r="L912">
        <v>0</v>
      </c>
      <c r="M912">
        <v>3.6615758919348049E-3</v>
      </c>
      <c r="N912">
        <v>0.34209180098243563</v>
      </c>
      <c r="O912">
        <v>0.15817309271106575</v>
      </c>
      <c r="P912">
        <v>2.1206154232367571E-2</v>
      </c>
      <c r="Q912">
        <v>1.3896350810686834E-3</v>
      </c>
      <c r="R912">
        <v>3.6556359659064676E-3</v>
      </c>
      <c r="S912">
        <v>0.46930370523373005</v>
      </c>
      <c r="T912">
        <v>4.096949189653146</v>
      </c>
      <c r="U912">
        <v>0</v>
      </c>
      <c r="V912">
        <v>1.1304767209823808E-2</v>
      </c>
      <c r="W912">
        <v>0.20038107801546295</v>
      </c>
      <c r="X912">
        <v>2.8646629152806621E-2</v>
      </c>
      <c r="Y912">
        <v>1.0331106334254776E-2</v>
      </c>
    </row>
    <row r="913" spans="1:25" x14ac:dyDescent="0.25">
      <c r="A913" s="1093"/>
      <c r="B913" s="1452">
        <v>663</v>
      </c>
      <c r="C913" s="1097">
        <v>0.98280096838624298</v>
      </c>
      <c r="D913" s="1097">
        <v>1.022361882707912</v>
      </c>
      <c r="E913" s="1097">
        <v>0.99729697681817753</v>
      </c>
      <c r="F913" s="1097">
        <v>1.0054630461228662</v>
      </c>
      <c r="G913" s="1097">
        <v>1.0436330708495716</v>
      </c>
      <c r="H913" s="1097">
        <v>0.9705659864342393</v>
      </c>
      <c r="I913" s="1097">
        <v>1.0283654879267741</v>
      </c>
      <c r="K913">
        <v>5.2072564279608233</v>
      </c>
      <c r="L913">
        <v>0</v>
      </c>
      <c r="M913">
        <v>3.5793518152847578E-3</v>
      </c>
      <c r="N913">
        <v>0.3080327578468498</v>
      </c>
      <c r="O913">
        <v>0.15055194633683633</v>
      </c>
      <c r="P913">
        <v>2.0456515296497595E-2</v>
      </c>
      <c r="Q913">
        <v>1.3116719541220276E-3</v>
      </c>
      <c r="R913">
        <v>3.5732655117511241E-3</v>
      </c>
      <c r="S913">
        <v>0.47824297059457832</v>
      </c>
      <c r="T913">
        <v>4.0174989262881819</v>
      </c>
      <c r="U913">
        <v>0</v>
      </c>
      <c r="V913">
        <v>1.1304767209823801E-2</v>
      </c>
      <c r="W913">
        <v>0.18381803746236472</v>
      </c>
      <c r="X913">
        <v>2.5946600132981321E-2</v>
      </c>
      <c r="Y913">
        <v>1.0098321142125095E-2</v>
      </c>
    </row>
    <row r="914" spans="1:25" x14ac:dyDescent="0.25">
      <c r="A914" s="1093"/>
      <c r="B914" s="1452">
        <v>664</v>
      </c>
      <c r="C914" s="1097">
        <v>0.99113199357614934</v>
      </c>
      <c r="D914" s="1097">
        <v>1.0193170895577937</v>
      </c>
      <c r="E914" s="1097">
        <v>0.98822233779246826</v>
      </c>
      <c r="F914" s="1097">
        <v>1.0079538623151896</v>
      </c>
      <c r="G914" s="1097">
        <v>1.0020172961403753</v>
      </c>
      <c r="H914" s="1097">
        <v>0.98016864589394503</v>
      </c>
      <c r="I914" s="1097">
        <v>0.99618098141642775</v>
      </c>
      <c r="K914">
        <v>5.2012221407995227</v>
      </c>
      <c r="L914">
        <v>0</v>
      </c>
      <c r="M914">
        <v>3.6668688724165008E-3</v>
      </c>
      <c r="N914">
        <v>0.30719451182684177</v>
      </c>
      <c r="O914">
        <v>0.15008983160773526</v>
      </c>
      <c r="P914">
        <v>2.0296322810324091E-2</v>
      </c>
      <c r="Q914">
        <v>1.2920645759142699E-3</v>
      </c>
      <c r="R914">
        <v>3.6607100725352302E-3</v>
      </c>
      <c r="S914">
        <v>0.46240629800395594</v>
      </c>
      <c r="T914">
        <v>4.0286037233388816</v>
      </c>
      <c r="U914">
        <v>0</v>
      </c>
      <c r="V914">
        <v>1.1304767209823815E-2</v>
      </c>
      <c r="W914">
        <v>0.18445119530641721</v>
      </c>
      <c r="X914">
        <v>2.5244138772531021E-2</v>
      </c>
      <c r="Y914">
        <v>1.0345446146977371E-2</v>
      </c>
    </row>
    <row r="915" spans="1:25" x14ac:dyDescent="0.25">
      <c r="A915" s="1093"/>
      <c r="B915" s="1452">
        <v>665</v>
      </c>
      <c r="C915" s="1097">
        <v>0.98156902288975245</v>
      </c>
      <c r="D915" s="1097">
        <v>1.0010797923019417</v>
      </c>
      <c r="E915" s="1097">
        <v>1.0182529033426468</v>
      </c>
      <c r="F915" s="1097">
        <v>0.99740324608389963</v>
      </c>
      <c r="G915" s="1097">
        <v>0.99875004080006824</v>
      </c>
      <c r="H915" s="1097">
        <v>0.99646611868844048</v>
      </c>
      <c r="I915" s="1097">
        <v>1.0302790728427422</v>
      </c>
      <c r="K915">
        <v>5.1988665171465813</v>
      </c>
      <c r="L915">
        <v>0</v>
      </c>
      <c r="M915">
        <v>3.5217812410862233E-3</v>
      </c>
      <c r="N915">
        <v>0.32249192525125048</v>
      </c>
      <c r="O915">
        <v>0.15020358559342067</v>
      </c>
      <c r="P915">
        <v>2.0640245379859389E-2</v>
      </c>
      <c r="Q915">
        <v>1.3482978265236271E-3</v>
      </c>
      <c r="R915">
        <v>3.5159014259594427E-3</v>
      </c>
      <c r="S915">
        <v>0.48352243142441292</v>
      </c>
      <c r="T915">
        <v>3.9826799912720587</v>
      </c>
      <c r="U915">
        <v>0</v>
      </c>
      <c r="V915">
        <v>1.1304767209823808E-2</v>
      </c>
      <c r="W915">
        <v>0.18975409985120778</v>
      </c>
      <c r="X915">
        <v>2.6990847297015348E-2</v>
      </c>
      <c r="Y915">
        <v>9.9362058561370328E-3</v>
      </c>
    </row>
    <row r="916" spans="1:25" x14ac:dyDescent="0.25">
      <c r="A916" s="1093"/>
      <c r="B916" s="1452">
        <v>666</v>
      </c>
      <c r="C916" s="1097">
        <v>0.98309662689973898</v>
      </c>
      <c r="D916" s="1097">
        <v>1.009913409789251</v>
      </c>
      <c r="E916" s="1097">
        <v>0.99936288635891823</v>
      </c>
      <c r="F916" s="1097">
        <v>0.99017575889944609</v>
      </c>
      <c r="G916" s="1097">
        <v>1.0226026772733086</v>
      </c>
      <c r="H916" s="1097">
        <v>1.0037130561085923</v>
      </c>
      <c r="I916" s="1097">
        <v>1.0291093495209402</v>
      </c>
      <c r="K916">
        <v>5.1574495660343658</v>
      </c>
      <c r="L916">
        <v>0</v>
      </c>
      <c r="M916">
        <v>3.6463195694163321E-3</v>
      </c>
      <c r="N916">
        <v>0.31573257176938235</v>
      </c>
      <c r="O916">
        <v>0.1488887505835772</v>
      </c>
      <c r="P916">
        <v>2.0216677944973518E-2</v>
      </c>
      <c r="Q916">
        <v>1.3200566333087371E-3</v>
      </c>
      <c r="R916">
        <v>3.6402317438450709E-3</v>
      </c>
      <c r="S916">
        <v>0.47987269768015767</v>
      </c>
      <c r="T916">
        <v>3.9561589306747647</v>
      </c>
      <c r="U916">
        <v>0</v>
      </c>
      <c r="V916">
        <v>1.1304767209823825E-2</v>
      </c>
      <c r="W916">
        <v>0.18814969429351985</v>
      </c>
      <c r="X916">
        <v>2.5523934243774613E-2</v>
      </c>
      <c r="Y916">
        <v>1.0287572826652547E-2</v>
      </c>
    </row>
    <row r="917" spans="1:25" x14ac:dyDescent="0.25">
      <c r="A917" s="1093"/>
      <c r="B917" s="1452">
        <v>667</v>
      </c>
      <c r="C917" s="1097">
        <v>0.98117245460229019</v>
      </c>
      <c r="D917" s="1097">
        <v>0.99284160085670703</v>
      </c>
      <c r="E917" s="1097">
        <v>1.0320665236979223</v>
      </c>
      <c r="F917" s="1097">
        <v>1.0033149917868525</v>
      </c>
      <c r="G917" s="1097">
        <v>0.98501313141195668</v>
      </c>
      <c r="H917" s="1097">
        <v>1.0125486424130716</v>
      </c>
      <c r="I917" s="1097">
        <v>1.040586246190242</v>
      </c>
      <c r="K917">
        <v>5.2522960999899597</v>
      </c>
      <c r="L917">
        <v>0</v>
      </c>
      <c r="M917">
        <v>3.5091890242557908E-3</v>
      </c>
      <c r="N917">
        <v>0.33475051405909256</v>
      </c>
      <c r="O917">
        <v>0.15126095922112162</v>
      </c>
      <c r="P917">
        <v>2.1004516308673751E-2</v>
      </c>
      <c r="Q917">
        <v>1.3691684271775074E-3</v>
      </c>
      <c r="R917">
        <v>3.5034572057335211E-3</v>
      </c>
      <c r="S917">
        <v>0.49499451895910279</v>
      </c>
      <c r="T917">
        <v>4.0045664656438005</v>
      </c>
      <c r="U917">
        <v>0</v>
      </c>
      <c r="V917">
        <v>1.1304767209823825E-2</v>
      </c>
      <c r="W917">
        <v>0.19516740228554877</v>
      </c>
      <c r="X917">
        <v>2.7982482154428386E-2</v>
      </c>
      <c r="Y917">
        <v>9.9010375397073046E-3</v>
      </c>
    </row>
    <row r="918" spans="1:25" x14ac:dyDescent="0.25">
      <c r="A918" s="1093"/>
      <c r="B918" s="1452">
        <v>668</v>
      </c>
      <c r="C918" s="1097">
        <v>1.0321352306981117</v>
      </c>
      <c r="D918" s="1097">
        <v>1.0082442046129965</v>
      </c>
      <c r="E918" s="1097">
        <v>1.0207522269487621</v>
      </c>
      <c r="F918" s="1097">
        <v>1.0023922687722133</v>
      </c>
      <c r="G918" s="1097">
        <v>0.97810140563951953</v>
      </c>
      <c r="H918" s="1097">
        <v>1.0115587997624127</v>
      </c>
      <c r="I918" s="1097">
        <v>1.0039649878758814</v>
      </c>
      <c r="K918">
        <v>5.162655814455559</v>
      </c>
      <c r="L918">
        <v>0</v>
      </c>
      <c r="M918">
        <v>3.3892769152204447E-3</v>
      </c>
      <c r="N918">
        <v>0.3126722942481488</v>
      </c>
      <c r="O918">
        <v>0.1430830710219998</v>
      </c>
      <c r="P918">
        <v>2.0623425589380854E-2</v>
      </c>
      <c r="Q918">
        <v>1.2812977624384874E-3</v>
      </c>
      <c r="R918">
        <v>3.3837304484154143E-3</v>
      </c>
      <c r="S918">
        <v>0.45208792048236757</v>
      </c>
      <c r="T918">
        <v>4.0022897492579457</v>
      </c>
      <c r="U918">
        <v>0</v>
      </c>
      <c r="V918">
        <v>1.1304767209823798E-2</v>
      </c>
      <c r="W918">
        <v>0.18366978653683169</v>
      </c>
      <c r="X918">
        <v>2.6086368230612396E-2</v>
      </c>
      <c r="Y918">
        <v>9.5626805828208251E-3</v>
      </c>
    </row>
    <row r="919" spans="1:25" x14ac:dyDescent="0.25">
      <c r="A919" s="1093"/>
      <c r="B919" s="1452">
        <v>669</v>
      </c>
      <c r="C919" s="1097">
        <v>1.0148082866821293</v>
      </c>
      <c r="D919" s="1097">
        <v>0.98886452271406877</v>
      </c>
      <c r="E919" s="1097">
        <v>0.9932156395760372</v>
      </c>
      <c r="F919" s="1097">
        <v>1.0096272764261536</v>
      </c>
      <c r="G919" s="1097">
        <v>0.98547820889609272</v>
      </c>
      <c r="H919" s="1097">
        <v>1.0224771786919844</v>
      </c>
      <c r="I919" s="1097">
        <v>0.97232243474991709</v>
      </c>
      <c r="K919">
        <v>5.2128127619424891</v>
      </c>
      <c r="L919">
        <v>0</v>
      </c>
      <c r="M919">
        <v>3.7482079792374745E-3</v>
      </c>
      <c r="N919">
        <v>0.31871531921136936</v>
      </c>
      <c r="O919">
        <v>0.14848486964728624</v>
      </c>
      <c r="P919">
        <v>2.0351659764150994E-2</v>
      </c>
      <c r="Q919">
        <v>1.2828334038235425E-3</v>
      </c>
      <c r="R919">
        <v>3.7421830446033714E-3</v>
      </c>
      <c r="S919">
        <v>0.45171578552661806</v>
      </c>
      <c r="T919">
        <v>4.034656328954271</v>
      </c>
      <c r="U919">
        <v>0</v>
      </c>
      <c r="V919">
        <v>1.1304767209823801E-2</v>
      </c>
      <c r="W919">
        <v>0.19071990118586285</v>
      </c>
      <c r="X919">
        <v>2.5011626987712227E-2</v>
      </c>
      <c r="Y919">
        <v>1.0575694986209102E-2</v>
      </c>
    </row>
    <row r="920" spans="1:25" x14ac:dyDescent="0.25">
      <c r="A920" s="1093"/>
      <c r="B920" s="1452">
        <v>670</v>
      </c>
      <c r="C920" s="1097">
        <v>0.99069089008177313</v>
      </c>
      <c r="D920" s="1097">
        <v>1.0010119043472061</v>
      </c>
      <c r="E920" s="1097">
        <v>0.97423217565436038</v>
      </c>
      <c r="F920" s="1097">
        <v>1.0318845817396201</v>
      </c>
      <c r="G920" s="1097">
        <v>1.0161776728493688</v>
      </c>
      <c r="H920" s="1097">
        <v>0.98016463133251908</v>
      </c>
      <c r="I920" s="1097">
        <v>0.97121921860295268</v>
      </c>
      <c r="K920">
        <v>5.3150365525571077</v>
      </c>
      <c r="L920">
        <v>0</v>
      </c>
      <c r="M920">
        <v>3.8955297055891093E-3</v>
      </c>
      <c r="N920">
        <v>0.31309340383752898</v>
      </c>
      <c r="O920">
        <v>0.15524522345098407</v>
      </c>
      <c r="P920">
        <v>2.0513294041559528E-2</v>
      </c>
      <c r="Q920">
        <v>1.2863396632687314E-3</v>
      </c>
      <c r="R920">
        <v>3.8891383184648056E-3</v>
      </c>
      <c r="S920">
        <v>0.46159980103890175</v>
      </c>
      <c r="T920">
        <v>4.1260788137168358</v>
      </c>
      <c r="U920">
        <v>0</v>
      </c>
      <c r="V920">
        <v>1.1304767209823825E-2</v>
      </c>
      <c r="W920">
        <v>0.18980219805000867</v>
      </c>
      <c r="X920">
        <v>2.5128101125672139E-2</v>
      </c>
      <c r="Y920">
        <v>1.0991001809645923E-2</v>
      </c>
    </row>
    <row r="921" spans="1:25" x14ac:dyDescent="0.25">
      <c r="A921" s="1093"/>
      <c r="B921" s="1452">
        <v>671</v>
      </c>
      <c r="C921" s="1097">
        <v>0.99692566464025356</v>
      </c>
      <c r="D921" s="1097">
        <v>1.0006503976784742</v>
      </c>
      <c r="E921" s="1097">
        <v>0.9748268869721326</v>
      </c>
      <c r="F921" s="1097">
        <v>0.9972417101957447</v>
      </c>
      <c r="G921" s="1097">
        <v>0.99708239172596447</v>
      </c>
      <c r="H921" s="1097">
        <v>1.0244705919248047</v>
      </c>
      <c r="I921" s="1097">
        <v>0.98429865487769763</v>
      </c>
      <c r="K921">
        <v>5.1690045144604033</v>
      </c>
      <c r="L921">
        <v>0</v>
      </c>
      <c r="M921">
        <v>3.9062223708018254E-3</v>
      </c>
      <c r="N921">
        <v>0.31451275685551255</v>
      </c>
      <c r="O921">
        <v>0.14909995605976256</v>
      </c>
      <c r="P921">
        <v>1.9896864504466778E-2</v>
      </c>
      <c r="Q921">
        <v>1.2791420672269476E-3</v>
      </c>
      <c r="R921">
        <v>3.8998779566657535E-3</v>
      </c>
      <c r="S921">
        <v>0.459968968782548</v>
      </c>
      <c r="T921">
        <v>3.9874809768422708</v>
      </c>
      <c r="U921">
        <v>0</v>
      </c>
      <c r="V921">
        <v>1.1304767209823815E-2</v>
      </c>
      <c r="W921">
        <v>0.19058467125992762</v>
      </c>
      <c r="X921">
        <v>2.3861402445865633E-2</v>
      </c>
      <c r="Y921">
        <v>1.1021352847134394E-2</v>
      </c>
    </row>
    <row r="922" spans="1:25" x14ac:dyDescent="0.25">
      <c r="A922" s="1093"/>
      <c r="B922" s="1452">
        <v>672</v>
      </c>
      <c r="C922" s="1097">
        <v>0.99287173000349693</v>
      </c>
      <c r="D922" s="1097">
        <v>0.99937124931756238</v>
      </c>
      <c r="E922" s="1097">
        <v>0.95958987325970524</v>
      </c>
      <c r="F922" s="1097">
        <v>1.0029997481190607</v>
      </c>
      <c r="G922" s="1097">
        <v>0.98828845033741486</v>
      </c>
      <c r="H922" s="1097">
        <v>1.0108214518055434</v>
      </c>
      <c r="I922" s="1097">
        <v>1.0134165714412959</v>
      </c>
      <c r="K922">
        <v>5.2047805177040951</v>
      </c>
      <c r="L922">
        <v>0</v>
      </c>
      <c r="M922">
        <v>4.020531105110612E-3</v>
      </c>
      <c r="N922">
        <v>0.30938879666223312</v>
      </c>
      <c r="O922">
        <v>0.15107834446669619</v>
      </c>
      <c r="P922">
        <v>1.984319249558775E-2</v>
      </c>
      <c r="Q922">
        <v>1.2680002570007419E-3</v>
      </c>
      <c r="R922">
        <v>4.0139507884524072E-3</v>
      </c>
      <c r="S922">
        <v>0.47531597345015586</v>
      </c>
      <c r="T922">
        <v>4.0124527660672351</v>
      </c>
      <c r="U922">
        <v>0</v>
      </c>
      <c r="V922">
        <v>1.1304767209823829E-2</v>
      </c>
      <c r="W922">
        <v>0.1894645016790853</v>
      </c>
      <c r="X922">
        <v>2.3327024354118781E-2</v>
      </c>
      <c r="Y922">
        <v>1.1343731378812191E-2</v>
      </c>
    </row>
    <row r="923" spans="1:25" x14ac:dyDescent="0.25">
      <c r="A923" s="1093"/>
      <c r="B923" s="1452">
        <v>673</v>
      </c>
      <c r="C923" s="1097">
        <v>0.99602322041181046</v>
      </c>
      <c r="D923" s="1097">
        <v>1.0301653375420925</v>
      </c>
      <c r="E923" s="1097">
        <v>1.0133790002311855</v>
      </c>
      <c r="F923" s="1097">
        <v>0.96437377032616289</v>
      </c>
      <c r="G923" s="1097">
        <v>1.0064155492853522</v>
      </c>
      <c r="H923" s="1097">
        <v>0.96749927581171979</v>
      </c>
      <c r="I923" s="1097">
        <v>1.0085031569955178</v>
      </c>
      <c r="K923">
        <v>4.9728983235979092</v>
      </c>
      <c r="L923">
        <v>0</v>
      </c>
      <c r="M923">
        <v>3.2545756685088915E-3</v>
      </c>
      <c r="N923">
        <v>0.29372379226502421</v>
      </c>
      <c r="O923">
        <v>0.14162154105265065</v>
      </c>
      <c r="P923">
        <v>1.9789585201243423E-2</v>
      </c>
      <c r="Q923">
        <v>1.308175376578571E-3</v>
      </c>
      <c r="R923">
        <v>3.2487879393593776E-3</v>
      </c>
      <c r="S923">
        <v>0.4457059741654415</v>
      </c>
      <c r="T923">
        <v>3.8513774084055727</v>
      </c>
      <c r="U923">
        <v>0</v>
      </c>
      <c r="V923">
        <v>1.1304767209823817E-2</v>
      </c>
      <c r="W923">
        <v>0.17339111504074012</v>
      </c>
      <c r="X923">
        <v>2.5500429860125965E-2</v>
      </c>
      <c r="Y923">
        <v>9.1813227498552651E-3</v>
      </c>
    </row>
    <row r="924" spans="1:25" x14ac:dyDescent="0.25">
      <c r="A924" s="1093"/>
      <c r="B924" s="1452">
        <v>674</v>
      </c>
      <c r="C924" s="1097">
        <v>0.99857408048813145</v>
      </c>
      <c r="D924" s="1097">
        <v>0.99969880050973681</v>
      </c>
      <c r="E924" s="1097">
        <v>1.0173069433922499</v>
      </c>
      <c r="F924" s="1097">
        <v>1.0166400255940569</v>
      </c>
      <c r="G924" s="1097">
        <v>1.0241240191037786</v>
      </c>
      <c r="H924" s="1097">
        <v>1.0258522225929472</v>
      </c>
      <c r="I924" s="1097">
        <v>1.0092286390377043</v>
      </c>
      <c r="K924">
        <v>5.2882285635357444</v>
      </c>
      <c r="L924">
        <v>0</v>
      </c>
      <c r="M924">
        <v>3.6417932397508701E-3</v>
      </c>
      <c r="N924">
        <v>0.33257548022502864</v>
      </c>
      <c r="O924">
        <v>0.15060327966635983</v>
      </c>
      <c r="P924">
        <v>2.0958922206168868E-2</v>
      </c>
      <c r="Q924">
        <v>1.3250066654705171E-3</v>
      </c>
      <c r="R924">
        <v>3.6359987985725966E-3</v>
      </c>
      <c r="S924">
        <v>0.47888159988613016</v>
      </c>
      <c r="T924">
        <v>4.0596131253753054</v>
      </c>
      <c r="U924">
        <v>0</v>
      </c>
      <c r="V924">
        <v>1.1304767209823817E-2</v>
      </c>
      <c r="W924">
        <v>0.19581091366761086</v>
      </c>
      <c r="X924">
        <v>2.688565287488185E-2</v>
      </c>
      <c r="Y924">
        <v>1.0275610200142449E-2</v>
      </c>
    </row>
    <row r="925" spans="1:25" x14ac:dyDescent="0.25">
      <c r="A925" s="1093"/>
      <c r="B925" s="1452">
        <v>675</v>
      </c>
      <c r="C925" s="1097">
        <v>1.0064092602997194</v>
      </c>
      <c r="D925" s="1097">
        <v>1.0191851412423809</v>
      </c>
      <c r="E925" s="1097">
        <v>1.0016796913236365</v>
      </c>
      <c r="F925" s="1097">
        <v>1.004996831693957</v>
      </c>
      <c r="G925" s="1097">
        <v>1.0398104319907853</v>
      </c>
      <c r="H925" s="1097">
        <v>1.0367706636332641</v>
      </c>
      <c r="I925" s="1097">
        <v>1.0098673602228072</v>
      </c>
      <c r="K925">
        <v>5.2168986962369281</v>
      </c>
      <c r="L925">
        <v>0</v>
      </c>
      <c r="M925">
        <v>3.7024092336585602E-3</v>
      </c>
      <c r="N925">
        <v>0.32282245402462534</v>
      </c>
      <c r="O925">
        <v>0.14701428484372908</v>
      </c>
      <c r="P925">
        <v>2.0480107185293417E-2</v>
      </c>
      <c r="Q925">
        <v>1.2873261923031481E-3</v>
      </c>
      <c r="R925">
        <v>3.6965129672698639E-3</v>
      </c>
      <c r="S925">
        <v>0.47113162474061193</v>
      </c>
      <c r="T925">
        <v>4.0150829415166198</v>
      </c>
      <c r="U925">
        <v>0</v>
      </c>
      <c r="V925">
        <v>1.1304767209823825E-2</v>
      </c>
      <c r="W925">
        <v>0.19207376821442726</v>
      </c>
      <c r="X925">
        <v>2.5260690714955909E-2</v>
      </c>
      <c r="Y925">
        <v>1.0446627860919152E-2</v>
      </c>
    </row>
    <row r="926" spans="1:25" x14ac:dyDescent="0.25">
      <c r="A926" s="1093"/>
      <c r="B926" s="1452">
        <v>676</v>
      </c>
      <c r="C926" s="1097">
        <v>0.98586508101196479</v>
      </c>
      <c r="D926" s="1097">
        <v>0.9836562820369108</v>
      </c>
      <c r="E926" s="1097">
        <v>0.9627079184045747</v>
      </c>
      <c r="F926" s="1097">
        <v>1.0302345250750788</v>
      </c>
      <c r="G926" s="1097">
        <v>1.0384950666949122</v>
      </c>
      <c r="H926" s="1097">
        <v>0.98235491142267117</v>
      </c>
      <c r="I926" s="1097">
        <v>0.99982217546604035</v>
      </c>
      <c r="K926">
        <v>5.3317491243600648</v>
      </c>
      <c r="L926">
        <v>0</v>
      </c>
      <c r="M926">
        <v>4.0409973619513475E-3</v>
      </c>
      <c r="N926">
        <v>0.31385735022704736</v>
      </c>
      <c r="O926">
        <v>0.1571862980701397</v>
      </c>
      <c r="P926">
        <v>2.038685274462864E-2</v>
      </c>
      <c r="Q926">
        <v>1.2886592795778326E-3</v>
      </c>
      <c r="R926">
        <v>4.0343715107093343E-3</v>
      </c>
      <c r="S926">
        <v>0.47892380756532477</v>
      </c>
      <c r="T926">
        <v>4.1209935589491398</v>
      </c>
      <c r="U926">
        <v>0</v>
      </c>
      <c r="V926">
        <v>1.1304767209823817E-2</v>
      </c>
      <c r="W926">
        <v>0.19178550057598198</v>
      </c>
      <c r="X926">
        <v>2.4627513690682081E-2</v>
      </c>
      <c r="Y926">
        <v>1.1401441898958661E-2</v>
      </c>
    </row>
    <row r="927" spans="1:25" x14ac:dyDescent="0.25">
      <c r="A927" s="1093"/>
      <c r="B927" s="1452">
        <v>677</v>
      </c>
      <c r="C927" s="1097">
        <v>0.99711604643824558</v>
      </c>
      <c r="D927" s="1097">
        <v>0.99453647658253452</v>
      </c>
      <c r="E927" s="1097">
        <v>1.0138201563883227</v>
      </c>
      <c r="F927" s="1097">
        <v>1.0340975746307888</v>
      </c>
      <c r="G927" s="1097">
        <v>1.0176032043740761</v>
      </c>
      <c r="H927" s="1097">
        <v>1.0322151056177247</v>
      </c>
      <c r="I927" s="1097">
        <v>0.98375222775108684</v>
      </c>
      <c r="K927">
        <v>5.3727115837726931</v>
      </c>
      <c r="L927">
        <v>0</v>
      </c>
      <c r="M927">
        <v>3.7680235176010763E-3</v>
      </c>
      <c r="N927">
        <v>0.34058285374578506</v>
      </c>
      <c r="O927">
        <v>0.15383234229538897</v>
      </c>
      <c r="P927">
        <v>2.1214061926395713E-2</v>
      </c>
      <c r="Q927">
        <v>1.3257663811757419E-3</v>
      </c>
      <c r="R927">
        <v>3.7621656153158088E-3</v>
      </c>
      <c r="S927">
        <v>0.47593290504740132</v>
      </c>
      <c r="T927">
        <v>4.1297734106418647</v>
      </c>
      <c r="U927">
        <v>0</v>
      </c>
      <c r="V927">
        <v>1.1304767209823825E-2</v>
      </c>
      <c r="W927">
        <v>0.20099358121872804</v>
      </c>
      <c r="X927">
        <v>2.712558595177228E-2</v>
      </c>
      <c r="Y927">
        <v>1.0632167256639556E-2</v>
      </c>
    </row>
    <row r="928" spans="1:25" x14ac:dyDescent="0.25">
      <c r="A928" s="1093"/>
      <c r="B928" s="1452">
        <v>678</v>
      </c>
      <c r="C928" s="1097">
        <v>0.9952007223162751</v>
      </c>
      <c r="D928" s="1097">
        <v>0.9733826662534667</v>
      </c>
      <c r="E928" s="1097">
        <v>1.0015097922916427</v>
      </c>
      <c r="F928" s="1097">
        <v>0.98926043568915611</v>
      </c>
      <c r="G928" s="1097">
        <v>0.99098868973012211</v>
      </c>
      <c r="H928" s="1097">
        <v>0.99243846294379923</v>
      </c>
      <c r="I928" s="1097">
        <v>1.0033196378289764</v>
      </c>
      <c r="K928">
        <v>5.1326655781216308</v>
      </c>
      <c r="L928">
        <v>0</v>
      </c>
      <c r="M928">
        <v>3.5947593400415638E-3</v>
      </c>
      <c r="N928">
        <v>0.31324784782797965</v>
      </c>
      <c r="O928">
        <v>0.14906341284219335</v>
      </c>
      <c r="P928">
        <v>2.0154641519477837E-2</v>
      </c>
      <c r="Q928">
        <v>1.3257974043712794E-3</v>
      </c>
      <c r="R928">
        <v>3.5886838088455887E-3</v>
      </c>
      <c r="S928">
        <v>0.46306572224803821</v>
      </c>
      <c r="T928">
        <v>3.9522352375316148</v>
      </c>
      <c r="U928">
        <v>0</v>
      </c>
      <c r="V928">
        <v>1.130476720982382E-2</v>
      </c>
      <c r="W928">
        <v>0.18639842321044595</v>
      </c>
      <c r="X928">
        <v>2.5733909432031046E-2</v>
      </c>
      <c r="Y928">
        <v>1.0141894426845348E-2</v>
      </c>
    </row>
    <row r="929" spans="1:25" x14ac:dyDescent="0.25">
      <c r="A929" s="1093"/>
      <c r="B929" s="1452">
        <v>679</v>
      </c>
      <c r="C929" s="1097">
        <v>1.0252781829813793</v>
      </c>
      <c r="D929" s="1097">
        <v>0.99683027682926539</v>
      </c>
      <c r="E929" s="1097">
        <v>0.98512696115447196</v>
      </c>
      <c r="F929" s="1097">
        <v>1.0349112585261173</v>
      </c>
      <c r="G929" s="1097">
        <v>0.98431824851844074</v>
      </c>
      <c r="H929" s="1097">
        <v>1.0015833677381119</v>
      </c>
      <c r="I929" s="1097">
        <v>1.0239448679691967</v>
      </c>
      <c r="K929">
        <v>5.3343620351875396</v>
      </c>
      <c r="L929">
        <v>0</v>
      </c>
      <c r="M929">
        <v>3.7767275098867788E-3</v>
      </c>
      <c r="N929">
        <v>0.3135312827293491</v>
      </c>
      <c r="O929">
        <v>0.15039389138948409</v>
      </c>
      <c r="P929">
        <v>2.0796202670463067E-2</v>
      </c>
      <c r="Q929">
        <v>1.2568611371455663E-3</v>
      </c>
      <c r="R929">
        <v>3.7706812580518066E-3</v>
      </c>
      <c r="S929">
        <v>0.47593342023897334</v>
      </c>
      <c r="T929">
        <v>4.1367521286719651</v>
      </c>
      <c r="U929">
        <v>0</v>
      </c>
      <c r="V929">
        <v>1.1304767209823818E-2</v>
      </c>
      <c r="W929">
        <v>0.18865388275360265</v>
      </c>
      <c r="X929">
        <v>2.5089411525414544E-2</v>
      </c>
      <c r="Y929">
        <v>1.0656233113150053E-2</v>
      </c>
    </row>
    <row r="930" spans="1:25" x14ac:dyDescent="0.25">
      <c r="A930" s="1093"/>
      <c r="B930" s="1452">
        <v>680</v>
      </c>
      <c r="C930" s="1097">
        <v>1.0133939793750966</v>
      </c>
      <c r="D930" s="1097">
        <v>1.0124828490896296</v>
      </c>
      <c r="E930" s="1097">
        <v>0.99674794888012053</v>
      </c>
      <c r="F930" s="1097">
        <v>1.0145533338095096</v>
      </c>
      <c r="G930" s="1097">
        <v>0.99082199438365248</v>
      </c>
      <c r="H930" s="1097">
        <v>1.0104052679701647</v>
      </c>
      <c r="I930" s="1097">
        <v>0.96602453376934905</v>
      </c>
      <c r="K930">
        <v>5.2203485317628262</v>
      </c>
      <c r="L930">
        <v>0</v>
      </c>
      <c r="M930">
        <v>3.6648248225537622E-3</v>
      </c>
      <c r="N930">
        <v>0.31490141665267901</v>
      </c>
      <c r="O930">
        <v>0.14791556850559057</v>
      </c>
      <c r="P930">
        <v>2.0471377217677087E-2</v>
      </c>
      <c r="Q930">
        <v>1.276422761787155E-3</v>
      </c>
      <c r="R930">
        <v>3.6588924343976962E-3</v>
      </c>
      <c r="S930">
        <v>0.44698782553573391</v>
      </c>
      <c r="T930">
        <v>4.0538907528844392</v>
      </c>
      <c r="U930">
        <v>0</v>
      </c>
      <c r="V930">
        <v>1.1304767209823822E-2</v>
      </c>
      <c r="W930">
        <v>0.18798678332661412</v>
      </c>
      <c r="X930">
        <v>2.5279240693799426E-2</v>
      </c>
      <c r="Y930">
        <v>1.0340309362830598E-2</v>
      </c>
    </row>
    <row r="931" spans="1:25" x14ac:dyDescent="0.25">
      <c r="A931" s="1093"/>
      <c r="B931" s="1452">
        <v>681</v>
      </c>
      <c r="C931" s="1097">
        <v>1.0093967118679081</v>
      </c>
      <c r="D931" s="1097">
        <v>0.989795757829664</v>
      </c>
      <c r="E931" s="1097">
        <v>1.0066868575584369</v>
      </c>
      <c r="F931" s="1097">
        <v>1.0252053509813073</v>
      </c>
      <c r="G931" s="1097">
        <v>0.96303822673306327</v>
      </c>
      <c r="H931" s="1097">
        <v>0.9840916164907012</v>
      </c>
      <c r="I931" s="1097">
        <v>0.98385366214507597</v>
      </c>
      <c r="K931">
        <v>5.2790627534364027</v>
      </c>
      <c r="L931">
        <v>0</v>
      </c>
      <c r="M931">
        <v>3.5783477461345681E-3</v>
      </c>
      <c r="N931">
        <v>0.31665062885652606</v>
      </c>
      <c r="O931">
        <v>0.15114479278428275</v>
      </c>
      <c r="P931">
        <v>2.0863236901882964E-2</v>
      </c>
      <c r="Q931">
        <v>1.3041966415863167E-3</v>
      </c>
      <c r="R931">
        <v>3.5724621514563594E-3</v>
      </c>
      <c r="S931">
        <v>0.45817413017269032</v>
      </c>
      <c r="T931">
        <v>4.0951751598371944</v>
      </c>
      <c r="U931">
        <v>0</v>
      </c>
      <c r="V931">
        <v>1.1304767209823817E-2</v>
      </c>
      <c r="W931">
        <v>0.18776692496118033</v>
      </c>
      <c r="X931">
        <v>2.6588750881314908E-2</v>
      </c>
      <c r="Y931">
        <v>1.0096050784598432E-2</v>
      </c>
    </row>
    <row r="932" spans="1:25" x14ac:dyDescent="0.25">
      <c r="A932" s="1093"/>
      <c r="B932" s="1452">
        <v>682</v>
      </c>
      <c r="C932" s="1097">
        <v>0.99177585772370891</v>
      </c>
      <c r="D932" s="1097">
        <v>0.99925621115538876</v>
      </c>
      <c r="E932" s="1097">
        <v>1.003632437889215</v>
      </c>
      <c r="F932" s="1097">
        <v>0.98428604174870371</v>
      </c>
      <c r="G932" s="1097">
        <v>1.0115323373836942</v>
      </c>
      <c r="H932" s="1097">
        <v>0.97431931753729561</v>
      </c>
      <c r="I932" s="1097">
        <v>0.98531727516908019</v>
      </c>
      <c r="K932">
        <v>5.0814310408199095</v>
      </c>
      <c r="L932">
        <v>0</v>
      </c>
      <c r="M932">
        <v>3.4711999737992881E-3</v>
      </c>
      <c r="N932">
        <v>0.30437666472335528</v>
      </c>
      <c r="O932">
        <v>0.14721382145249237</v>
      </c>
      <c r="P932">
        <v>2.0029259540450126E-2</v>
      </c>
      <c r="Q932">
        <v>1.3188815143277068E-3</v>
      </c>
      <c r="R932">
        <v>3.4651940201682334E-3</v>
      </c>
      <c r="S932">
        <v>0.44872627581690544</v>
      </c>
      <c r="T932">
        <v>3.9320998314943663</v>
      </c>
      <c r="U932">
        <v>0</v>
      </c>
      <c r="V932">
        <v>1.1304767209823818E-2</v>
      </c>
      <c r="W932">
        <v>0.18086041412707871</v>
      </c>
      <c r="X932">
        <v>2.5714228038695462E-2</v>
      </c>
      <c r="Y932">
        <v>9.7929028560437767E-3</v>
      </c>
    </row>
    <row r="933" spans="1:25" x14ac:dyDescent="0.25">
      <c r="A933" s="1093"/>
      <c r="B933" s="1452">
        <v>683</v>
      </c>
      <c r="C933" s="1097">
        <v>1.0019714863215501</v>
      </c>
      <c r="D933" s="1097">
        <v>1.0171544680144453</v>
      </c>
      <c r="E933" s="1097">
        <v>0.99449928256838782</v>
      </c>
      <c r="F933" s="1097">
        <v>0.99736600487578864</v>
      </c>
      <c r="G933" s="1097">
        <v>0.98842964897998531</v>
      </c>
      <c r="H933" s="1097">
        <v>1.0240256316879413</v>
      </c>
      <c r="I933" s="1097">
        <v>1.0235416610512331</v>
      </c>
      <c r="K933">
        <v>5.1799522853716802</v>
      </c>
      <c r="L933">
        <v>0</v>
      </c>
      <c r="M933">
        <v>3.7037259918393695E-3</v>
      </c>
      <c r="N933">
        <v>0.31612812637014681</v>
      </c>
      <c r="O933">
        <v>0.14685875679562041</v>
      </c>
      <c r="P933">
        <v>2.0251056635879176E-2</v>
      </c>
      <c r="Q933">
        <v>1.2861111559043664E-3</v>
      </c>
      <c r="R933">
        <v>3.6977086034585289E-3</v>
      </c>
      <c r="S933">
        <v>0.47432874032128675</v>
      </c>
      <c r="T933">
        <v>3.985496827520238</v>
      </c>
      <c r="U933">
        <v>0</v>
      </c>
      <c r="V933">
        <v>1.1304767209823806E-2</v>
      </c>
      <c r="W933">
        <v>0.18900698361953266</v>
      </c>
      <c r="X933">
        <v>2.4846926311555842E-2</v>
      </c>
      <c r="Y933">
        <v>1.0450006820070825E-2</v>
      </c>
    </row>
    <row r="934" spans="1:25" x14ac:dyDescent="0.25">
      <c r="A934" s="1093"/>
      <c r="B934" s="1452">
        <v>684</v>
      </c>
      <c r="C934" s="1097">
        <v>1.0058678811433448</v>
      </c>
      <c r="D934" s="1097">
        <v>1.0015580523369132</v>
      </c>
      <c r="E934" s="1097">
        <v>0.99878973279943395</v>
      </c>
      <c r="F934" s="1097">
        <v>0.99650732147624377</v>
      </c>
      <c r="G934" s="1097">
        <v>1.0335176506700112</v>
      </c>
      <c r="H934" s="1097">
        <v>1.0160969236399504</v>
      </c>
      <c r="I934" s="1097">
        <v>1.0129995972388304</v>
      </c>
      <c r="K934">
        <v>5.1672693272383112</v>
      </c>
      <c r="L934">
        <v>0</v>
      </c>
      <c r="M934">
        <v>3.6472578642567457E-3</v>
      </c>
      <c r="N934">
        <v>0.3152876411374243</v>
      </c>
      <c r="O934">
        <v>0.14695191231878313</v>
      </c>
      <c r="P934">
        <v>2.0265814716083838E-2</v>
      </c>
      <c r="Q934">
        <v>1.2938310771104943E-3</v>
      </c>
      <c r="R934">
        <v>3.6412808430221775E-3</v>
      </c>
      <c r="S934">
        <v>0.46722482660554299</v>
      </c>
      <c r="T934">
        <v>3.9815278652060559</v>
      </c>
      <c r="U934">
        <v>0</v>
      </c>
      <c r="V934">
        <v>1.1304767209823803E-2</v>
      </c>
      <c r="W934">
        <v>0.18795739599035216</v>
      </c>
      <c r="X934">
        <v>2.5170712337350281E-2</v>
      </c>
      <c r="Y934">
        <v>1.0290537661021984E-2</v>
      </c>
    </row>
    <row r="935" spans="1:25" x14ac:dyDescent="0.25">
      <c r="A935" s="1093"/>
      <c r="B935" s="1452">
        <v>685</v>
      </c>
      <c r="C935" s="1097">
        <v>1.0192962266854269</v>
      </c>
      <c r="D935" s="1097">
        <v>0.99762076069405703</v>
      </c>
      <c r="E935" s="1097">
        <v>1.0166063698997951</v>
      </c>
      <c r="F935" s="1097">
        <v>1.0292973755604413</v>
      </c>
      <c r="G935" s="1097">
        <v>0.97701150368240786</v>
      </c>
      <c r="H935" s="1097">
        <v>1.0010948103684989</v>
      </c>
      <c r="I935" s="1097">
        <v>0.97110322999258591</v>
      </c>
      <c r="K935">
        <v>5.2937119978498366</v>
      </c>
      <c r="L935">
        <v>0</v>
      </c>
      <c r="M935">
        <v>3.5330874662365271E-3</v>
      </c>
      <c r="N935">
        <v>0.32197381670178432</v>
      </c>
      <c r="O935">
        <v>0.14952255431432426</v>
      </c>
      <c r="P935">
        <v>2.1056473480228214E-2</v>
      </c>
      <c r="Q935">
        <v>1.2983789030450552E-3</v>
      </c>
      <c r="R935">
        <v>3.527397688368075E-3</v>
      </c>
      <c r="S935">
        <v>0.45178742824256823</v>
      </c>
      <c r="T935">
        <v>4.1102458461450526</v>
      </c>
      <c r="U935">
        <v>0</v>
      </c>
      <c r="V935">
        <v>1.1304767209823815E-2</v>
      </c>
      <c r="W935">
        <v>0.18965771489486957</v>
      </c>
      <c r="X935">
        <v>2.690201256460328E-2</v>
      </c>
      <c r="Y935">
        <v>9.9686951714019409E-3</v>
      </c>
    </row>
    <row r="936" spans="1:25" x14ac:dyDescent="0.25">
      <c r="A936" s="1093"/>
      <c r="B936" s="1452">
        <v>686</v>
      </c>
      <c r="C936" s="1097">
        <v>1.0061154550549434</v>
      </c>
      <c r="D936" s="1097">
        <v>0.97944864376077179</v>
      </c>
      <c r="E936" s="1097">
        <v>0.96838408797630937</v>
      </c>
      <c r="F936" s="1097">
        <v>1.0017818760102344</v>
      </c>
      <c r="G936" s="1097">
        <v>1.0024316325141245</v>
      </c>
      <c r="H936" s="1097">
        <v>0.99355386443685634</v>
      </c>
      <c r="I936" s="1097">
        <v>1.0144302312347353</v>
      </c>
      <c r="K936">
        <v>5.1810128586066275</v>
      </c>
      <c r="L936">
        <v>0</v>
      </c>
      <c r="M936">
        <v>3.8549589344635711E-3</v>
      </c>
      <c r="N936">
        <v>0.30449089518749456</v>
      </c>
      <c r="O936">
        <v>0.14986739035725372</v>
      </c>
      <c r="P936">
        <v>1.9917342605960155E-2</v>
      </c>
      <c r="Q936">
        <v>1.2711948817446857E-3</v>
      </c>
      <c r="R936">
        <v>3.8485321618228633E-3</v>
      </c>
      <c r="S936">
        <v>0.46763498975814816</v>
      </c>
      <c r="T936">
        <v>4.0064560000783764</v>
      </c>
      <c r="U936">
        <v>0</v>
      </c>
      <c r="V936">
        <v>1.130476720982381E-2</v>
      </c>
      <c r="W936">
        <v>0.18533271140510485</v>
      </c>
      <c r="X936">
        <v>2.3867748184522176E-2</v>
      </c>
      <c r="Y936">
        <v>1.087624571084239E-2</v>
      </c>
    </row>
    <row r="937" spans="1:25" x14ac:dyDescent="0.25">
      <c r="A937" s="1093"/>
      <c r="B937" s="1452">
        <v>687</v>
      </c>
      <c r="C937" s="1097">
        <v>1.0248201874808369</v>
      </c>
      <c r="D937" s="1097">
        <v>1.0063740797747263</v>
      </c>
      <c r="E937" s="1097">
        <v>1.0311176015307804</v>
      </c>
      <c r="F937" s="1097">
        <v>1.0034590857218053</v>
      </c>
      <c r="G937" s="1097">
        <v>0.99659857578218036</v>
      </c>
      <c r="H937" s="1097">
        <v>0.98692337204144609</v>
      </c>
      <c r="I937" s="1097">
        <v>1.0071250870229169</v>
      </c>
      <c r="K937">
        <v>5.1633687491728271</v>
      </c>
      <c r="L937">
        <v>0</v>
      </c>
      <c r="M937">
        <v>3.2640325832211567E-3</v>
      </c>
      <c r="N937">
        <v>0.3104791282974238</v>
      </c>
      <c r="O937">
        <v>0.14408304878279837</v>
      </c>
      <c r="P937">
        <v>2.0796818700084992E-2</v>
      </c>
      <c r="Q937">
        <v>1.30273648130184E-3</v>
      </c>
      <c r="R937">
        <v>3.2585635526425831E-3</v>
      </c>
      <c r="S937">
        <v>0.45278258835845803</v>
      </c>
      <c r="T937">
        <v>4.0052593598866109</v>
      </c>
      <c r="U937">
        <v>0</v>
      </c>
      <c r="V937">
        <v>1.1304767209823832E-2</v>
      </c>
      <c r="W937">
        <v>0.18113029365904634</v>
      </c>
      <c r="X937">
        <v>2.7026527448528331E-2</v>
      </c>
      <c r="Y937">
        <v>9.2089493793263769E-3</v>
      </c>
    </row>
    <row r="938" spans="1:25" x14ac:dyDescent="0.25">
      <c r="A938" s="1093"/>
      <c r="B938" s="1452">
        <v>688</v>
      </c>
      <c r="C938" s="1097">
        <v>1.000533750141601</v>
      </c>
      <c r="D938" s="1097">
        <v>0.97375961957800328</v>
      </c>
      <c r="E938" s="1097">
        <v>1.0189438994303386</v>
      </c>
      <c r="F938" s="1097">
        <v>1.0103426157519315</v>
      </c>
      <c r="G938" s="1097">
        <v>1.0137047078095136</v>
      </c>
      <c r="H938" s="1097">
        <v>1.0408804859022889</v>
      </c>
      <c r="I938" s="1097">
        <v>1.0318518100987346</v>
      </c>
      <c r="K938">
        <v>5.2856168007896347</v>
      </c>
      <c r="L938">
        <v>0</v>
      </c>
      <c r="M938">
        <v>3.6910628773617346E-3</v>
      </c>
      <c r="N938">
        <v>0.33871602271519308</v>
      </c>
      <c r="O938">
        <v>0.15090984288050199</v>
      </c>
      <c r="P938">
        <v>2.092599969269213E-2</v>
      </c>
      <c r="Q938">
        <v>1.3382457734790205E-3</v>
      </c>
      <c r="R938">
        <v>3.685238818336282E-3</v>
      </c>
      <c r="S938">
        <v>0.49163054444309562</v>
      </c>
      <c r="T938">
        <v>4.0342606429790866</v>
      </c>
      <c r="U938">
        <v>0</v>
      </c>
      <c r="V938">
        <v>1.130476720982381E-2</v>
      </c>
      <c r="W938">
        <v>0.19920845846543786</v>
      </c>
      <c r="X938">
        <v>2.6913334434060156E-2</v>
      </c>
      <c r="Y938">
        <v>1.04147662552923E-2</v>
      </c>
    </row>
    <row r="939" spans="1:25" x14ac:dyDescent="0.25">
      <c r="A939" s="1093"/>
      <c r="B939" s="1452">
        <v>689</v>
      </c>
      <c r="C939" s="1097">
        <v>1.0167494848535037</v>
      </c>
      <c r="D939" s="1097">
        <v>0.99026797105375219</v>
      </c>
      <c r="E939" s="1097">
        <v>0.98131028467063597</v>
      </c>
      <c r="F939" s="1097">
        <v>1.0233914470307175</v>
      </c>
      <c r="G939" s="1097">
        <v>1.0383841924802131</v>
      </c>
      <c r="H939" s="1097">
        <v>1.0053388529704339</v>
      </c>
      <c r="I939" s="1097">
        <v>0.9887924035034743</v>
      </c>
      <c r="K939">
        <v>5.2734177674934681</v>
      </c>
      <c r="L939">
        <v>0</v>
      </c>
      <c r="M939">
        <v>3.820711293079585E-3</v>
      </c>
      <c r="N939">
        <v>0.31360779425849117</v>
      </c>
      <c r="O939">
        <v>0.15047135686414329</v>
      </c>
      <c r="P939">
        <v>2.0462254558749927E-2</v>
      </c>
      <c r="Q939">
        <v>1.2665623938337743E-3</v>
      </c>
      <c r="R939">
        <v>3.8145489917709246E-3</v>
      </c>
      <c r="S939">
        <v>0.46040026788537147</v>
      </c>
      <c r="T939">
        <v>4.0911993488146168</v>
      </c>
      <c r="U939">
        <v>0</v>
      </c>
      <c r="V939">
        <v>1.1304767209823818E-2</v>
      </c>
      <c r="W939">
        <v>0.18919291839047384</v>
      </c>
      <c r="X939">
        <v>2.4738452741487938E-2</v>
      </c>
      <c r="Y939">
        <v>1.0780206677783313E-2</v>
      </c>
    </row>
    <row r="940" spans="1:25" x14ac:dyDescent="0.25">
      <c r="A940" s="1093"/>
      <c r="B940" s="1452">
        <v>690</v>
      </c>
      <c r="C940" s="1097">
        <v>0.98039119641228067</v>
      </c>
      <c r="D940" s="1097">
        <v>1.0333496403102209</v>
      </c>
      <c r="E940" s="1097">
        <v>1.0017228209526317</v>
      </c>
      <c r="F940" s="1097">
        <v>1.0014455217362142</v>
      </c>
      <c r="G940" s="1097">
        <v>0.99081152506231251</v>
      </c>
      <c r="H940" s="1097">
        <v>1.0285830551186963</v>
      </c>
      <c r="I940" s="1097">
        <v>0.97087487280032203</v>
      </c>
      <c r="K940">
        <v>5.2000566046139456</v>
      </c>
      <c r="L940">
        <v>0</v>
      </c>
      <c r="M940">
        <v>3.7363224223440055E-3</v>
      </c>
      <c r="N940">
        <v>0.3258150686811625</v>
      </c>
      <c r="O940">
        <v>0.14955336691461979</v>
      </c>
      <c r="P940">
        <v>2.0369177919966577E-2</v>
      </c>
      <c r="Q940">
        <v>1.3142626897837035E-3</v>
      </c>
      <c r="R940">
        <v>3.7303035493724723E-3</v>
      </c>
      <c r="S940">
        <v>0.46082334150386073</v>
      </c>
      <c r="T940">
        <v>4.0008896135396679</v>
      </c>
      <c r="U940">
        <v>0</v>
      </c>
      <c r="V940">
        <v>1.1304767209823803E-2</v>
      </c>
      <c r="W940">
        <v>0.1938486778038111</v>
      </c>
      <c r="X940">
        <v>2.5602224598494077E-2</v>
      </c>
      <c r="Y940">
        <v>1.054212262573003E-2</v>
      </c>
    </row>
    <row r="941" spans="1:25" x14ac:dyDescent="0.25">
      <c r="A941" s="1093"/>
      <c r="B941" s="1452">
        <v>691</v>
      </c>
      <c r="C941" s="1097">
        <v>0.96241730632264433</v>
      </c>
      <c r="D941" s="1097">
        <v>1.0224192314333291</v>
      </c>
      <c r="E941" s="1097">
        <v>0.9720795145600265</v>
      </c>
      <c r="F941" s="1097">
        <v>1.0293950270023855</v>
      </c>
      <c r="G941" s="1097">
        <v>1.0119544927809616</v>
      </c>
      <c r="H941" s="1097">
        <v>0.96691694766965242</v>
      </c>
      <c r="I941" s="1097">
        <v>0.95268762413059171</v>
      </c>
      <c r="K941">
        <v>5.3093536046220855</v>
      </c>
      <c r="L941">
        <v>0</v>
      </c>
      <c r="M941">
        <v>3.9306884785807071E-3</v>
      </c>
      <c r="N941">
        <v>0.31389828121998331</v>
      </c>
      <c r="O941">
        <v>0.1581402364093481</v>
      </c>
      <c r="P941">
        <v>2.0432812893286356E-2</v>
      </c>
      <c r="Q941">
        <v>1.3105072545934557E-3</v>
      </c>
      <c r="R941">
        <v>3.9241352630482815E-3</v>
      </c>
      <c r="S941">
        <v>0.46076878879948541</v>
      </c>
      <c r="T941">
        <v>4.1164058307915177</v>
      </c>
      <c r="U941">
        <v>0</v>
      </c>
      <c r="V941">
        <v>1.1304767209823829E-2</v>
      </c>
      <c r="W941">
        <v>0.1905723011538904</v>
      </c>
      <c r="X941">
        <v>2.5436726258752904E-2</v>
      </c>
      <c r="Y941">
        <v>1.1089905846929152E-2</v>
      </c>
    </row>
    <row r="942" spans="1:25" x14ac:dyDescent="0.25">
      <c r="A942" s="1093"/>
      <c r="B942" s="1452">
        <v>692</v>
      </c>
      <c r="C942" s="1097">
        <v>0.9728118082755387</v>
      </c>
      <c r="D942" s="1097">
        <v>1.0174762232429662</v>
      </c>
      <c r="E942" s="1097">
        <v>0.96096083019388334</v>
      </c>
      <c r="F942" s="1097">
        <v>1.0008268324433964</v>
      </c>
      <c r="G942" s="1097">
        <v>1.0348950426460717</v>
      </c>
      <c r="H942" s="1097">
        <v>1.0093799857918679</v>
      </c>
      <c r="I942" s="1097">
        <v>1.0156238354758342</v>
      </c>
      <c r="K942">
        <v>5.2111836636432027</v>
      </c>
      <c r="L942">
        <v>0</v>
      </c>
      <c r="M942">
        <v>4.0478342915331944E-3</v>
      </c>
      <c r="N942">
        <v>0.3127596163433462</v>
      </c>
      <c r="O942">
        <v>0.15271966442951188</v>
      </c>
      <c r="P942">
        <v>1.9860359618734818E-2</v>
      </c>
      <c r="Q942">
        <v>1.2864356787679714E-3</v>
      </c>
      <c r="R942">
        <v>4.0411854470252589E-3</v>
      </c>
      <c r="S942">
        <v>0.48330378457136669</v>
      </c>
      <c r="T942">
        <v>4.0035846537152109</v>
      </c>
      <c r="U942">
        <v>0</v>
      </c>
      <c r="V942">
        <v>1.1304767209823811E-2</v>
      </c>
      <c r="W942">
        <v>0.19134647957396167</v>
      </c>
      <c r="X942">
        <v>2.3603852743778689E-2</v>
      </c>
      <c r="Y942">
        <v>1.1420698603206891E-2</v>
      </c>
    </row>
    <row r="943" spans="1:25" x14ac:dyDescent="0.25">
      <c r="A943" s="1093"/>
      <c r="B943" s="1452">
        <v>693</v>
      </c>
      <c r="C943" s="1097">
        <v>0.97865476248629146</v>
      </c>
      <c r="D943" s="1097">
        <v>1.018441753741282</v>
      </c>
      <c r="E943" s="1097">
        <v>0.96310657215332074</v>
      </c>
      <c r="F943" s="1097">
        <v>1.042793646435173</v>
      </c>
      <c r="G943" s="1097">
        <v>1.0073632133111037</v>
      </c>
      <c r="H943" s="1097">
        <v>1.0063574406980651</v>
      </c>
      <c r="I943" s="1097">
        <v>0.95773516451347618</v>
      </c>
      <c r="K943">
        <v>5.3880485741730482</v>
      </c>
      <c r="L943">
        <v>0</v>
      </c>
      <c r="M943">
        <v>4.159246279677834E-3</v>
      </c>
      <c r="N943">
        <v>0.32344329864187954</v>
      </c>
      <c r="O943">
        <v>0.15805039593936138</v>
      </c>
      <c r="P943">
        <v>2.0568214733652702E-2</v>
      </c>
      <c r="Q943">
        <v>1.2806807538319779E-3</v>
      </c>
      <c r="R943">
        <v>4.1526692461107701E-3</v>
      </c>
      <c r="S943">
        <v>0.46833653797979868</v>
      </c>
      <c r="T943">
        <v>4.1711776216020944</v>
      </c>
      <c r="U943">
        <v>0</v>
      </c>
      <c r="V943">
        <v>1.1304767209823811E-2</v>
      </c>
      <c r="W943">
        <v>0.1975884759887894</v>
      </c>
      <c r="X943">
        <v>2.4569398026575335E-2</v>
      </c>
      <c r="Y943">
        <v>1.1735760330807962E-2</v>
      </c>
    </row>
    <row r="944" spans="1:25" x14ac:dyDescent="0.25">
      <c r="A944" s="1093"/>
      <c r="B944" s="1452">
        <v>694</v>
      </c>
      <c r="C944" s="1097">
        <v>1.0250036357554306</v>
      </c>
      <c r="D944" s="1097">
        <v>1.0156077877796954</v>
      </c>
      <c r="E944" s="1097">
        <v>0.97770430699868027</v>
      </c>
      <c r="F944" s="1097">
        <v>0.97022197758201734</v>
      </c>
      <c r="G944" s="1097">
        <v>0.99743121986006045</v>
      </c>
      <c r="H944" s="1097">
        <v>1.0000263883015363</v>
      </c>
      <c r="I944" s="1097">
        <v>1.000997981452912</v>
      </c>
      <c r="K944">
        <v>4.9878155597333951</v>
      </c>
      <c r="L944">
        <v>0</v>
      </c>
      <c r="M944">
        <v>3.5653139445821279E-3</v>
      </c>
      <c r="N944">
        <v>0.28950153264648243</v>
      </c>
      <c r="O944">
        <v>0.1401763928431487</v>
      </c>
      <c r="P944">
        <v>1.936190738098317E-2</v>
      </c>
      <c r="Q944">
        <v>1.2398410637911377E-3</v>
      </c>
      <c r="R944">
        <v>3.5592167567025982E-3</v>
      </c>
      <c r="S944">
        <v>0.43898413720820462</v>
      </c>
      <c r="T944">
        <v>3.8790878967106228</v>
      </c>
      <c r="U944">
        <v>0</v>
      </c>
      <c r="V944">
        <v>1.130476720982382E-2</v>
      </c>
      <c r="W944">
        <v>0.1750822873069019</v>
      </c>
      <c r="X944">
        <v>2.302427626352534E-2</v>
      </c>
      <c r="Y944">
        <v>1.0058618287786248E-2</v>
      </c>
    </row>
    <row r="945" spans="1:25" x14ac:dyDescent="0.25">
      <c r="A945" s="1093"/>
      <c r="B945" s="1452">
        <v>695</v>
      </c>
      <c r="C945" s="1097">
        <v>0.96415138975634918</v>
      </c>
      <c r="D945" s="1097">
        <v>0.97282294139261627</v>
      </c>
      <c r="E945" s="1097">
        <v>1.0214863405578558</v>
      </c>
      <c r="F945" s="1097">
        <v>0.96706825906323701</v>
      </c>
      <c r="G945" s="1097">
        <v>0.96626240368431382</v>
      </c>
      <c r="H945" s="1097">
        <v>0.96564423164200008</v>
      </c>
      <c r="I945" s="1097">
        <v>0.99944884272658208</v>
      </c>
      <c r="K945">
        <v>5.0392370313831805</v>
      </c>
      <c r="L945">
        <v>0</v>
      </c>
      <c r="M945">
        <v>3.3846153087837122E-3</v>
      </c>
      <c r="N945">
        <v>0.31287711393888318</v>
      </c>
      <c r="O945">
        <v>0.14988278677438083</v>
      </c>
      <c r="P945">
        <v>2.0029148503277517E-2</v>
      </c>
      <c r="Q945">
        <v>1.3922711085949018E-3</v>
      </c>
      <c r="R945">
        <v>3.3786015364787015E-3</v>
      </c>
      <c r="S945">
        <v>0.46219761882348315</v>
      </c>
      <c r="T945">
        <v>3.8611619852892014</v>
      </c>
      <c r="U945">
        <v>0</v>
      </c>
      <c r="V945">
        <v>1.1304767209823811E-2</v>
      </c>
      <c r="W945">
        <v>0.18370022674974082</v>
      </c>
      <c r="X945">
        <v>2.7148940871986767E-2</v>
      </c>
      <c r="Y945">
        <v>9.5481858861137716E-3</v>
      </c>
    </row>
    <row r="946" spans="1:25" x14ac:dyDescent="0.25">
      <c r="A946" s="1093"/>
      <c r="B946" s="1452">
        <v>696</v>
      </c>
      <c r="C946" s="1097">
        <v>1.0304869206138008</v>
      </c>
      <c r="D946" s="1097">
        <v>0.99382842091573131</v>
      </c>
      <c r="E946" s="1097">
        <v>1.003506104302774</v>
      </c>
      <c r="F946" s="1097">
        <v>0.9782310385645967</v>
      </c>
      <c r="G946" s="1097">
        <v>0.98073575889648934</v>
      </c>
      <c r="H946" s="1097">
        <v>1.0262415365668316</v>
      </c>
      <c r="I946" s="1097">
        <v>1.0114578664163765</v>
      </c>
      <c r="K946">
        <v>5.0568000730346139</v>
      </c>
      <c r="L946">
        <v>0</v>
      </c>
      <c r="M946">
        <v>3.5057858730793341E-3</v>
      </c>
      <c r="N946">
        <v>0.30731817854016502</v>
      </c>
      <c r="O946">
        <v>0.14112248780579484</v>
      </c>
      <c r="P946">
        <v>1.9927024718074355E-2</v>
      </c>
      <c r="Q946">
        <v>1.2719677260260738E-3</v>
      </c>
      <c r="R946">
        <v>3.4999913885373052E-3</v>
      </c>
      <c r="S946">
        <v>0.45088994642952795</v>
      </c>
      <c r="T946">
        <v>3.9079263400515241</v>
      </c>
      <c r="U946">
        <v>0</v>
      </c>
      <c r="V946">
        <v>1.130476720982382E-2</v>
      </c>
      <c r="W946">
        <v>0.18262381478610695</v>
      </c>
      <c r="X946">
        <v>2.4530097376404377E-2</v>
      </c>
      <c r="Y946">
        <v>9.8912428757081741E-3</v>
      </c>
    </row>
    <row r="947" spans="1:25" x14ac:dyDescent="0.25">
      <c r="A947" s="1093"/>
      <c r="B947" s="1452">
        <v>697</v>
      </c>
      <c r="C947" s="1097">
        <v>1.017736580656347</v>
      </c>
      <c r="D947" s="1097">
        <v>0.98581384821245521</v>
      </c>
      <c r="E947" s="1097">
        <v>1.0275683703706637</v>
      </c>
      <c r="F947" s="1097">
        <v>1.0045580829334417</v>
      </c>
      <c r="G947" s="1097">
        <v>1.0185071609549898</v>
      </c>
      <c r="H947" s="1097">
        <v>0.95316362151658995</v>
      </c>
      <c r="I947" s="1097">
        <v>0.98568543891707794</v>
      </c>
      <c r="K947">
        <v>5.150213873386102</v>
      </c>
      <c r="L947">
        <v>0</v>
      </c>
      <c r="M947">
        <v>3.2282842866527238E-3</v>
      </c>
      <c r="N947">
        <v>0.30385575361702799</v>
      </c>
      <c r="O947">
        <v>0.14654708690107082</v>
      </c>
      <c r="P947">
        <v>2.0716799878873891E-2</v>
      </c>
      <c r="Q947">
        <v>1.3187364191862576E-3</v>
      </c>
      <c r="R947">
        <v>3.2226896869686928E-3</v>
      </c>
      <c r="S947">
        <v>0.44225465400696118</v>
      </c>
      <c r="T947">
        <v>4.0100873966125832</v>
      </c>
      <c r="U947">
        <v>0</v>
      </c>
      <c r="V947">
        <v>1.130476720982383E-2</v>
      </c>
      <c r="W947">
        <v>0.17768365694685831</v>
      </c>
      <c r="X947">
        <v>2.7343049297304165E-2</v>
      </c>
      <c r="Y947">
        <v>9.107567096091878E-3</v>
      </c>
    </row>
    <row r="948" spans="1:25" x14ac:dyDescent="0.25">
      <c r="A948" s="1093"/>
      <c r="B948" s="1452">
        <v>698</v>
      </c>
      <c r="C948" s="1097">
        <v>0.95908762693059812</v>
      </c>
      <c r="D948" s="1097">
        <v>0.99228954534086311</v>
      </c>
      <c r="E948" s="1097">
        <v>1.0299042420937805</v>
      </c>
      <c r="F948" s="1097">
        <v>1.0284417889101831</v>
      </c>
      <c r="G948" s="1097">
        <v>0.99335774932543963</v>
      </c>
      <c r="H948" s="1097">
        <v>1.0089856505670893</v>
      </c>
      <c r="I948" s="1097">
        <v>1.0109381176574448</v>
      </c>
      <c r="K948">
        <v>5.3922230706085994</v>
      </c>
      <c r="L948">
        <v>0</v>
      </c>
      <c r="M948">
        <v>3.6844384282031847E-3</v>
      </c>
      <c r="N948">
        <v>0.34924052139071216</v>
      </c>
      <c r="O948">
        <v>0.15871945821412128</v>
      </c>
      <c r="P948">
        <v>2.1469951268920068E-2</v>
      </c>
      <c r="Q948">
        <v>1.3984643800964279E-3</v>
      </c>
      <c r="R948">
        <v>3.678546424463575E-3</v>
      </c>
      <c r="S948">
        <v>0.50162451129472851</v>
      </c>
      <c r="T948">
        <v>4.1051310498465838</v>
      </c>
      <c r="U948">
        <v>0</v>
      </c>
      <c r="V948">
        <v>1.1304767209823811E-2</v>
      </c>
      <c r="W948">
        <v>0.20390702793017174</v>
      </c>
      <c r="X948">
        <v>2.9037358037911319E-2</v>
      </c>
      <c r="Y948">
        <v>1.0395853039267924E-2</v>
      </c>
    </row>
    <row r="949" spans="1:25" x14ac:dyDescent="0.25">
      <c r="A949" s="1093"/>
      <c r="B949" s="1452">
        <v>699</v>
      </c>
      <c r="C949" s="1097">
        <v>0.97967734079099356</v>
      </c>
      <c r="D949" s="1097">
        <v>1.0037035034356094</v>
      </c>
      <c r="E949" s="1097">
        <v>0.99009673155713562</v>
      </c>
      <c r="F949" s="1097">
        <v>0.99821457217159126</v>
      </c>
      <c r="G949" s="1097">
        <v>0.99103949214428577</v>
      </c>
      <c r="H949" s="1097">
        <v>1.0043239457357953</v>
      </c>
      <c r="I949" s="1097">
        <v>1.0195293453952299</v>
      </c>
      <c r="K949">
        <v>5.1989282672568162</v>
      </c>
      <c r="L949">
        <v>0</v>
      </c>
      <c r="M949">
        <v>3.7729164081929251E-3</v>
      </c>
      <c r="N949">
        <v>0.31784822367144405</v>
      </c>
      <c r="O949">
        <v>0.151255840146962</v>
      </c>
      <c r="P949">
        <v>2.0232204649739408E-2</v>
      </c>
      <c r="Q949">
        <v>1.317397057516241E-3</v>
      </c>
      <c r="R949">
        <v>3.7666716639443761E-3</v>
      </c>
      <c r="S949">
        <v>0.48100898191124442</v>
      </c>
      <c r="T949">
        <v>3.9894414844858432</v>
      </c>
      <c r="U949">
        <v>0</v>
      </c>
      <c r="V949">
        <v>1.130476720982382E-2</v>
      </c>
      <c r="W949">
        <v>0.19060467776980625</v>
      </c>
      <c r="X949">
        <v>2.5276033404595468E-2</v>
      </c>
      <c r="Y949">
        <v>1.0644901694084425E-2</v>
      </c>
    </row>
    <row r="950" spans="1:25" x14ac:dyDescent="0.25">
      <c r="A950" s="1093"/>
      <c r="B950" s="1452">
        <v>700</v>
      </c>
      <c r="C950" s="1097">
        <v>0.97638796560556451</v>
      </c>
      <c r="D950" s="1097">
        <v>0.97165436066015098</v>
      </c>
      <c r="E950" s="1097">
        <v>1.0176039886598964</v>
      </c>
      <c r="F950" s="1097">
        <v>1.0044256680625792</v>
      </c>
      <c r="G950" s="1097">
        <v>1.0246800264109073</v>
      </c>
      <c r="H950" s="1097">
        <v>1.0042296220452678</v>
      </c>
      <c r="I950" s="1097">
        <v>0.99847670576045711</v>
      </c>
      <c r="K950">
        <v>5.2426847656525792</v>
      </c>
      <c r="L950">
        <v>0</v>
      </c>
      <c r="M950">
        <v>3.6412554231850173E-3</v>
      </c>
      <c r="N950">
        <v>0.33280078622498188</v>
      </c>
      <c r="O950">
        <v>0.15390813025957101</v>
      </c>
      <c r="P950">
        <v>2.0735343445707585E-2</v>
      </c>
      <c r="Q950">
        <v>1.3709708577728842E-3</v>
      </c>
      <c r="R950">
        <v>3.6352652417755539E-3</v>
      </c>
      <c r="S950">
        <v>0.47817495249177994</v>
      </c>
      <c r="T950">
        <v>4.0108020077106143</v>
      </c>
      <c r="U950">
        <v>0</v>
      </c>
      <c r="V950">
        <v>1.1304767209823811E-2</v>
      </c>
      <c r="W950">
        <v>0.19590469474902816</v>
      </c>
      <c r="X950">
        <v>2.7415565772078175E-2</v>
      </c>
      <c r="Y950">
        <v>1.0273537112629598E-2</v>
      </c>
    </row>
    <row r="951" spans="1:25" x14ac:dyDescent="0.25">
      <c r="A951" s="1093"/>
      <c r="B951" s="1452">
        <v>701</v>
      </c>
      <c r="C951" s="1097">
        <v>1.0115641068444543</v>
      </c>
      <c r="D951" s="1097">
        <v>1.0319184709997751</v>
      </c>
      <c r="E951" s="1097">
        <v>0.98239137327100268</v>
      </c>
      <c r="F951" s="1097">
        <v>0.97062608729745425</v>
      </c>
      <c r="G951" s="1097">
        <v>0.9589010139082661</v>
      </c>
      <c r="H951" s="1097">
        <v>0.99992453448389462</v>
      </c>
      <c r="I951" s="1097">
        <v>0.98838009745774602</v>
      </c>
      <c r="K951">
        <v>4.993842398177458</v>
      </c>
      <c r="L951">
        <v>0</v>
      </c>
      <c r="M951">
        <v>3.5556988965289474E-3</v>
      </c>
      <c r="N951">
        <v>0.29276458277654765</v>
      </c>
      <c r="O951">
        <v>0.14107165813212624</v>
      </c>
      <c r="P951">
        <v>1.943105388799873E-2</v>
      </c>
      <c r="Q951">
        <v>1.2534215163792974E-3</v>
      </c>
      <c r="R951">
        <v>3.5496200599212106E-3</v>
      </c>
      <c r="S951">
        <v>0.43797440805155385</v>
      </c>
      <c r="T951">
        <v>3.8801270536335304</v>
      </c>
      <c r="U951">
        <v>0</v>
      </c>
      <c r="V951">
        <v>1.130476720982381E-2</v>
      </c>
      <c r="W951">
        <v>0.17648804572425733</v>
      </c>
      <c r="X951">
        <v>2.3401988791839901E-2</v>
      </c>
      <c r="Y951">
        <v>1.0031497290008911E-2</v>
      </c>
    </row>
    <row r="952" spans="1:25" x14ac:dyDescent="0.25">
      <c r="A952" s="1093"/>
      <c r="B952" s="1452">
        <v>702</v>
      </c>
      <c r="C952" s="1097">
        <v>1.0280043491610624</v>
      </c>
      <c r="D952" s="1097">
        <v>0.97704365900678403</v>
      </c>
      <c r="E952" s="1097">
        <v>0.99379849774902174</v>
      </c>
      <c r="F952" s="1097">
        <v>0.98601373922727453</v>
      </c>
      <c r="G952" s="1097">
        <v>1.0391000645082678</v>
      </c>
      <c r="H952" s="1097">
        <v>0.97318418317644495</v>
      </c>
      <c r="I952" s="1097">
        <v>0.98033639113417692</v>
      </c>
      <c r="K952">
        <v>5.0538046399532472</v>
      </c>
      <c r="L952">
        <v>0</v>
      </c>
      <c r="M952">
        <v>3.451832602855965E-3</v>
      </c>
      <c r="N952">
        <v>0.29398581966311932</v>
      </c>
      <c r="O952">
        <v>0.1438251576837275</v>
      </c>
      <c r="P952">
        <v>1.9848632666303073E-2</v>
      </c>
      <c r="Q952">
        <v>1.2731110393236825E-3</v>
      </c>
      <c r="R952">
        <v>3.445863652298048E-3</v>
      </c>
      <c r="S952">
        <v>0.43306957235947113</v>
      </c>
      <c r="T952">
        <v>3.9402199140899969</v>
      </c>
      <c r="U952">
        <v>0</v>
      </c>
      <c r="V952">
        <v>1.1304767209823808E-2</v>
      </c>
      <c r="W952">
        <v>0.17585212303190939</v>
      </c>
      <c r="X952">
        <v>2.4693237399491204E-2</v>
      </c>
      <c r="Y952">
        <v>9.7382737606388631E-3</v>
      </c>
    </row>
    <row r="953" spans="1:25" x14ac:dyDescent="0.25">
      <c r="A953" s="1093"/>
      <c r="B953" s="1452">
        <v>703</v>
      </c>
      <c r="C953" s="1097">
        <v>0.97233519845401362</v>
      </c>
      <c r="D953" s="1097">
        <v>1.0070450856214008</v>
      </c>
      <c r="E953" s="1097">
        <v>1.0028347541209919</v>
      </c>
      <c r="F953" s="1097">
        <v>0.99743677177034973</v>
      </c>
      <c r="G953" s="1097">
        <v>0.99890341234466296</v>
      </c>
      <c r="H953" s="1097">
        <v>1.0275164500191298</v>
      </c>
      <c r="I953" s="1097">
        <v>0.9804927949470259</v>
      </c>
      <c r="K953">
        <v>5.2029672168079957</v>
      </c>
      <c r="L953">
        <v>0</v>
      </c>
      <c r="M953">
        <v>3.7783320559140513E-3</v>
      </c>
      <c r="N953">
        <v>0.33056281132650916</v>
      </c>
      <c r="O953">
        <v>0.15171424580551565</v>
      </c>
      <c r="P953">
        <v>2.0353497233940025E-2</v>
      </c>
      <c r="Q953">
        <v>1.340164753878235E-3</v>
      </c>
      <c r="R953">
        <v>3.772214744382009E-3</v>
      </c>
      <c r="S953">
        <v>0.46983483177171054</v>
      </c>
      <c r="T953">
        <v>3.9847350986857313</v>
      </c>
      <c r="U953">
        <v>0</v>
      </c>
      <c r="V953">
        <v>1.1304767209823811E-2</v>
      </c>
      <c r="W953">
        <v>0.19652589845310681</v>
      </c>
      <c r="X953">
        <v>2.5941452016715306E-2</v>
      </c>
      <c r="Y953">
        <v>1.0660566862595347E-2</v>
      </c>
    </row>
    <row r="954" spans="1:25" x14ac:dyDescent="0.25">
      <c r="A954" s="1093"/>
      <c r="B954" s="1452">
        <v>704</v>
      </c>
      <c r="C954" s="1097">
        <v>1.0094356579548192</v>
      </c>
      <c r="D954" s="1097">
        <v>0.99989184428995936</v>
      </c>
      <c r="E954" s="1097">
        <v>1.0139794306866161</v>
      </c>
      <c r="F954" s="1097">
        <v>0.97820488118743321</v>
      </c>
      <c r="G954" s="1097">
        <v>0.99599873012370299</v>
      </c>
      <c r="H954" s="1097">
        <v>0.97902606612627341</v>
      </c>
      <c r="I954" s="1097">
        <v>1.0031494030468737</v>
      </c>
      <c r="K954">
        <v>5.0441081870724096</v>
      </c>
      <c r="L954">
        <v>0</v>
      </c>
      <c r="M954">
        <v>3.3314548493630735E-3</v>
      </c>
      <c r="N954">
        <v>0.30121072907813345</v>
      </c>
      <c r="O954">
        <v>0.14342903836530474</v>
      </c>
      <c r="P954">
        <v>2.0059350943665753E-2</v>
      </c>
      <c r="Q954">
        <v>1.3069527974973287E-3</v>
      </c>
      <c r="R954">
        <v>3.3256827967564312E-3</v>
      </c>
      <c r="S954">
        <v>0.44734375949977917</v>
      </c>
      <c r="T954">
        <v>3.9065408445248968</v>
      </c>
      <c r="U954">
        <v>0</v>
      </c>
      <c r="V954">
        <v>1.1304767209823825E-2</v>
      </c>
      <c r="W954">
        <v>0.17773932727634559</v>
      </c>
      <c r="X954">
        <v>2.5780555942060052E-2</v>
      </c>
      <c r="Y954">
        <v>9.3986334875039851E-3</v>
      </c>
    </row>
    <row r="955" spans="1:25" x14ac:dyDescent="0.25">
      <c r="A955" s="1093"/>
      <c r="B955" s="1452">
        <v>705</v>
      </c>
      <c r="C955" s="1097">
        <v>0.98287458743234457</v>
      </c>
      <c r="D955" s="1097">
        <v>1.0063491757368646</v>
      </c>
      <c r="E955" s="1097">
        <v>1.0040163730456628</v>
      </c>
      <c r="F955" s="1097">
        <v>0.97439121509451387</v>
      </c>
      <c r="G955" s="1097">
        <v>0.96329936883688394</v>
      </c>
      <c r="H955" s="1097">
        <v>0.96342957494138037</v>
      </c>
      <c r="I955" s="1097">
        <v>1.0330390884543619</v>
      </c>
      <c r="K955">
        <v>5.0531151841044872</v>
      </c>
      <c r="L955">
        <v>0</v>
      </c>
      <c r="M955">
        <v>3.4162771854348534E-3</v>
      </c>
      <c r="N955">
        <v>0.29989035777601086</v>
      </c>
      <c r="O955">
        <v>0.14662769544375087</v>
      </c>
      <c r="P955">
        <v>1.9942410981145114E-2</v>
      </c>
      <c r="Q955">
        <v>1.3275015183259046E-3</v>
      </c>
      <c r="R955">
        <v>3.4102388489129875E-3</v>
      </c>
      <c r="S955">
        <v>0.46800266848454175</v>
      </c>
      <c r="T955">
        <v>3.8925243493430188</v>
      </c>
      <c r="U955">
        <v>0</v>
      </c>
      <c r="V955">
        <v>1.1304767209823813E-2</v>
      </c>
      <c r="W955">
        <v>0.17814853916692971</v>
      </c>
      <c r="X955">
        <v>2.5715337171015363E-2</v>
      </c>
      <c r="Y955">
        <v>9.6375953464476073E-3</v>
      </c>
    </row>
    <row r="956" spans="1:25" x14ac:dyDescent="0.25">
      <c r="A956" s="1093"/>
      <c r="B956" s="1452">
        <v>706</v>
      </c>
      <c r="C956" s="1097">
        <v>0.97699688313525335</v>
      </c>
      <c r="D956" s="1097">
        <v>0.9866755032966773</v>
      </c>
      <c r="E956" s="1097">
        <v>0.98010886006726516</v>
      </c>
      <c r="F956" s="1097">
        <v>1.0084955469140666</v>
      </c>
      <c r="G956" s="1097">
        <v>0.98903262226790034</v>
      </c>
      <c r="H956" s="1097">
        <v>0.98455792301815792</v>
      </c>
      <c r="I956" s="1097">
        <v>1.0372685389476817</v>
      </c>
      <c r="K956">
        <v>5.2534477315615717</v>
      </c>
      <c r="L956">
        <v>0</v>
      </c>
      <c r="M956">
        <v>3.8526828718761313E-3</v>
      </c>
      <c r="N956">
        <v>0.3150883247456196</v>
      </c>
      <c r="O956">
        <v>0.15457371649996632</v>
      </c>
      <c r="P956">
        <v>2.0321995893278672E-2</v>
      </c>
      <c r="Q956">
        <v>1.3186393087803914E-3</v>
      </c>
      <c r="R956">
        <v>3.8462442849695206E-3</v>
      </c>
      <c r="S956">
        <v>0.49263989855161427</v>
      </c>
      <c r="T956">
        <v>4.0318036927662302</v>
      </c>
      <c r="U956">
        <v>0</v>
      </c>
      <c r="V956">
        <v>1.1304767209823813E-2</v>
      </c>
      <c r="W956">
        <v>0.19024254601494253</v>
      </c>
      <c r="X956">
        <v>2.5290809162037322E-2</v>
      </c>
      <c r="Y956">
        <v>1.0869779996183713E-2</v>
      </c>
    </row>
    <row r="957" spans="1:25" x14ac:dyDescent="0.25">
      <c r="A957" s="1093"/>
      <c r="B957" s="1452">
        <v>707</v>
      </c>
      <c r="C957" s="1097">
        <v>1.0195737425089806</v>
      </c>
      <c r="D957" s="1097">
        <v>1.0124887871280408</v>
      </c>
      <c r="E957" s="1097">
        <v>1.0240167705802374</v>
      </c>
      <c r="F957" s="1097">
        <v>0.97692038808254167</v>
      </c>
      <c r="G957" s="1097">
        <v>1.0180665510362703</v>
      </c>
      <c r="H957" s="1097">
        <v>1.008933818684407</v>
      </c>
      <c r="I957" s="1097">
        <v>1.0012861901969934</v>
      </c>
      <c r="K957">
        <v>5.0433825933256458</v>
      </c>
      <c r="L957">
        <v>0</v>
      </c>
      <c r="M957">
        <v>3.3068237593840552E-3</v>
      </c>
      <c r="N957">
        <v>0.30801142176685065</v>
      </c>
      <c r="O957">
        <v>0.14084153397143626</v>
      </c>
      <c r="P957">
        <v>2.0171212744096841E-2</v>
      </c>
      <c r="Q957">
        <v>1.2984826849075748E-3</v>
      </c>
      <c r="R957">
        <v>3.3012569204337009E-3</v>
      </c>
      <c r="S957">
        <v>0.44585638243254011</v>
      </c>
      <c r="T957">
        <v>3.9001910193543559</v>
      </c>
      <c r="U957">
        <v>0</v>
      </c>
      <c r="V957">
        <v>1.1304767209823808E-2</v>
      </c>
      <c r="W957">
        <v>0.18053911507475331</v>
      </c>
      <c r="X957">
        <v>2.5844620829643172E-2</v>
      </c>
      <c r="Y957">
        <v>9.3296040961885068E-3</v>
      </c>
    </row>
    <row r="958" spans="1:25" x14ac:dyDescent="0.25">
      <c r="A958" s="1093"/>
      <c r="B958" s="1452">
        <v>708</v>
      </c>
      <c r="C958" s="1097">
        <v>1.0127355895094758</v>
      </c>
      <c r="D958" s="1097">
        <v>1.0036650255611828</v>
      </c>
      <c r="E958" s="1097">
        <v>0.99748593815994036</v>
      </c>
      <c r="F958" s="1097">
        <v>1.0301981976525756</v>
      </c>
      <c r="G958" s="1097">
        <v>0.99722784084097538</v>
      </c>
      <c r="H958" s="1097">
        <v>1.0162508509574786</v>
      </c>
      <c r="I958" s="1097">
        <v>1.0097037583359689</v>
      </c>
      <c r="K958">
        <v>5.3284071932957078</v>
      </c>
      <c r="L958">
        <v>0</v>
      </c>
      <c r="M958">
        <v>3.7525008474799146E-3</v>
      </c>
      <c r="N958">
        <v>0.32315189292605584</v>
      </c>
      <c r="O958">
        <v>0.15080005790234838</v>
      </c>
      <c r="P958">
        <v>2.0895448535828105E-2</v>
      </c>
      <c r="Q958">
        <v>1.2825418006452405E-3</v>
      </c>
      <c r="R958">
        <v>3.7465530427591509E-3</v>
      </c>
      <c r="S958">
        <v>0.47549547460618247</v>
      </c>
      <c r="T958">
        <v>4.1163079678770176</v>
      </c>
      <c r="U958">
        <v>0</v>
      </c>
      <c r="V958">
        <v>1.1304767209823806E-2</v>
      </c>
      <c r="W958">
        <v>0.19281568575122007</v>
      </c>
      <c r="X958">
        <v>2.5771259556677029E-2</v>
      </c>
      <c r="Y958">
        <v>1.0588044934630914E-2</v>
      </c>
    </row>
    <row r="959" spans="1:25" x14ac:dyDescent="0.25">
      <c r="A959" s="1093"/>
      <c r="B959" s="1452">
        <v>709</v>
      </c>
      <c r="C959" s="1097">
        <v>0.99076459392629523</v>
      </c>
      <c r="D959" s="1097">
        <v>0.99180179451761741</v>
      </c>
      <c r="E959" s="1097">
        <v>0.96922948648442864</v>
      </c>
      <c r="F959" s="1097">
        <v>1.0126186580304046</v>
      </c>
      <c r="G959" s="1097">
        <v>0.99824014898022662</v>
      </c>
      <c r="H959" s="1097">
        <v>1.0155013159708599</v>
      </c>
      <c r="I959" s="1097">
        <v>1.0217298800646279</v>
      </c>
      <c r="K959">
        <v>5.2683719607909367</v>
      </c>
      <c r="L959">
        <v>0</v>
      </c>
      <c r="M959">
        <v>4.0170251569410249E-3</v>
      </c>
      <c r="N959">
        <v>0.31810664274346478</v>
      </c>
      <c r="O959">
        <v>0.15304232229909956</v>
      </c>
      <c r="P959">
        <v>2.0202824603746602E-2</v>
      </c>
      <c r="Q959">
        <v>1.2853848532692336E-3</v>
      </c>
      <c r="R959">
        <v>4.0105429394013542E-3</v>
      </c>
      <c r="S959">
        <v>0.48574169128362271</v>
      </c>
      <c r="T959">
        <v>4.0496868138819035</v>
      </c>
      <c r="U959">
        <v>0</v>
      </c>
      <c r="V959">
        <v>1.130476720982382E-2</v>
      </c>
      <c r="W959">
        <v>0.19350715563858423</v>
      </c>
      <c r="X959">
        <v>2.4166739957740862E-2</v>
      </c>
      <c r="Y959">
        <v>1.1334100537216951E-2</v>
      </c>
    </row>
    <row r="960" spans="1:25" x14ac:dyDescent="0.25">
      <c r="A960" s="1093"/>
      <c r="B960" s="1452">
        <v>710</v>
      </c>
      <c r="C960" s="1097">
        <v>0.98685129626137336</v>
      </c>
      <c r="D960" s="1097">
        <v>1.0157025787537861</v>
      </c>
      <c r="E960" s="1097">
        <v>1.0013433971367343</v>
      </c>
      <c r="F960" s="1097">
        <v>1.0241792723295124</v>
      </c>
      <c r="G960" s="1097">
        <v>0.97331647197125681</v>
      </c>
      <c r="H960" s="1097">
        <v>0.9686851069722594</v>
      </c>
      <c r="I960" s="1097">
        <v>1.0171483741971024</v>
      </c>
      <c r="K960">
        <v>5.2942103285393358</v>
      </c>
      <c r="L960">
        <v>0</v>
      </c>
      <c r="M960">
        <v>3.6025280129966478E-3</v>
      </c>
      <c r="N960">
        <v>0.31377559291848334</v>
      </c>
      <c r="O960">
        <v>0.15300856751272515</v>
      </c>
      <c r="P960">
        <v>2.0858343195653318E-2</v>
      </c>
      <c r="Q960">
        <v>1.3142593505672015E-3</v>
      </c>
      <c r="R960">
        <v>3.5965023857694057E-3</v>
      </c>
      <c r="S960">
        <v>0.47866210530418318</v>
      </c>
      <c r="T960">
        <v>4.091762306640538</v>
      </c>
      <c r="U960">
        <v>0</v>
      </c>
      <c r="V960">
        <v>1.1304767209823808E-2</v>
      </c>
      <c r="W960">
        <v>0.18673343737733475</v>
      </c>
      <c r="X960">
        <v>2.6632984335103027E-2</v>
      </c>
      <c r="Y960">
        <v>1.0163990322152166E-2</v>
      </c>
    </row>
    <row r="961" spans="1:25" x14ac:dyDescent="0.25">
      <c r="A961" s="1093"/>
      <c r="B961" s="1452">
        <v>711</v>
      </c>
      <c r="C961" s="1097">
        <v>0.99495147655911198</v>
      </c>
      <c r="D961" s="1097">
        <v>1.000392017725112</v>
      </c>
      <c r="E961" s="1097">
        <v>1.0195996522249029</v>
      </c>
      <c r="F961" s="1097">
        <v>1.002864814931808</v>
      </c>
      <c r="G961" s="1097">
        <v>1.0079504300826811</v>
      </c>
      <c r="H961" s="1097">
        <v>1.0089194925471194</v>
      </c>
      <c r="I961" s="1097">
        <v>1.0198196784056539</v>
      </c>
      <c r="K961">
        <v>5.2153323451034943</v>
      </c>
      <c r="L961">
        <v>0</v>
      </c>
      <c r="M961">
        <v>3.5279878123872289E-3</v>
      </c>
      <c r="N961">
        <v>0.32435976586152815</v>
      </c>
      <c r="O961">
        <v>0.14899789112943096</v>
      </c>
      <c r="P961">
        <v>2.0729471783520217E-2</v>
      </c>
      <c r="Q961">
        <v>1.3320466799923753E-3</v>
      </c>
      <c r="R961">
        <v>3.5222019684791064E-3</v>
      </c>
      <c r="S961">
        <v>0.47680319741365507</v>
      </c>
      <c r="T961">
        <v>4.004320244427495</v>
      </c>
      <c r="U961">
        <v>0</v>
      </c>
      <c r="V961">
        <v>1.1304767209823822E-2</v>
      </c>
      <c r="W961">
        <v>0.19068170403969528</v>
      </c>
      <c r="X961">
        <v>2.6855030731937676E-2</v>
      </c>
      <c r="Y961">
        <v>9.9540116703212625E-3</v>
      </c>
    </row>
    <row r="962" spans="1:25" x14ac:dyDescent="0.25">
      <c r="A962" s="1093"/>
      <c r="B962" s="1452">
        <v>712</v>
      </c>
      <c r="C962" s="1097">
        <v>1.0343768866178522</v>
      </c>
      <c r="D962" s="1097">
        <v>1.009165093263467</v>
      </c>
      <c r="E962" s="1097">
        <v>0.99315373219560532</v>
      </c>
      <c r="F962" s="1097">
        <v>1.0254335412186912</v>
      </c>
      <c r="G962" s="1097">
        <v>1.0052942552448796</v>
      </c>
      <c r="H962" s="1097">
        <v>0.98699789340764921</v>
      </c>
      <c r="I962" s="1097">
        <v>1.0015335252174109</v>
      </c>
      <c r="K962">
        <v>5.253110361932567</v>
      </c>
      <c r="L962">
        <v>0</v>
      </c>
      <c r="M962">
        <v>3.5764595062655548E-3</v>
      </c>
      <c r="N962">
        <v>0.30404570988076057</v>
      </c>
      <c r="O962">
        <v>0.1467603401239225</v>
      </c>
      <c r="P962">
        <v>2.0647190322017658E-2</v>
      </c>
      <c r="Q962">
        <v>1.2483091257606126E-3</v>
      </c>
      <c r="R962">
        <v>3.5705956417489406E-3</v>
      </c>
      <c r="S962">
        <v>0.45406811627607718</v>
      </c>
      <c r="T962">
        <v>4.0978290666745165</v>
      </c>
      <c r="U962">
        <v>0</v>
      </c>
      <c r="V962">
        <v>1.1304767209823829E-2</v>
      </c>
      <c r="W962">
        <v>0.18194922505631991</v>
      </c>
      <c r="X962">
        <v>2.517272524221182E-2</v>
      </c>
      <c r="Y962">
        <v>1.0090775885663992E-2</v>
      </c>
    </row>
    <row r="963" spans="1:25" x14ac:dyDescent="0.25">
      <c r="A963" s="1093"/>
      <c r="B963" s="1452">
        <v>713</v>
      </c>
      <c r="C963" s="1097">
        <v>0.99757031195511359</v>
      </c>
      <c r="D963" s="1097">
        <v>0.98763839718739854</v>
      </c>
      <c r="E963" s="1097">
        <v>0.95833487029606168</v>
      </c>
      <c r="F963" s="1097">
        <v>1.0100252227445468</v>
      </c>
      <c r="G963" s="1097">
        <v>1.02745267440488</v>
      </c>
      <c r="H963" s="1097">
        <v>1.0016901504556088</v>
      </c>
      <c r="I963" s="1097">
        <v>0.98161283866430793</v>
      </c>
      <c r="K963">
        <v>5.2178722453270128</v>
      </c>
      <c r="L963">
        <v>0</v>
      </c>
      <c r="M963">
        <v>4.0226319105931482E-3</v>
      </c>
      <c r="N963">
        <v>0.3083969614021656</v>
      </c>
      <c r="O963">
        <v>0.15217247968568295</v>
      </c>
      <c r="P963">
        <v>1.9882246189427792E-2</v>
      </c>
      <c r="Q963">
        <v>1.2666044180455593E-3</v>
      </c>
      <c r="R963">
        <v>4.0160342752171259E-3</v>
      </c>
      <c r="S963">
        <v>0.46029017691465429</v>
      </c>
      <c r="T963">
        <v>4.0407200419344651</v>
      </c>
      <c r="U963">
        <v>0</v>
      </c>
      <c r="V963">
        <v>1.1304767209823829E-2</v>
      </c>
      <c r="W963">
        <v>0.18902193003031745</v>
      </c>
      <c r="X963">
        <v>2.3474015706322706E-2</v>
      </c>
      <c r="Y963">
        <v>1.1349619471475975E-2</v>
      </c>
    </row>
    <row r="964" spans="1:25" x14ac:dyDescent="0.25">
      <c r="A964" s="1093"/>
      <c r="B964" s="1452">
        <v>714</v>
      </c>
      <c r="C964" s="1097">
        <v>0.99675479307908044</v>
      </c>
      <c r="D964" s="1097">
        <v>0.9949153521460824</v>
      </c>
      <c r="E964" s="1097">
        <v>0.97790574252606188</v>
      </c>
      <c r="F964" s="1097">
        <v>1.041077599102348</v>
      </c>
      <c r="G964" s="1097">
        <v>1.0080846600452826</v>
      </c>
      <c r="H964" s="1097">
        <v>1.0072616524762383</v>
      </c>
      <c r="I964" s="1097">
        <v>1.014224374994954</v>
      </c>
      <c r="K964">
        <v>5.3976369601441165</v>
      </c>
      <c r="L964">
        <v>0</v>
      </c>
      <c r="M964">
        <v>3.9931856173675883E-3</v>
      </c>
      <c r="N964">
        <v>0.32447986536758</v>
      </c>
      <c r="O964">
        <v>0.15594935067410814</v>
      </c>
      <c r="P964">
        <v>2.0854060934815028E-2</v>
      </c>
      <c r="Q964">
        <v>1.2857457256574127E-3</v>
      </c>
      <c r="R964">
        <v>3.9868664622400001E-3</v>
      </c>
      <c r="S964">
        <v>0.48864975530749116</v>
      </c>
      <c r="T964">
        <v>4.1623523236373279</v>
      </c>
      <c r="U964">
        <v>0</v>
      </c>
      <c r="V964">
        <v>1.1304767209823796E-2</v>
      </c>
      <c r="W964">
        <v>0.19620906616548728</v>
      </c>
      <c r="X964">
        <v>2.5291155271808641E-2</v>
      </c>
      <c r="Y964">
        <v>1.1267189005145445E-2</v>
      </c>
    </row>
    <row r="965" spans="1:25" x14ac:dyDescent="0.25">
      <c r="A965" s="1093"/>
      <c r="B965" s="1452">
        <v>715</v>
      </c>
      <c r="C965" s="1097">
        <v>0.96967472044290592</v>
      </c>
      <c r="D965" s="1097">
        <v>1.0024974326689402</v>
      </c>
      <c r="E965" s="1097">
        <v>1.0132759019534565</v>
      </c>
      <c r="F965" s="1097">
        <v>1.006200070084966</v>
      </c>
      <c r="G965" s="1097">
        <v>1.0018251741779298</v>
      </c>
      <c r="H965" s="1097">
        <v>0.97482110635204489</v>
      </c>
      <c r="I965" s="1097">
        <v>0.99730310351165119</v>
      </c>
      <c r="K965">
        <v>5.2253902409220752</v>
      </c>
      <c r="L965">
        <v>0</v>
      </c>
      <c r="M965">
        <v>3.5533982253502737E-3</v>
      </c>
      <c r="N965">
        <v>0.320622337160898</v>
      </c>
      <c r="O965">
        <v>0.15344387101080276</v>
      </c>
      <c r="P965">
        <v>2.0680538141635021E-2</v>
      </c>
      <c r="Q965">
        <v>1.358315872041457E-3</v>
      </c>
      <c r="R965">
        <v>3.5473868265519944E-3</v>
      </c>
      <c r="S965">
        <v>0.47296226294764437</v>
      </c>
      <c r="T965">
        <v>4.0184302177548936</v>
      </c>
      <c r="U965">
        <v>0</v>
      </c>
      <c r="V965">
        <v>1.130476720982382E-2</v>
      </c>
      <c r="W965">
        <v>0.1892829424638513</v>
      </c>
      <c r="X965">
        <v>2.7285813757274152E-2</v>
      </c>
      <c r="Y965">
        <v>1.0025186002008203E-2</v>
      </c>
    </row>
    <row r="966" spans="1:25" x14ac:dyDescent="0.25">
      <c r="A966" s="1093"/>
      <c r="B966" s="1452">
        <v>716</v>
      </c>
      <c r="C966" s="1097">
        <v>0.99588216741040037</v>
      </c>
      <c r="D966" s="1097">
        <v>1.0229192091887445</v>
      </c>
      <c r="E966" s="1097">
        <v>0.99020719226588261</v>
      </c>
      <c r="F966" s="1097">
        <v>1.0320537454224943</v>
      </c>
      <c r="G966" s="1097">
        <v>0.99193298364693772</v>
      </c>
      <c r="H966" s="1097">
        <v>1.0181360720777424</v>
      </c>
      <c r="I966" s="1097">
        <v>1.0029451311587687</v>
      </c>
      <c r="K966">
        <v>5.3471559781606102</v>
      </c>
      <c r="L966">
        <v>0</v>
      </c>
      <c r="M966">
        <v>3.8596133994805411E-3</v>
      </c>
      <c r="N966">
        <v>0.32528322880846244</v>
      </c>
      <c r="O966">
        <v>0.15267303207776417</v>
      </c>
      <c r="P966">
        <v>2.0838170075577058E-2</v>
      </c>
      <c r="Q966">
        <v>1.2862897575897127E-3</v>
      </c>
      <c r="R966">
        <v>3.8535181072145933E-3</v>
      </c>
      <c r="S966">
        <v>0.47963539715415798</v>
      </c>
      <c r="T966">
        <v>4.1246679694401536</v>
      </c>
      <c r="U966">
        <v>0</v>
      </c>
      <c r="V966">
        <v>1.1304767209823829E-2</v>
      </c>
      <c r="W966">
        <v>0.19504858196870892</v>
      </c>
      <c r="X966">
        <v>2.5534300587456024E-2</v>
      </c>
      <c r="Y966">
        <v>1.0890336373178343E-2</v>
      </c>
    </row>
    <row r="967" spans="1:25" x14ac:dyDescent="0.25">
      <c r="A967" s="1093"/>
      <c r="B967" s="1452">
        <v>717</v>
      </c>
      <c r="C967" s="1097">
        <v>1.0082661239653448</v>
      </c>
      <c r="D967" s="1097">
        <v>1.0375025136134786</v>
      </c>
      <c r="E967" s="1097">
        <v>0.97342128207331813</v>
      </c>
      <c r="F967" s="1097">
        <v>0.9624275550789001</v>
      </c>
      <c r="G967" s="1097">
        <v>0.99583706488149404</v>
      </c>
      <c r="H967" s="1097">
        <v>0.97227150623717185</v>
      </c>
      <c r="I967" s="1097">
        <v>0.98622538713515195</v>
      </c>
      <c r="K967">
        <v>4.9337222800789782</v>
      </c>
      <c r="L967">
        <v>0</v>
      </c>
      <c r="M967">
        <v>3.4972283361818734E-3</v>
      </c>
      <c r="N967">
        <v>0.28036788675617408</v>
      </c>
      <c r="O967">
        <v>0.14026970647602108</v>
      </c>
      <c r="P967">
        <v>1.9122542872062775E-2</v>
      </c>
      <c r="Q967">
        <v>1.245064322564935E-3</v>
      </c>
      <c r="R967">
        <v>3.4910271219573135E-3</v>
      </c>
      <c r="S967">
        <v>0.43008555355165951</v>
      </c>
      <c r="T967">
        <v>3.8484481339922501</v>
      </c>
      <c r="U967">
        <v>0</v>
      </c>
      <c r="V967">
        <v>1.1304767209823827E-2</v>
      </c>
      <c r="W967">
        <v>0.17005832093965706</v>
      </c>
      <c r="X967">
        <v>2.2960595999021966E-2</v>
      </c>
      <c r="Y967">
        <v>9.8659091739637366E-3</v>
      </c>
    </row>
    <row r="968" spans="1:25" x14ac:dyDescent="0.25">
      <c r="A968" s="1093"/>
      <c r="B968" s="1452">
        <v>718</v>
      </c>
      <c r="C968" s="1097">
        <v>0.97034466658170659</v>
      </c>
      <c r="D968" s="1097">
        <v>0.994456688970067</v>
      </c>
      <c r="E968" s="1097">
        <v>1.0195710798836366</v>
      </c>
      <c r="F968" s="1097">
        <v>0.98665921292160841</v>
      </c>
      <c r="G968" s="1097">
        <v>1.0150629153339699</v>
      </c>
      <c r="H968" s="1097">
        <v>1.0392371053357723</v>
      </c>
      <c r="I968" s="1097">
        <v>1.0296719035366111</v>
      </c>
      <c r="K968">
        <v>5.1905616808968427</v>
      </c>
      <c r="L968">
        <v>0</v>
      </c>
      <c r="M968">
        <v>3.6750023163459838E-3</v>
      </c>
      <c r="N968">
        <v>0.33785493048361542</v>
      </c>
      <c r="O968">
        <v>0.15066655382089555</v>
      </c>
      <c r="P968">
        <v>2.0507385677743083E-2</v>
      </c>
      <c r="Q968">
        <v>1.3690476265797429E-3</v>
      </c>
      <c r="R968">
        <v>3.6690552533515789E-3</v>
      </c>
      <c r="S968">
        <v>0.49346290329850995</v>
      </c>
      <c r="T968">
        <v>3.9396167047148891</v>
      </c>
      <c r="U968">
        <v>0</v>
      </c>
      <c r="V968">
        <v>1.1304767209823827E-2</v>
      </c>
      <c r="W968">
        <v>0.19861890517727443</v>
      </c>
      <c r="X968">
        <v>2.6797399685410176E-2</v>
      </c>
      <c r="Y968">
        <v>1.0369030265088787E-2</v>
      </c>
    </row>
    <row r="969" spans="1:25" x14ac:dyDescent="0.25">
      <c r="A969" s="1093"/>
      <c r="B969" s="1452">
        <v>719</v>
      </c>
      <c r="C969" s="1097">
        <v>1.0205397137103582</v>
      </c>
      <c r="D969" s="1097">
        <v>1.0138930743136618</v>
      </c>
      <c r="E969" s="1097">
        <v>1.0075503295868298</v>
      </c>
      <c r="F969" s="1097">
        <v>0.99581579291055844</v>
      </c>
      <c r="G969" s="1097">
        <v>0.99657736668432617</v>
      </c>
      <c r="H969" s="1097">
        <v>0.97840104650838722</v>
      </c>
      <c r="I969" s="1097">
        <v>1.0436032486897839</v>
      </c>
      <c r="K969">
        <v>5.1328143617176778</v>
      </c>
      <c r="L969">
        <v>0</v>
      </c>
      <c r="M969">
        <v>3.3792129965973827E-3</v>
      </c>
      <c r="N969">
        <v>0.29977716020372397</v>
      </c>
      <c r="O969">
        <v>0.14379515029168774</v>
      </c>
      <c r="P969">
        <v>2.0374307784089107E-2</v>
      </c>
      <c r="Q969">
        <v>1.278546013110028E-3</v>
      </c>
      <c r="R969">
        <v>3.3734578935238485E-3</v>
      </c>
      <c r="S969">
        <v>0.46584869807267848</v>
      </c>
      <c r="T969">
        <v>3.9776711924434318</v>
      </c>
      <c r="U969">
        <v>0</v>
      </c>
      <c r="V969">
        <v>1.1304767209823827E-2</v>
      </c>
      <c r="W969">
        <v>0.17765811378361107</v>
      </c>
      <c r="X969">
        <v>2.5578531460164415E-2</v>
      </c>
      <c r="Y969">
        <v>9.5336495584247977E-3</v>
      </c>
    </row>
    <row r="970" spans="1:25" x14ac:dyDescent="0.25">
      <c r="A970" s="1093"/>
      <c r="B970" s="1452">
        <v>720</v>
      </c>
      <c r="C970" s="1097">
        <v>0.99604092128700927</v>
      </c>
      <c r="D970" s="1097">
        <v>1.0100299464398079</v>
      </c>
      <c r="E970" s="1097">
        <v>0.98948869665639716</v>
      </c>
      <c r="F970" s="1097">
        <v>1.0149995596824719</v>
      </c>
      <c r="G970" s="1097">
        <v>1.0003110885572126</v>
      </c>
      <c r="H970" s="1097">
        <v>1.0177179213746113</v>
      </c>
      <c r="I970" s="1097">
        <v>0.98288266425585968</v>
      </c>
      <c r="K970">
        <v>5.2547725165634915</v>
      </c>
      <c r="L970">
        <v>0</v>
      </c>
      <c r="M970">
        <v>3.8188304475879793E-3</v>
      </c>
      <c r="N970">
        <v>0.32115240451458482</v>
      </c>
      <c r="O970">
        <v>0.15090995353856126</v>
      </c>
      <c r="P970">
        <v>2.0451325452274544E-2</v>
      </c>
      <c r="Q970">
        <v>1.2918237290837249E-3</v>
      </c>
      <c r="R970">
        <v>3.8126958760447281E-3</v>
      </c>
      <c r="S970">
        <v>0.46446806251301498</v>
      </c>
      <c r="T970">
        <v>4.0566018380449389</v>
      </c>
      <c r="U970">
        <v>0</v>
      </c>
      <c r="V970">
        <v>1.1304767209823803E-2</v>
      </c>
      <c r="W970">
        <v>0.19266581396816235</v>
      </c>
      <c r="X970">
        <v>2.515769253332948E-2</v>
      </c>
      <c r="Y970">
        <v>1.0774969631262395E-2</v>
      </c>
    </row>
    <row r="971" spans="1:25" x14ac:dyDescent="0.25">
      <c r="A971" s="1093"/>
      <c r="B971" s="1452">
        <v>721</v>
      </c>
      <c r="C971" s="1097">
        <v>0.98938106697126726</v>
      </c>
      <c r="D971" s="1097">
        <v>0.99238712001759466</v>
      </c>
      <c r="E971" s="1097">
        <v>1.0180724460646664</v>
      </c>
      <c r="F971" s="1097">
        <v>1.0000097684345131</v>
      </c>
      <c r="G971" s="1097">
        <v>1.0420077222429822</v>
      </c>
      <c r="H971" s="1097">
        <v>1.0092109257265582</v>
      </c>
      <c r="I971" s="1097">
        <v>1.0354428604690284</v>
      </c>
      <c r="K971">
        <v>5.2176148447217825</v>
      </c>
      <c r="L971">
        <v>0</v>
      </c>
      <c r="M971">
        <v>3.5616492439265969E-3</v>
      </c>
      <c r="N971">
        <v>0.32597684659920662</v>
      </c>
      <c r="O971">
        <v>0.14993423179868023</v>
      </c>
      <c r="P971">
        <v>2.0699314236430809E-2</v>
      </c>
      <c r="Q971">
        <v>1.3421211399313839E-3</v>
      </c>
      <c r="R971">
        <v>3.5557932387229106E-3</v>
      </c>
      <c r="S971">
        <v>0.48649986433477321</v>
      </c>
      <c r="T971">
        <v>3.9931104256750167</v>
      </c>
      <c r="U971">
        <v>0</v>
      </c>
      <c r="V971">
        <v>1.1304767209823825E-2</v>
      </c>
      <c r="W971">
        <v>0.19182773519918267</v>
      </c>
      <c r="X971">
        <v>2.6876451369335884E-2</v>
      </c>
      <c r="Y971">
        <v>1.0048943164602418E-2</v>
      </c>
    </row>
    <row r="972" spans="1:25" x14ac:dyDescent="0.25">
      <c r="A972" s="1093"/>
      <c r="B972" s="1452">
        <v>722</v>
      </c>
      <c r="C972" s="1097">
        <v>1.0313675368224378</v>
      </c>
      <c r="D972" s="1097">
        <v>0.98555396180469856</v>
      </c>
      <c r="E972" s="1097">
        <v>0.97054374746238403</v>
      </c>
      <c r="F972" s="1097">
        <v>1.0394688845440667</v>
      </c>
      <c r="G972" s="1097">
        <v>1.0308007143708844</v>
      </c>
      <c r="H972" s="1097">
        <v>1.0038917439941648</v>
      </c>
      <c r="I972" s="1097">
        <v>1.0300627954319204</v>
      </c>
      <c r="K972">
        <v>5.3563231944155589</v>
      </c>
      <c r="L972">
        <v>0</v>
      </c>
      <c r="M972">
        <v>3.9148636221668408E-3</v>
      </c>
      <c r="N972">
        <v>0.31123611706770937</v>
      </c>
      <c r="O972">
        <v>0.15126050906869026</v>
      </c>
      <c r="P972">
        <v>2.0671003000384283E-2</v>
      </c>
      <c r="Q972">
        <v>1.2393291275375276E-3</v>
      </c>
      <c r="R972">
        <v>3.9086380093047227E-3</v>
      </c>
      <c r="S972">
        <v>0.47922490751686936</v>
      </c>
      <c r="T972">
        <v>4.1568928912661587</v>
      </c>
      <c r="U972">
        <v>0</v>
      </c>
      <c r="V972">
        <v>1.1304767209823811E-2</v>
      </c>
      <c r="W972">
        <v>0.18915617050366698</v>
      </c>
      <c r="X972">
        <v>2.4297615842888767E-2</v>
      </c>
      <c r="Y972">
        <v>1.1046109424690502E-2</v>
      </c>
    </row>
    <row r="973" spans="1:25" x14ac:dyDescent="0.25">
      <c r="A973" s="1093"/>
      <c r="B973" s="1452">
        <v>723</v>
      </c>
      <c r="C973" s="1097">
        <v>1.0046517368308359</v>
      </c>
      <c r="D973" s="1097">
        <v>1.0233331347574692</v>
      </c>
      <c r="E973" s="1097">
        <v>1.0100417079812398</v>
      </c>
      <c r="F973" s="1097">
        <v>1.0357286496412492</v>
      </c>
      <c r="G973" s="1097">
        <v>0.99278850232224058</v>
      </c>
      <c r="H973" s="1097">
        <v>0.96993790265591429</v>
      </c>
      <c r="I973" s="1097">
        <v>0.98865561611991126</v>
      </c>
      <c r="K973">
        <v>5.3185488029876327</v>
      </c>
      <c r="L973">
        <v>0</v>
      </c>
      <c r="M973">
        <v>3.507554391752181E-3</v>
      </c>
      <c r="N973">
        <v>0.31348263771062279</v>
      </c>
      <c r="O973">
        <v>0.15129072883835343</v>
      </c>
      <c r="P973">
        <v>2.1118334069647655E-2</v>
      </c>
      <c r="Q973">
        <v>1.2967101497329428E-3</v>
      </c>
      <c r="R973">
        <v>3.5017604271218666E-3</v>
      </c>
      <c r="S973">
        <v>0.46092966584734074</v>
      </c>
      <c r="T973">
        <v>4.1367758561309449</v>
      </c>
      <c r="U973">
        <v>0</v>
      </c>
      <c r="V973">
        <v>1.1304767209823827E-2</v>
      </c>
      <c r="W973">
        <v>0.18546973618115711</v>
      </c>
      <c r="X973">
        <v>2.698991850083032E-2</v>
      </c>
      <c r="Y973">
        <v>9.8962423138078508E-3</v>
      </c>
    </row>
    <row r="974" spans="1:25" x14ac:dyDescent="0.25">
      <c r="A974" s="1093"/>
      <c r="B974" s="1452">
        <v>724</v>
      </c>
      <c r="C974" s="1097">
        <v>0.98539416095528132</v>
      </c>
      <c r="D974" s="1097">
        <v>1.0024101889709984</v>
      </c>
      <c r="E974" s="1097">
        <v>1.0247555959919883</v>
      </c>
      <c r="F974" s="1097">
        <v>0.97270616013166677</v>
      </c>
      <c r="G974" s="1097">
        <v>0.97347763488963346</v>
      </c>
      <c r="H974" s="1097">
        <v>1.0013417869673076</v>
      </c>
      <c r="I974" s="1097">
        <v>0.97466951616803432</v>
      </c>
      <c r="K974">
        <v>5.0465262575692487</v>
      </c>
      <c r="L974">
        <v>0</v>
      </c>
      <c r="M974">
        <v>3.3894147977210176E-3</v>
      </c>
      <c r="N974">
        <v>0.31638854724840776</v>
      </c>
      <c r="O974">
        <v>0.14565966815645084</v>
      </c>
      <c r="P974">
        <v>2.0108869651918614E-2</v>
      </c>
      <c r="Q974">
        <v>1.3497504794046232E-3</v>
      </c>
      <c r="R974">
        <v>3.3836407950588068E-3</v>
      </c>
      <c r="S974">
        <v>0.44696114704246531</v>
      </c>
      <c r="T974">
        <v>3.8832772291216697</v>
      </c>
      <c r="U974">
        <v>0</v>
      </c>
      <c r="V974">
        <v>1.1304767209823817E-2</v>
      </c>
      <c r="W974">
        <v>0.18535825150800256</v>
      </c>
      <c r="X974">
        <v>2.6561373938173243E-2</v>
      </c>
      <c r="Y974">
        <v>9.5624272155903425E-3</v>
      </c>
    </row>
    <row r="975" spans="1:25" x14ac:dyDescent="0.25">
      <c r="A975" s="1093"/>
      <c r="B975" s="1452">
        <v>725</v>
      </c>
      <c r="C975" s="1097">
        <v>0.99855469361733007</v>
      </c>
      <c r="D975" s="1097">
        <v>1.0251607505596714</v>
      </c>
      <c r="E975" s="1097">
        <v>0.9971217649003441</v>
      </c>
      <c r="F975" s="1097">
        <v>0.97643082338607945</v>
      </c>
      <c r="G975" s="1097">
        <v>0.97588898118229084</v>
      </c>
      <c r="H975" s="1097">
        <v>1.0096943903207189</v>
      </c>
      <c r="I975" s="1097">
        <v>1.0363163320946405</v>
      </c>
      <c r="K975">
        <v>5.0708574624874103</v>
      </c>
      <c r="L975">
        <v>0</v>
      </c>
      <c r="M975">
        <v>3.5566809510973077E-3</v>
      </c>
      <c r="N975">
        <v>0.30592817573728154</v>
      </c>
      <c r="O975">
        <v>0.14374567826899126</v>
      </c>
      <c r="P975">
        <v>1.9889916513559112E-2</v>
      </c>
      <c r="Q975">
        <v>1.2893733572553741E-3</v>
      </c>
      <c r="R975">
        <v>3.5506950081129235E-3</v>
      </c>
      <c r="S975">
        <v>0.46996194519609785</v>
      </c>
      <c r="T975">
        <v>3.9015172414923711</v>
      </c>
      <c r="U975">
        <v>0</v>
      </c>
      <c r="V975">
        <v>1.1304767209823824E-2</v>
      </c>
      <c r="W975">
        <v>0.18258379308315498</v>
      </c>
      <c r="X975">
        <v>2.4608022396190182E-2</v>
      </c>
      <c r="Y975">
        <v>1.0034535175667103E-2</v>
      </c>
    </row>
    <row r="976" spans="1:25" x14ac:dyDescent="0.25">
      <c r="A976" s="1093"/>
      <c r="B976" s="1452">
        <v>726</v>
      </c>
      <c r="C976" s="1097">
        <v>0.98092812780875738</v>
      </c>
      <c r="D976" s="1097">
        <v>0.9756160075913749</v>
      </c>
      <c r="E976" s="1097">
        <v>0.97446189494265145</v>
      </c>
      <c r="F976" s="1097">
        <v>1.0021098350705679</v>
      </c>
      <c r="G976" s="1097">
        <v>0.98227683841989666</v>
      </c>
      <c r="H976" s="1097">
        <v>1.0037483446004094</v>
      </c>
      <c r="I976" s="1097">
        <v>0.99561489617357024</v>
      </c>
      <c r="K976">
        <v>5.2128627642332175</v>
      </c>
      <c r="L976">
        <v>0</v>
      </c>
      <c r="M976">
        <v>3.9514195714996777E-3</v>
      </c>
      <c r="N976">
        <v>0.31779920411596013</v>
      </c>
      <c r="O976">
        <v>0.15383280112656211</v>
      </c>
      <c r="P976">
        <v>2.0037430281316639E-2</v>
      </c>
      <c r="Q976">
        <v>1.3128275610827514E-3</v>
      </c>
      <c r="R976">
        <v>3.9449010217738724E-3</v>
      </c>
      <c r="S976">
        <v>0.47320420308075628</v>
      </c>
      <c r="T976">
        <v>4.0069926908519147</v>
      </c>
      <c r="U976">
        <v>0</v>
      </c>
      <c r="V976">
        <v>1.1304767209823813E-2</v>
      </c>
      <c r="W976">
        <v>0.19262449262226083</v>
      </c>
      <c r="X976">
        <v>2.4612274466788112E-2</v>
      </c>
      <c r="Y976">
        <v>1.1148591466478352E-2</v>
      </c>
    </row>
    <row r="977" spans="1:25" x14ac:dyDescent="0.25">
      <c r="A977" s="1093"/>
      <c r="B977" s="1452">
        <v>727</v>
      </c>
      <c r="C977" s="1097">
        <v>0.99862113507174144</v>
      </c>
      <c r="D977" s="1097">
        <v>0.96642485839853265</v>
      </c>
      <c r="E977" s="1097">
        <v>1.0144341846622766</v>
      </c>
      <c r="F977" s="1097">
        <v>0.99743730729552049</v>
      </c>
      <c r="G977" s="1097">
        <v>1.0375328799814507</v>
      </c>
      <c r="H977" s="1097">
        <v>0.97399023314478739</v>
      </c>
      <c r="I977" s="1097">
        <v>0.97310550384438232</v>
      </c>
      <c r="K977">
        <v>5.1486482503081081</v>
      </c>
      <c r="L977">
        <v>0</v>
      </c>
      <c r="M977">
        <v>3.4594805830454856E-3</v>
      </c>
      <c r="N977">
        <v>0.31321507177454788</v>
      </c>
      <c r="O977">
        <v>0.14984683642941576</v>
      </c>
      <c r="P977">
        <v>2.0421455855465055E-2</v>
      </c>
      <c r="Q977">
        <v>1.3397368559033317E-3</v>
      </c>
      <c r="R977">
        <v>3.4535717009905984E-3</v>
      </c>
      <c r="S977">
        <v>0.44790798148485211</v>
      </c>
      <c r="T977">
        <v>3.9832905362403208</v>
      </c>
      <c r="U977">
        <v>0</v>
      </c>
      <c r="V977">
        <v>1.1304767209823822E-2</v>
      </c>
      <c r="W977">
        <v>0.18476663173703864</v>
      </c>
      <c r="X977">
        <v>2.6801084308068445E-2</v>
      </c>
      <c r="Y977">
        <v>9.7600572947256874E-3</v>
      </c>
    </row>
    <row r="978" spans="1:25" x14ac:dyDescent="0.25">
      <c r="A978" s="1093"/>
      <c r="B978" s="1452">
        <v>728</v>
      </c>
      <c r="C978" s="1097">
        <v>1.0011491617185173</v>
      </c>
      <c r="D978" s="1097">
        <v>0.97972581661997726</v>
      </c>
      <c r="E978" s="1097">
        <v>0.99711509894861616</v>
      </c>
      <c r="F978" s="1097">
        <v>1.0135974787376523</v>
      </c>
      <c r="G978" s="1097">
        <v>1.0318504737937315</v>
      </c>
      <c r="H978" s="1097">
        <v>0.97584061137250755</v>
      </c>
      <c r="I978" s="1097">
        <v>1.0015959906082985</v>
      </c>
      <c r="K978">
        <v>5.2339117496082137</v>
      </c>
      <c r="L978">
        <v>0</v>
      </c>
      <c r="M978">
        <v>3.6239730804220778E-3</v>
      </c>
      <c r="N978">
        <v>0.31171182957474253</v>
      </c>
      <c r="O978">
        <v>0.15155400471958982</v>
      </c>
      <c r="P978">
        <v>2.0541964820071267E-2</v>
      </c>
      <c r="Q978">
        <v>1.3095565072278863E-3</v>
      </c>
      <c r="R978">
        <v>3.6178933166329187E-3</v>
      </c>
      <c r="S978">
        <v>0.46516420056822194</v>
      </c>
      <c r="T978">
        <v>4.0500246140870013</v>
      </c>
      <c r="U978">
        <v>0</v>
      </c>
      <c r="V978">
        <v>1.1304767209823818E-2</v>
      </c>
      <c r="W978">
        <v>0.18603642823405783</v>
      </c>
      <c r="X978">
        <v>2.6046020925372282E-2</v>
      </c>
      <c r="Y978">
        <v>1.0224442725892766E-2</v>
      </c>
    </row>
    <row r="979" spans="1:25" x14ac:dyDescent="0.25">
      <c r="A979" s="1093"/>
      <c r="B979" s="1452">
        <v>729</v>
      </c>
      <c r="C979" s="1097">
        <v>1.0112113176803388</v>
      </c>
      <c r="D979" s="1097">
        <v>0.98533793513695678</v>
      </c>
      <c r="E979" s="1097">
        <v>1.0277681701767807</v>
      </c>
      <c r="F979" s="1097">
        <v>1.0151147746898974</v>
      </c>
      <c r="G979" s="1097">
        <v>0.97503434680944845</v>
      </c>
      <c r="H979" s="1097">
        <v>0.9974306173526436</v>
      </c>
      <c r="I979" s="1097">
        <v>0.97395773306869315</v>
      </c>
      <c r="K979">
        <v>5.236596057272517</v>
      </c>
      <c r="L979">
        <v>0</v>
      </c>
      <c r="M979">
        <v>3.4348951766860177E-3</v>
      </c>
      <c r="N979">
        <v>0.32352414290853887</v>
      </c>
      <c r="O979">
        <v>0.14906588666665027</v>
      </c>
      <c r="P979">
        <v>2.0959931067858161E-2</v>
      </c>
      <c r="Q979">
        <v>1.3277258774450763E-3</v>
      </c>
      <c r="R979">
        <v>3.4292657669504926E-3</v>
      </c>
      <c r="S979">
        <v>0.45186597079381635</v>
      </c>
      <c r="T979">
        <v>4.0522034384038585</v>
      </c>
      <c r="U979">
        <v>0</v>
      </c>
      <c r="V979">
        <v>1.1304767209823803E-2</v>
      </c>
      <c r="W979">
        <v>0.18915993453436322</v>
      </c>
      <c r="X979">
        <v>2.7498522350444254E-2</v>
      </c>
      <c r="Y979">
        <v>9.6913668694580714E-3</v>
      </c>
    </row>
    <row r="980" spans="1:25" x14ac:dyDescent="0.25">
      <c r="A980" s="1093"/>
      <c r="B980" s="1452">
        <v>730</v>
      </c>
      <c r="C980" s="1097">
        <v>0.96538039440425627</v>
      </c>
      <c r="D980" s="1097">
        <v>0.99376784442445987</v>
      </c>
      <c r="E980" s="1097">
        <v>1.0042181261762633</v>
      </c>
      <c r="F980" s="1097">
        <v>1.0294535580412836</v>
      </c>
      <c r="G980" s="1097">
        <v>1.0078764427041436</v>
      </c>
      <c r="H980" s="1097">
        <v>0.97010437949380157</v>
      </c>
      <c r="I980" s="1097">
        <v>1.0054765699336516</v>
      </c>
      <c r="K980">
        <v>5.3512593167087186</v>
      </c>
      <c r="L980">
        <v>0</v>
      </c>
      <c r="M980">
        <v>3.7169432222883213E-3</v>
      </c>
      <c r="N980">
        <v>0.32651334456448455</v>
      </c>
      <c r="O980">
        <v>0.15851052056652842</v>
      </c>
      <c r="P980">
        <v>2.1040486814892307E-2</v>
      </c>
      <c r="Q980">
        <v>1.358610783024622E-3</v>
      </c>
      <c r="R980">
        <v>3.7107670726856546E-3</v>
      </c>
      <c r="S980">
        <v>0.48809828181291748</v>
      </c>
      <c r="T980">
        <v>4.1124628582088629</v>
      </c>
      <c r="U980">
        <v>0</v>
      </c>
      <c r="V980">
        <v>1.1304767209823824E-2</v>
      </c>
      <c r="W980">
        <v>0.1939374332718225</v>
      </c>
      <c r="X980">
        <v>2.7552278574886787E-2</v>
      </c>
      <c r="Y980">
        <v>1.0486911051073647E-2</v>
      </c>
    </row>
    <row r="981" spans="1:25" x14ac:dyDescent="0.25">
      <c r="A981" s="1093"/>
      <c r="B981" s="1452">
        <v>731</v>
      </c>
      <c r="C981" s="1097">
        <v>1.0351820022403977</v>
      </c>
      <c r="D981" s="1097">
        <v>1.0002407650124356</v>
      </c>
      <c r="E981" s="1097">
        <v>1.0395436803815661</v>
      </c>
      <c r="F981" s="1097">
        <v>0.98111293002071343</v>
      </c>
      <c r="G981" s="1097">
        <v>1.0429065142827598</v>
      </c>
      <c r="H981" s="1097">
        <v>0.98250526267017946</v>
      </c>
      <c r="I981" s="1097">
        <v>1.0273135594996214</v>
      </c>
      <c r="K981">
        <v>5.0489510208009065</v>
      </c>
      <c r="L981">
        <v>0</v>
      </c>
      <c r="M981">
        <v>3.0973260702064748E-3</v>
      </c>
      <c r="N981">
        <v>0.30203640347932759</v>
      </c>
      <c r="O981">
        <v>0.13958345315315937</v>
      </c>
      <c r="P981">
        <v>2.0481143689952776E-2</v>
      </c>
      <c r="Q981">
        <v>1.302015766767004E-3</v>
      </c>
      <c r="R981">
        <v>3.0919944935686827E-3</v>
      </c>
      <c r="S981">
        <v>0.44843629832441401</v>
      </c>
      <c r="T981">
        <v>3.9150451417040677</v>
      </c>
      <c r="U981">
        <v>0</v>
      </c>
      <c r="V981">
        <v>1.1304767209823815E-2</v>
      </c>
      <c r="W981">
        <v>0.17522779701414501</v>
      </c>
      <c r="X981">
        <v>2.6801119534451145E-2</v>
      </c>
      <c r="Y981">
        <v>8.7382125014374614E-3</v>
      </c>
    </row>
    <row r="982" spans="1:25" x14ac:dyDescent="0.25">
      <c r="A982" s="1093"/>
      <c r="B982" s="1452">
        <v>732</v>
      </c>
      <c r="C982" s="1097">
        <v>1.0203306743873395</v>
      </c>
      <c r="D982" s="1097">
        <v>0.98962423552689494</v>
      </c>
      <c r="E982" s="1097">
        <v>1.0003067533064192</v>
      </c>
      <c r="F982" s="1097">
        <v>1.0121924696827309</v>
      </c>
      <c r="G982" s="1097">
        <v>1.0264016950204558</v>
      </c>
      <c r="H982" s="1097">
        <v>0.99955675233508978</v>
      </c>
      <c r="I982" s="1097">
        <v>1.0399592837514493</v>
      </c>
      <c r="K982">
        <v>5.2363462008822141</v>
      </c>
      <c r="L982">
        <v>0</v>
      </c>
      <c r="M982">
        <v>3.5983644667326241E-3</v>
      </c>
      <c r="N982">
        <v>0.31246199936121577</v>
      </c>
      <c r="O982">
        <v>0.14781435017409275</v>
      </c>
      <c r="P982">
        <v>2.0617554411847851E-2</v>
      </c>
      <c r="Q982">
        <v>1.2832896779986223E-3</v>
      </c>
      <c r="R982">
        <v>3.5924627310325984E-3</v>
      </c>
      <c r="S982">
        <v>0.47702603221140155</v>
      </c>
      <c r="T982">
        <v>4.0440047754088688</v>
      </c>
      <c r="U982">
        <v>0</v>
      </c>
      <c r="V982">
        <v>1.1304767209823832E-2</v>
      </c>
      <c r="W982">
        <v>0.18608195253271378</v>
      </c>
      <c r="X982">
        <v>2.5604807680492416E-2</v>
      </c>
      <c r="Y982">
        <v>1.0152573949452898E-2</v>
      </c>
    </row>
    <row r="983" spans="1:25" x14ac:dyDescent="0.25">
      <c r="A983" s="1093"/>
      <c r="B983" s="1452">
        <v>733</v>
      </c>
      <c r="C983" s="1097">
        <v>1.0015488705909461</v>
      </c>
      <c r="D983" s="1097">
        <v>1.0442865238123822</v>
      </c>
      <c r="E983" s="1097">
        <v>1.0190495759653957</v>
      </c>
      <c r="F983" s="1097">
        <v>0.98366162331226303</v>
      </c>
      <c r="G983" s="1097">
        <v>0.99570784764439202</v>
      </c>
      <c r="H983" s="1097">
        <v>1.0192694144696235</v>
      </c>
      <c r="I983" s="1097">
        <v>1.0079678188880905</v>
      </c>
      <c r="K983">
        <v>5.0956236012641876</v>
      </c>
      <c r="L983">
        <v>0</v>
      </c>
      <c r="M983">
        <v>3.417837990845309E-3</v>
      </c>
      <c r="N983">
        <v>0.3137169838503463</v>
      </c>
      <c r="O983">
        <v>0.14272446176069026</v>
      </c>
      <c r="P983">
        <v>2.0284106376963443E-2</v>
      </c>
      <c r="Q983">
        <v>1.3001311815586906E-3</v>
      </c>
      <c r="R983">
        <v>3.4121815758059986E-3</v>
      </c>
      <c r="S983">
        <v>0.45866869848052327</v>
      </c>
      <c r="T983">
        <v>3.9277114941377032</v>
      </c>
      <c r="U983">
        <v>0</v>
      </c>
      <c r="V983">
        <v>1.130476720982383E-2</v>
      </c>
      <c r="W983">
        <v>0.18449280840240898</v>
      </c>
      <c r="X983">
        <v>2.5782720638236823E-2</v>
      </c>
      <c r="Y983">
        <v>9.643085640967438E-3</v>
      </c>
    </row>
    <row r="984" spans="1:25" x14ac:dyDescent="0.25">
      <c r="A984" s="1093"/>
      <c r="B984" s="1452">
        <v>734</v>
      </c>
      <c r="C984" s="1097">
        <v>1.0127364512652257</v>
      </c>
      <c r="D984" s="1097">
        <v>0.97585228258592271</v>
      </c>
      <c r="E984" s="1097">
        <v>0.98390984665471481</v>
      </c>
      <c r="F984" s="1097">
        <v>1.0102273068083298</v>
      </c>
      <c r="G984" s="1097">
        <v>0.97265538022558773</v>
      </c>
      <c r="H984" s="1097">
        <v>1.0053163939448968</v>
      </c>
      <c r="I984" s="1097">
        <v>1.0101461263576337</v>
      </c>
      <c r="K984">
        <v>5.2269836700834462</v>
      </c>
      <c r="L984">
        <v>0</v>
      </c>
      <c r="M984">
        <v>3.7880431840543686E-3</v>
      </c>
      <c r="N984">
        <v>0.31332700745231201</v>
      </c>
      <c r="O984">
        <v>0.14992882772738164</v>
      </c>
      <c r="P984">
        <v>2.0300845527053475E-2</v>
      </c>
      <c r="Q984">
        <v>1.2819465583422008E-3</v>
      </c>
      <c r="R984">
        <v>3.7818539510277066E-3</v>
      </c>
      <c r="S984">
        <v>0.46845754570830178</v>
      </c>
      <c r="T984">
        <v>4.0382408178668667</v>
      </c>
      <c r="U984">
        <v>0</v>
      </c>
      <c r="V984">
        <v>1.130476720982382E-2</v>
      </c>
      <c r="W984">
        <v>0.18868776367821588</v>
      </c>
      <c r="X984">
        <v>2.4772529591679193E-2</v>
      </c>
      <c r="Y984">
        <v>1.0687807996494702E-2</v>
      </c>
    </row>
    <row r="985" spans="1:25" x14ac:dyDescent="0.25">
      <c r="A985" s="1093"/>
      <c r="B985" s="1452">
        <v>735</v>
      </c>
      <c r="C985" s="1097">
        <v>0.99895323980800366</v>
      </c>
      <c r="D985" s="1097">
        <v>0.99224065229800396</v>
      </c>
      <c r="E985" s="1097">
        <v>1.0086327079123081</v>
      </c>
      <c r="F985" s="1097">
        <v>1.0127272327403241</v>
      </c>
      <c r="G985" s="1097">
        <v>1.0110879447244931</v>
      </c>
      <c r="H985" s="1097">
        <v>0.99972522197291647</v>
      </c>
      <c r="I985" s="1097">
        <v>0.99006035833546802</v>
      </c>
      <c r="K985">
        <v>5.2411578680886146</v>
      </c>
      <c r="L985">
        <v>0</v>
      </c>
      <c r="M985">
        <v>3.6101424384118912E-3</v>
      </c>
      <c r="N985">
        <v>0.32131216718033967</v>
      </c>
      <c r="O985">
        <v>0.15066216480349284</v>
      </c>
      <c r="P985">
        <v>2.0690053741924057E-2</v>
      </c>
      <c r="Q985">
        <v>1.3187180981210688E-3</v>
      </c>
      <c r="R985">
        <v>3.6042255041808819E-3</v>
      </c>
      <c r="S985">
        <v>0.46385256130567892</v>
      </c>
      <c r="T985">
        <v>4.0450848850762453</v>
      </c>
      <c r="U985">
        <v>0</v>
      </c>
      <c r="V985">
        <v>1.1304767209823824E-2</v>
      </c>
      <c r="W985">
        <v>0.19028199930406006</v>
      </c>
      <c r="X985">
        <v>2.6470651858738946E-2</v>
      </c>
      <c r="Y985">
        <v>1.0185816444415194E-2</v>
      </c>
    </row>
    <row r="986" spans="1:25" x14ac:dyDescent="0.25">
      <c r="A986" s="1093"/>
      <c r="B986" s="1452">
        <v>736</v>
      </c>
      <c r="C986" s="1097">
        <v>1.0457412814914939</v>
      </c>
      <c r="D986" s="1097">
        <v>0.98971521465869405</v>
      </c>
      <c r="E986" s="1097">
        <v>0.99913667266980943</v>
      </c>
      <c r="F986" s="1097">
        <v>0.99473417643809148</v>
      </c>
      <c r="G986" s="1097">
        <v>0.97187491716839081</v>
      </c>
      <c r="H986" s="1097">
        <v>0.97861616846428157</v>
      </c>
      <c r="I986" s="1097">
        <v>0.9996946548367347</v>
      </c>
      <c r="K986">
        <v>5.0879818668900016</v>
      </c>
      <c r="L986">
        <v>0</v>
      </c>
      <c r="M986">
        <v>3.3863928324932655E-3</v>
      </c>
      <c r="N986">
        <v>0.29301892382767525</v>
      </c>
      <c r="O986">
        <v>0.14176093560554295</v>
      </c>
      <c r="P986">
        <v>2.0102110924237401E-2</v>
      </c>
      <c r="Q986">
        <v>1.2508056559266715E-3</v>
      </c>
      <c r="R986">
        <v>3.3806205100789825E-3</v>
      </c>
      <c r="S986">
        <v>0.43718856882942708</v>
      </c>
      <c r="T986">
        <v>3.9743999436032045</v>
      </c>
      <c r="U986">
        <v>0</v>
      </c>
      <c r="V986">
        <v>1.1304767209823832E-2</v>
      </c>
      <c r="W986">
        <v>0.17464100939040289</v>
      </c>
      <c r="X986">
        <v>2.4766682506517184E-2</v>
      </c>
      <c r="Y986">
        <v>9.5538916596495105E-3</v>
      </c>
    </row>
    <row r="987" spans="1:25" x14ac:dyDescent="0.25">
      <c r="A987" s="1093"/>
      <c r="B987" s="1452">
        <v>737</v>
      </c>
      <c r="C987" s="1097">
        <v>0.98274002605845023</v>
      </c>
      <c r="D987" s="1097">
        <v>0.98858023419049434</v>
      </c>
      <c r="E987" s="1097">
        <v>1.0341612010092716</v>
      </c>
      <c r="F987" s="1097">
        <v>0.9899880246220949</v>
      </c>
      <c r="G987" s="1097">
        <v>0.96213319306508882</v>
      </c>
      <c r="H987" s="1097">
        <v>0.9854555945031156</v>
      </c>
      <c r="I987" s="1097">
        <v>0.99123995972552292</v>
      </c>
      <c r="K987">
        <v>5.1413608841472351</v>
      </c>
      <c r="L987">
        <v>0</v>
      </c>
      <c r="M987">
        <v>3.3555117780457509E-3</v>
      </c>
      <c r="N987">
        <v>0.32205700004086352</v>
      </c>
      <c r="O987">
        <v>0.14921127882911184</v>
      </c>
      <c r="P987">
        <v>2.0627791687522195E-2</v>
      </c>
      <c r="Q987">
        <v>1.371747700900992E-3</v>
      </c>
      <c r="R987">
        <v>3.3498046060033248E-3</v>
      </c>
      <c r="S987">
        <v>0.46083334452477398</v>
      </c>
      <c r="T987">
        <v>3.9511177879433794</v>
      </c>
      <c r="U987">
        <v>0</v>
      </c>
      <c r="V987">
        <v>1.130476720982381E-2</v>
      </c>
      <c r="W987">
        <v>0.18750701880186979</v>
      </c>
      <c r="X987">
        <v>2.7869051018983456E-2</v>
      </c>
      <c r="Y987">
        <v>9.4668035620487211E-3</v>
      </c>
    </row>
    <row r="988" spans="1:25" x14ac:dyDescent="0.25">
      <c r="A988" s="1093"/>
      <c r="B988" s="1452">
        <v>738</v>
      </c>
      <c r="C988" s="1097">
        <v>0.98504989119119046</v>
      </c>
      <c r="D988" s="1097">
        <v>0.98197912112019414</v>
      </c>
      <c r="E988" s="1097">
        <v>1.0325202903335506</v>
      </c>
      <c r="F988" s="1097">
        <v>1.0083935941760627</v>
      </c>
      <c r="G988" s="1097">
        <v>0.97833240601187854</v>
      </c>
      <c r="H988" s="1097">
        <v>0.99153390679469322</v>
      </c>
      <c r="I988" s="1097">
        <v>1.0145715575257945</v>
      </c>
      <c r="K988">
        <v>5.2501728846884497</v>
      </c>
      <c r="L988">
        <v>0</v>
      </c>
      <c r="M988">
        <v>3.4519838687827441E-3</v>
      </c>
      <c r="N988">
        <v>0.32972687741388185</v>
      </c>
      <c r="O988">
        <v>0.15208298562419043</v>
      </c>
      <c r="P988">
        <v>2.1034296230437361E-2</v>
      </c>
      <c r="Q988">
        <v>1.3703154376227074E-3</v>
      </c>
      <c r="R988">
        <v>3.4462549377593053E-3</v>
      </c>
      <c r="S988">
        <v>0.47969623419114438</v>
      </c>
      <c r="T988">
        <v>4.0247802972220894</v>
      </c>
      <c r="U988">
        <v>0</v>
      </c>
      <c r="V988">
        <v>1.1304767209823811E-2</v>
      </c>
      <c r="W988">
        <v>0.19218082812904841</v>
      </c>
      <c r="X988">
        <v>2.8262632598007955E-2</v>
      </c>
      <c r="Y988">
        <v>9.7393795632256079E-3</v>
      </c>
    </row>
    <row r="989" spans="1:25" x14ac:dyDescent="0.25">
      <c r="A989" s="1093"/>
      <c r="B989" s="1452">
        <v>739</v>
      </c>
      <c r="C989" s="1097">
        <v>1.0002907333674189</v>
      </c>
      <c r="D989" s="1097">
        <v>0.96318881557738911</v>
      </c>
      <c r="E989" s="1097">
        <v>1.0035296098617923</v>
      </c>
      <c r="F989" s="1097">
        <v>0.99881092901091262</v>
      </c>
      <c r="G989" s="1097">
        <v>0.99706054264431498</v>
      </c>
      <c r="H989" s="1097">
        <v>0.9674866068785235</v>
      </c>
      <c r="I989" s="1097">
        <v>1.020110327843444</v>
      </c>
      <c r="K989">
        <v>5.1699368056234709</v>
      </c>
      <c r="L989">
        <v>0</v>
      </c>
      <c r="M989">
        <v>3.5199958353459701E-3</v>
      </c>
      <c r="N989">
        <v>0.30856543468679304</v>
      </c>
      <c r="O989">
        <v>0.15031156125259493</v>
      </c>
      <c r="P989">
        <v>2.0381882946057608E-2</v>
      </c>
      <c r="Q989">
        <v>1.3269087322990509E-3</v>
      </c>
      <c r="R989">
        <v>3.5139514863839535E-3</v>
      </c>
      <c r="S989">
        <v>0.46835134275617601</v>
      </c>
      <c r="T989">
        <v>3.9901378157030991</v>
      </c>
      <c r="U989">
        <v>0</v>
      </c>
      <c r="V989">
        <v>1.1304767209823817E-2</v>
      </c>
      <c r="W989">
        <v>0.18336209058093436</v>
      </c>
      <c r="X989">
        <v>2.6270350926628827E-2</v>
      </c>
      <c r="Y989">
        <v>9.930695178025856E-3</v>
      </c>
    </row>
    <row r="990" spans="1:25" x14ac:dyDescent="0.25">
      <c r="A990" s="1093"/>
      <c r="B990" s="1452">
        <v>740</v>
      </c>
      <c r="C990" s="1097">
        <v>1.0146446407512111</v>
      </c>
      <c r="D990" s="1097">
        <v>0.95710322916943402</v>
      </c>
      <c r="E990" s="1097">
        <v>1.0075855198009014</v>
      </c>
      <c r="F990" s="1097">
        <v>1.0211768410793718</v>
      </c>
      <c r="G990" s="1097">
        <v>0.97946689474119275</v>
      </c>
      <c r="H990" s="1097">
        <v>0.99223915158778064</v>
      </c>
      <c r="I990" s="1097">
        <v>0.9747956242060638</v>
      </c>
      <c r="K990">
        <v>5.2666878499690464</v>
      </c>
      <c r="L990">
        <v>0</v>
      </c>
      <c r="M990">
        <v>3.6167297950263307E-3</v>
      </c>
      <c r="N990">
        <v>0.32090223508482729</v>
      </c>
      <c r="O990">
        <v>0.1517723327132961</v>
      </c>
      <c r="P990">
        <v>2.0786793161970615E-2</v>
      </c>
      <c r="Q990">
        <v>1.3160084905530424E-3</v>
      </c>
      <c r="R990">
        <v>3.6108066798480653E-3</v>
      </c>
      <c r="S990">
        <v>0.4546294040761214</v>
      </c>
      <c r="T990">
        <v>4.0789684750537072</v>
      </c>
      <c r="U990">
        <v>0</v>
      </c>
      <c r="V990">
        <v>1.1304767209823825E-2</v>
      </c>
      <c r="W990">
        <v>0.19017304972058793</v>
      </c>
      <c r="X990">
        <v>2.6636292224031875E-2</v>
      </c>
      <c r="Y990">
        <v>1.0204415349299648E-2</v>
      </c>
    </row>
    <row r="991" spans="1:25" x14ac:dyDescent="0.25">
      <c r="A991" s="1093"/>
      <c r="B991" s="1452">
        <v>741</v>
      </c>
      <c r="C991" s="1097">
        <v>1.034498599946855</v>
      </c>
      <c r="D991" s="1097">
        <v>0.98556346839988629</v>
      </c>
      <c r="E991" s="1097">
        <v>0.97171521006785488</v>
      </c>
      <c r="F991" s="1097">
        <v>0.99042362253681171</v>
      </c>
      <c r="G991" s="1097">
        <v>0.98203977734648085</v>
      </c>
      <c r="H991" s="1097">
        <v>0.99268264041369525</v>
      </c>
      <c r="I991" s="1097">
        <v>0.98550999163372144</v>
      </c>
      <c r="K991">
        <v>5.0773454944553009</v>
      </c>
      <c r="L991">
        <v>0</v>
      </c>
      <c r="M991">
        <v>3.6685914423505734E-3</v>
      </c>
      <c r="N991">
        <v>0.29264490695764189</v>
      </c>
      <c r="O991">
        <v>0.14365544390473145</v>
      </c>
      <c r="P991">
        <v>1.9627520864474734E-2</v>
      </c>
      <c r="Q991">
        <v>1.2368375508480843E-3</v>
      </c>
      <c r="R991">
        <v>3.6623999199430239E-3</v>
      </c>
      <c r="S991">
        <v>0.43695437774263501</v>
      </c>
      <c r="T991">
        <v>3.9606105668351179</v>
      </c>
      <c r="U991">
        <v>0</v>
      </c>
      <c r="V991">
        <v>1.1304767209823829E-2</v>
      </c>
      <c r="W991">
        <v>0.17771365961136731</v>
      </c>
      <c r="X991">
        <v>2.3253383516299842E-2</v>
      </c>
      <c r="Y991">
        <v>1.0350221784765544E-2</v>
      </c>
    </row>
    <row r="992" spans="1:25" x14ac:dyDescent="0.25">
      <c r="A992" s="1093"/>
      <c r="B992" s="1452">
        <v>742</v>
      </c>
      <c r="C992" s="1097">
        <v>1.0157452338518844</v>
      </c>
      <c r="D992" s="1097">
        <v>0.98784363871129977</v>
      </c>
      <c r="E992" s="1097">
        <v>0.96545527480003235</v>
      </c>
      <c r="F992" s="1097">
        <v>0.98363317051394905</v>
      </c>
      <c r="G992" s="1097">
        <v>0.97611911608825053</v>
      </c>
      <c r="H992" s="1097">
        <v>1.0267594607548971</v>
      </c>
      <c r="I992" s="1097">
        <v>1.0040645768330603</v>
      </c>
      <c r="K992">
        <v>5.0919807791159943</v>
      </c>
      <c r="L992">
        <v>0</v>
      </c>
      <c r="M992">
        <v>3.8852180650105661E-3</v>
      </c>
      <c r="N992">
        <v>0.30423027642892647</v>
      </c>
      <c r="O992">
        <v>0.14533976053027717</v>
      </c>
      <c r="P992">
        <v>1.9504777067276664E-2</v>
      </c>
      <c r="Q992">
        <v>1.2516392236639321E-3</v>
      </c>
      <c r="R992">
        <v>3.8788348714320865E-3</v>
      </c>
      <c r="S992">
        <v>0.45683648043205688</v>
      </c>
      <c r="T992">
        <v>3.9342406422155118</v>
      </c>
      <c r="U992">
        <v>0</v>
      </c>
      <c r="V992">
        <v>1.1304767209823817E-2</v>
      </c>
      <c r="W992">
        <v>0.18554937091998885</v>
      </c>
      <c r="X992">
        <v>2.2767564800346675E-2</v>
      </c>
      <c r="Y992">
        <v>1.0961883481700491E-2</v>
      </c>
    </row>
    <row r="993" spans="1:25" x14ac:dyDescent="0.25">
      <c r="A993" s="1093"/>
      <c r="B993" s="1452">
        <v>743</v>
      </c>
      <c r="C993" s="1097">
        <v>1.02275082600026</v>
      </c>
      <c r="D993" s="1097">
        <v>0.99675528598684227</v>
      </c>
      <c r="E993" s="1097">
        <v>0.97884675413393485</v>
      </c>
      <c r="F993" s="1097">
        <v>1.0058908504454125</v>
      </c>
      <c r="G993" s="1097">
        <v>0.99204186756845791</v>
      </c>
      <c r="H993" s="1097">
        <v>1.0031697739664469</v>
      </c>
      <c r="I993" s="1097">
        <v>0.97639493037940284</v>
      </c>
      <c r="K993">
        <v>5.1681654236590173</v>
      </c>
      <c r="L993">
        <v>0</v>
      </c>
      <c r="M993">
        <v>3.7349381227616777E-3</v>
      </c>
      <c r="N993">
        <v>0.3043249470058017</v>
      </c>
      <c r="O993">
        <v>0.146714334711008</v>
      </c>
      <c r="P993">
        <v>2.0041090040845377E-2</v>
      </c>
      <c r="Q993">
        <v>1.2531634750490707E-3</v>
      </c>
      <c r="R993">
        <v>3.7287962782001794E-3</v>
      </c>
      <c r="S993">
        <v>0.44450001303267395</v>
      </c>
      <c r="T993">
        <v>4.0215514614790733</v>
      </c>
      <c r="U993">
        <v>0</v>
      </c>
      <c r="V993">
        <v>1.130476720982381E-2</v>
      </c>
      <c r="W993">
        <v>0.18390289478821914</v>
      </c>
      <c r="X993">
        <v>2.4041030798759903E-2</v>
      </c>
      <c r="Y993">
        <v>1.0537862962322415E-2</v>
      </c>
    </row>
    <row r="994" spans="1:25" x14ac:dyDescent="0.25">
      <c r="A994" s="1093"/>
      <c r="B994" s="1452">
        <v>744</v>
      </c>
      <c r="C994" s="1097">
        <v>0.9823548136785063</v>
      </c>
      <c r="D994" s="1097">
        <v>1.0003301041548844</v>
      </c>
      <c r="E994" s="1097">
        <v>1.0000686604383984</v>
      </c>
      <c r="F994" s="1097">
        <v>1.0219441053549132</v>
      </c>
      <c r="G994" s="1097">
        <v>0.98252710471296933</v>
      </c>
      <c r="H994" s="1097">
        <v>1.0237728943393583</v>
      </c>
      <c r="I994" s="1097">
        <v>0.97473615620353538</v>
      </c>
      <c r="K994">
        <v>5.3127415180315651</v>
      </c>
      <c r="L994">
        <v>0</v>
      </c>
      <c r="M994">
        <v>3.8501680868703843E-3</v>
      </c>
      <c r="N994">
        <v>0.33410954751132266</v>
      </c>
      <c r="O994">
        <v>0.15434884898273366</v>
      </c>
      <c r="P994">
        <v>2.0767280552773604E-2</v>
      </c>
      <c r="Q994">
        <v>1.326903842047577E-3</v>
      </c>
      <c r="R994">
        <v>3.8440614670892485E-3</v>
      </c>
      <c r="S994">
        <v>0.47176230283684928</v>
      </c>
      <c r="T994">
        <v>4.0829959568347478</v>
      </c>
      <c r="U994">
        <v>0</v>
      </c>
      <c r="V994">
        <v>1.1304767209823817E-2</v>
      </c>
      <c r="W994">
        <v>0.19900583542851347</v>
      </c>
      <c r="X994">
        <v>2.6262570266332129E-2</v>
      </c>
      <c r="Y994">
        <v>1.0863611186203799E-2</v>
      </c>
    </row>
    <row r="995" spans="1:25" x14ac:dyDescent="0.25">
      <c r="A995" s="1093"/>
      <c r="B995" s="1452">
        <v>745</v>
      </c>
      <c r="C995" s="1097">
        <v>0.97309611651036976</v>
      </c>
      <c r="D995" s="1097">
        <v>1.0056386166995099</v>
      </c>
      <c r="E995" s="1097">
        <v>0.99858210845754991</v>
      </c>
      <c r="F995" s="1097">
        <v>1.0111372145912876</v>
      </c>
      <c r="G995" s="1097">
        <v>0.97157868719120677</v>
      </c>
      <c r="H995" s="1097">
        <v>1.0395431125463899</v>
      </c>
      <c r="I995" s="1097">
        <v>0.99506735113289635</v>
      </c>
      <c r="K995">
        <v>5.2875870096086732</v>
      </c>
      <c r="L995">
        <v>0</v>
      </c>
      <c r="M995">
        <v>3.9089643037024712E-3</v>
      </c>
      <c r="N995">
        <v>0.33772338121335876</v>
      </c>
      <c r="O995">
        <v>0.15388653734841537</v>
      </c>
      <c r="P995">
        <v>2.0606398486244723E-2</v>
      </c>
      <c r="Q995">
        <v>1.334993375168811E-3</v>
      </c>
      <c r="R995">
        <v>3.9027933323889973E-3</v>
      </c>
      <c r="S995">
        <v>0.48439979923497756</v>
      </c>
      <c r="T995">
        <v>4.0400077260185743</v>
      </c>
      <c r="U995">
        <v>0</v>
      </c>
      <c r="V995">
        <v>1.1304767209823825E-2</v>
      </c>
      <c r="W995">
        <v>0.20136064745318707</v>
      </c>
      <c r="X995">
        <v>2.5939338318723075E-2</v>
      </c>
      <c r="Y995">
        <v>1.1029591921506687E-2</v>
      </c>
    </row>
    <row r="996" spans="1:25" x14ac:dyDescent="0.25">
      <c r="A996" s="1093"/>
      <c r="B996" s="1452">
        <v>746</v>
      </c>
      <c r="C996" s="1097">
        <v>1.0164570532715969</v>
      </c>
      <c r="D996" s="1097">
        <v>0.98029172968219558</v>
      </c>
      <c r="E996" s="1097">
        <v>1.0295078730776475</v>
      </c>
      <c r="F996" s="1097">
        <v>1.0190398749291203</v>
      </c>
      <c r="G996" s="1097">
        <v>1.0053857733575231</v>
      </c>
      <c r="H996" s="1097">
        <v>1.0175339918204744</v>
      </c>
      <c r="I996" s="1097">
        <v>1.012136140138693</v>
      </c>
      <c r="K996">
        <v>5.284929920941174</v>
      </c>
      <c r="L996">
        <v>0</v>
      </c>
      <c r="M996">
        <v>3.4938141911183542E-3</v>
      </c>
      <c r="N996">
        <v>0.3307833888589069</v>
      </c>
      <c r="O996">
        <v>0.14912710977455931</v>
      </c>
      <c r="P996">
        <v>2.1156490103930774E-2</v>
      </c>
      <c r="Q996">
        <v>1.3255286482448901E-3</v>
      </c>
      <c r="R996">
        <v>3.4882229316016626E-3</v>
      </c>
      <c r="S996">
        <v>0.47299632151754983</v>
      </c>
      <c r="T996">
        <v>4.0676523453700444</v>
      </c>
      <c r="U996">
        <v>0</v>
      </c>
      <c r="V996">
        <v>1.1304767209823804E-2</v>
      </c>
      <c r="W996">
        <v>0.19318139214436159</v>
      </c>
      <c r="X996">
        <v>2.7550184255339342E-2</v>
      </c>
      <c r="Y996">
        <v>9.8579843179288605E-3</v>
      </c>
    </row>
    <row r="997" spans="1:25" x14ac:dyDescent="0.25">
      <c r="A997" s="1093"/>
      <c r="B997" s="1452">
        <v>747</v>
      </c>
      <c r="C997" s="1097">
        <v>1.0116343927185381</v>
      </c>
      <c r="D997" s="1097">
        <v>1.0002081013096176</v>
      </c>
      <c r="E997" s="1097">
        <v>0.99469692396017828</v>
      </c>
      <c r="F997" s="1097">
        <v>1.0091282649669289</v>
      </c>
      <c r="G997" s="1097">
        <v>1.0341151282406764</v>
      </c>
      <c r="H997" s="1097">
        <v>1.0174374990257145</v>
      </c>
      <c r="I997" s="1097">
        <v>0.99461924003869329</v>
      </c>
      <c r="K997">
        <v>5.2169579188050985</v>
      </c>
      <c r="L997">
        <v>0</v>
      </c>
      <c r="M997">
        <v>3.7109827343962684E-3</v>
      </c>
      <c r="N997">
        <v>0.3169358371444293</v>
      </c>
      <c r="O997">
        <v>0.14815829400769601</v>
      </c>
      <c r="P997">
        <v>2.04080346106498E-2</v>
      </c>
      <c r="Q997">
        <v>1.2826339056674289E-3</v>
      </c>
      <c r="R997">
        <v>3.7049851298459587E-3</v>
      </c>
      <c r="S997">
        <v>0.46134844079196557</v>
      </c>
      <c r="T997">
        <v>4.0324739769464948</v>
      </c>
      <c r="U997">
        <v>0</v>
      </c>
      <c r="V997">
        <v>1.1304767209823832E-2</v>
      </c>
      <c r="W997">
        <v>0.1894644949971348</v>
      </c>
      <c r="X997">
        <v>2.511686595660231E-2</v>
      </c>
      <c r="Y997">
        <v>1.0470570839178212E-2</v>
      </c>
    </row>
    <row r="998" spans="1:25" x14ac:dyDescent="0.25">
      <c r="A998" s="1093"/>
      <c r="B998" s="1452">
        <v>748</v>
      </c>
      <c r="C998" s="1097">
        <v>0.98939410919611082</v>
      </c>
      <c r="D998" s="1097">
        <v>1.0251084718513348</v>
      </c>
      <c r="E998" s="1097">
        <v>0.9536572043057876</v>
      </c>
      <c r="F998" s="1097">
        <v>1.0125690654911577</v>
      </c>
      <c r="G998" s="1097">
        <v>1.0115820421608468</v>
      </c>
      <c r="H998" s="1097">
        <v>0.96775728648304116</v>
      </c>
      <c r="I998" s="1097">
        <v>0.99461299093587519</v>
      </c>
      <c r="K998">
        <v>5.2086976963075049</v>
      </c>
      <c r="L998">
        <v>0</v>
      </c>
      <c r="M998">
        <v>3.9082976486786497E-3</v>
      </c>
      <c r="N998">
        <v>0.29547814553027801</v>
      </c>
      <c r="O998">
        <v>0.1516740883706042</v>
      </c>
      <c r="P998">
        <v>1.9862508369294356E-2</v>
      </c>
      <c r="Q998">
        <v>1.2530134935118706E-3</v>
      </c>
      <c r="R998">
        <v>3.901679417136338E-3</v>
      </c>
      <c r="S998">
        <v>0.46142185229436578</v>
      </c>
      <c r="T998">
        <v>4.0515038617234369</v>
      </c>
      <c r="U998">
        <v>0</v>
      </c>
      <c r="V998">
        <v>1.1304767209823822E-2</v>
      </c>
      <c r="W998">
        <v>0.18169473375991577</v>
      </c>
      <c r="X998">
        <v>2.3484899875854608E-2</v>
      </c>
      <c r="Y998">
        <v>1.1026443911959267E-2</v>
      </c>
    </row>
    <row r="999" spans="1:25" x14ac:dyDescent="0.25">
      <c r="A999" s="1093"/>
      <c r="B999" s="1452">
        <v>749</v>
      </c>
      <c r="C999" s="1097">
        <v>1.0229165392062645</v>
      </c>
      <c r="D999" s="1097">
        <v>1.0394188354420528</v>
      </c>
      <c r="E999" s="1097">
        <v>1.0343844159391531</v>
      </c>
      <c r="F999" s="1097">
        <v>0.97836387392569735</v>
      </c>
      <c r="G999" s="1097">
        <v>1.0104698609480223</v>
      </c>
      <c r="H999" s="1097">
        <v>0.99940213891811525</v>
      </c>
      <c r="I999" s="1097">
        <v>1.00782010061253</v>
      </c>
      <c r="K999">
        <v>5.0365134408686227</v>
      </c>
      <c r="L999">
        <v>0</v>
      </c>
      <c r="M999">
        <v>3.1653582403389025E-3</v>
      </c>
      <c r="N999">
        <v>0.30400800622443386</v>
      </c>
      <c r="O999">
        <v>0.13884837225613797</v>
      </c>
      <c r="P999">
        <v>2.0335434894071587E-2</v>
      </c>
      <c r="Q999">
        <v>1.2919405116524972E-3</v>
      </c>
      <c r="R999">
        <v>3.1599866518435861E-3</v>
      </c>
      <c r="S999">
        <v>0.44386183869238954</v>
      </c>
      <c r="T999">
        <v>3.9046979404202644</v>
      </c>
      <c r="U999">
        <v>0</v>
      </c>
      <c r="V999">
        <v>1.130476720982381E-2</v>
      </c>
      <c r="W999">
        <v>0.1769725002773079</v>
      </c>
      <c r="X999">
        <v>2.6267648439358839E-2</v>
      </c>
      <c r="Y999">
        <v>8.9303635316780559E-3</v>
      </c>
    </row>
    <row r="1000" spans="1:25" x14ac:dyDescent="0.25">
      <c r="A1000" s="1093"/>
      <c r="B1000" s="1452">
        <v>750</v>
      </c>
      <c r="C1000" s="1097">
        <v>1.027319326533495</v>
      </c>
      <c r="D1000" s="1097">
        <v>1.0042191638623859</v>
      </c>
      <c r="E1000" s="1097">
        <v>1.0117030243198009</v>
      </c>
      <c r="F1000" s="1097">
        <v>1.0160555438345873</v>
      </c>
      <c r="G1000" s="1097">
        <v>0.95761607361873413</v>
      </c>
      <c r="H1000" s="1097">
        <v>1.0046598217092226</v>
      </c>
      <c r="I1000" s="1097">
        <v>0.99840907459856454</v>
      </c>
      <c r="K1000">
        <v>5.229498100549292</v>
      </c>
      <c r="L1000">
        <v>0</v>
      </c>
      <c r="M1000">
        <v>3.4996770948043389E-3</v>
      </c>
      <c r="N1000">
        <v>0.31432906170585406</v>
      </c>
      <c r="O1000">
        <v>0.14619537437474983</v>
      </c>
      <c r="P1000">
        <v>2.0759957196429573E-2</v>
      </c>
      <c r="Q1000">
        <v>1.2795064916739643E-3</v>
      </c>
      <c r="R1000">
        <v>3.4939880498685932E-3</v>
      </c>
      <c r="S1000">
        <v>0.45594612576511484</v>
      </c>
      <c r="T1000">
        <v>4.0579891886003656</v>
      </c>
      <c r="U1000">
        <v>0</v>
      </c>
      <c r="V1000">
        <v>1.1304767209823824E-2</v>
      </c>
      <c r="W1000">
        <v>0.18576334968055616</v>
      </c>
      <c r="X1000">
        <v>2.6062181587356053E-2</v>
      </c>
      <c r="Y1000">
        <v>9.8742769822971702E-3</v>
      </c>
    </row>
    <row r="1001" spans="1:25" x14ac:dyDescent="0.25">
      <c r="A1001" s="1093"/>
      <c r="B1001" s="1452">
        <v>751</v>
      </c>
      <c r="C1001" s="1097">
        <v>1.0103281358660952</v>
      </c>
      <c r="D1001" s="1097">
        <v>1.0233153124097796</v>
      </c>
      <c r="E1001" s="1097">
        <v>0.96961197068351757</v>
      </c>
      <c r="F1001" s="1097">
        <v>0.98328612552132422</v>
      </c>
      <c r="G1001" s="1097">
        <v>1.0092770925535637</v>
      </c>
      <c r="H1001" s="1097">
        <v>0.97662821715509807</v>
      </c>
      <c r="I1001" s="1097">
        <v>1.0180941589642785</v>
      </c>
      <c r="K1001">
        <v>5.0577094300821486</v>
      </c>
      <c r="L1001">
        <v>0</v>
      </c>
      <c r="M1001">
        <v>3.6302339378824645E-3</v>
      </c>
      <c r="N1001">
        <v>0.28777059669313465</v>
      </c>
      <c r="O1001">
        <v>0.14390927226987171</v>
      </c>
      <c r="P1001">
        <v>1.9541949705296904E-2</v>
      </c>
      <c r="Q1001">
        <v>1.2452385108384181E-3</v>
      </c>
      <c r="R1001">
        <v>3.623961307899774E-3</v>
      </c>
      <c r="S1001">
        <v>0.45308055342011849</v>
      </c>
      <c r="T1001">
        <v>3.932331609544419</v>
      </c>
      <c r="U1001">
        <v>0</v>
      </c>
      <c r="V1001">
        <v>1.1304767209823808E-2</v>
      </c>
      <c r="W1001">
        <v>0.17500726413203835</v>
      </c>
      <c r="X1001">
        <v>2.3282859894108048E-2</v>
      </c>
      <c r="Y1001">
        <v>1.024159133248212E-2</v>
      </c>
    </row>
    <row r="1002" spans="1:25" x14ac:dyDescent="0.25">
      <c r="A1002" s="1093"/>
      <c r="B1002" s="1452">
        <v>752</v>
      </c>
      <c r="C1002" s="1097">
        <v>0.97788585701451525</v>
      </c>
      <c r="D1002" s="1097">
        <v>0.98750461218841334</v>
      </c>
      <c r="E1002" s="1097">
        <v>0.97114042852879701</v>
      </c>
      <c r="F1002" s="1097">
        <v>1.0159759223283329</v>
      </c>
      <c r="G1002" s="1097">
        <v>1.0084625309676654</v>
      </c>
      <c r="H1002" s="1097">
        <v>1.0201861652647577</v>
      </c>
      <c r="I1002" s="1097">
        <v>0.95863536418271322</v>
      </c>
      <c r="K1002">
        <v>5.2758459152006756</v>
      </c>
      <c r="L1002">
        <v>0</v>
      </c>
      <c r="M1002">
        <v>4.0929433083592591E-3</v>
      </c>
      <c r="N1002">
        <v>0.32596718688969145</v>
      </c>
      <c r="O1002">
        <v>0.15578691557719682</v>
      </c>
      <c r="P1002">
        <v>2.019566565584862E-2</v>
      </c>
      <c r="Q1002">
        <v>1.3067566466077717E-3</v>
      </c>
      <c r="R1002">
        <v>4.0863906020812352E-3</v>
      </c>
      <c r="S1002">
        <v>0.46431006616951692</v>
      </c>
      <c r="T1002">
        <v>4.0628661005056435</v>
      </c>
      <c r="U1002">
        <v>0</v>
      </c>
      <c r="V1002">
        <v>1.1304767209823822E-2</v>
      </c>
      <c r="W1002">
        <v>0.19802761358317639</v>
      </c>
      <c r="X1002">
        <v>2.4538943846800013E-2</v>
      </c>
      <c r="Y1002">
        <v>1.1548451822645399E-2</v>
      </c>
    </row>
    <row r="1003" spans="1:25" x14ac:dyDescent="0.25">
      <c r="A1003" s="1093"/>
      <c r="B1003" s="1452">
        <v>753</v>
      </c>
      <c r="C1003" s="1097">
        <v>0.9700523485526914</v>
      </c>
      <c r="D1003" s="1097">
        <v>1.0091778136344034</v>
      </c>
      <c r="E1003" s="1097">
        <v>1.0332228729819357</v>
      </c>
      <c r="F1003" s="1097">
        <v>0.99113414496552388</v>
      </c>
      <c r="G1003" s="1097">
        <v>1.0302191467767312</v>
      </c>
      <c r="H1003" s="1097">
        <v>0.97462071544600704</v>
      </c>
      <c r="I1003" s="1097">
        <v>1.0024606891792252</v>
      </c>
      <c r="K1003">
        <v>5.15200772940796</v>
      </c>
      <c r="L1003">
        <v>0</v>
      </c>
      <c r="M1003">
        <v>3.344896873554287E-3</v>
      </c>
      <c r="N1003">
        <v>0.32014366537703021</v>
      </c>
      <c r="O1003">
        <v>0.15012128130052746</v>
      </c>
      <c r="P1003">
        <v>2.0671947403933268E-2</v>
      </c>
      <c r="Q1003">
        <v>1.377188980689601E-3</v>
      </c>
      <c r="R1003">
        <v>3.3391511504099153E-3</v>
      </c>
      <c r="S1003">
        <v>0.46862147673549259</v>
      </c>
      <c r="T1003">
        <v>3.9558069472374342</v>
      </c>
      <c r="U1003">
        <v>0</v>
      </c>
      <c r="V1003">
        <v>1.1304767209823822E-2</v>
      </c>
      <c r="W1003">
        <v>0.18650862736187698</v>
      </c>
      <c r="X1003">
        <v>2.802087744110392E-2</v>
      </c>
      <c r="Y1003">
        <v>9.4366960831888912E-3</v>
      </c>
    </row>
    <row r="1004" spans="1:25" x14ac:dyDescent="0.25">
      <c r="A1004" s="1093"/>
      <c r="B1004" s="1452">
        <v>754</v>
      </c>
      <c r="C1004" s="1097">
        <v>1.0166988515190805</v>
      </c>
      <c r="D1004" s="1097">
        <v>0.96537522935275322</v>
      </c>
      <c r="E1004" s="1097">
        <v>0.98281044522702488</v>
      </c>
      <c r="F1004" s="1097">
        <v>1.0290052456948673</v>
      </c>
      <c r="G1004" s="1097">
        <v>0.98075512841905799</v>
      </c>
      <c r="H1004" s="1097">
        <v>0.98796027880067427</v>
      </c>
      <c r="I1004" s="1097">
        <v>1.0254262285855891</v>
      </c>
      <c r="K1004">
        <v>5.3165958694567736</v>
      </c>
      <c r="L1004">
        <v>0</v>
      </c>
      <c r="M1004">
        <v>3.8020627343622456E-3</v>
      </c>
      <c r="N1004">
        <v>0.3134631002480544</v>
      </c>
      <c r="O1004">
        <v>0.15281013471474139</v>
      </c>
      <c r="P1004">
        <v>2.0667462975629044E-2</v>
      </c>
      <c r="Q1004">
        <v>1.2812551894850861E-3</v>
      </c>
      <c r="R1004">
        <v>3.7958566309923098E-3</v>
      </c>
      <c r="S1004">
        <v>0.47867237322730827</v>
      </c>
      <c r="T1004">
        <v>4.1134461189831377</v>
      </c>
      <c r="U1004">
        <v>0</v>
      </c>
      <c r="V1004">
        <v>1.1304767209823825E-2</v>
      </c>
      <c r="W1004">
        <v>0.18891163571387082</v>
      </c>
      <c r="X1004">
        <v>2.5317846658959402E-2</v>
      </c>
      <c r="Y1004">
        <v>1.0727380639128715E-2</v>
      </c>
    </row>
    <row r="1005" spans="1:25" x14ac:dyDescent="0.25">
      <c r="A1005" s="1093"/>
      <c r="B1005" s="1452">
        <v>755</v>
      </c>
      <c r="C1005" s="1097">
        <v>0.98350553625475845</v>
      </c>
      <c r="D1005" s="1097">
        <v>0.97840389128204153</v>
      </c>
      <c r="E1005" s="1097">
        <v>1.0124700505439128</v>
      </c>
      <c r="F1005" s="1097">
        <v>1.0269154745177238</v>
      </c>
      <c r="G1005" s="1097">
        <v>0.98254398194255865</v>
      </c>
      <c r="H1005" s="1097">
        <v>0.99248062029845396</v>
      </c>
      <c r="I1005" s="1097">
        <v>0.96075499979726264</v>
      </c>
      <c r="K1005">
        <v>5.3184877252350633</v>
      </c>
      <c r="L1005">
        <v>0</v>
      </c>
      <c r="M1005">
        <v>3.6820585210265112E-3</v>
      </c>
      <c r="N1005">
        <v>0.33146086024591764</v>
      </c>
      <c r="O1005">
        <v>0.15593407360683251</v>
      </c>
      <c r="P1005">
        <v>2.1000282681159377E-2</v>
      </c>
      <c r="Q1005">
        <v>1.3513834067301483E-3</v>
      </c>
      <c r="R1005">
        <v>3.6760635190970434E-3</v>
      </c>
      <c r="S1005">
        <v>0.46246785725188838</v>
      </c>
      <c r="T1005">
        <v>4.1012639600227647</v>
      </c>
      <c r="U1005">
        <v>0</v>
      </c>
      <c r="V1005">
        <v>1.1304767209823817E-2</v>
      </c>
      <c r="W1005">
        <v>0.19578726637795837</v>
      </c>
      <c r="X1005">
        <v>2.7534433274774148E-2</v>
      </c>
      <c r="Y1005">
        <v>1.0388836159141247E-2</v>
      </c>
    </row>
    <row r="1006" spans="1:25" x14ac:dyDescent="0.25">
      <c r="A1006" s="1093"/>
      <c r="B1006" s="1452">
        <v>756</v>
      </c>
      <c r="C1006" s="1097">
        <v>1.0218803532719134</v>
      </c>
      <c r="D1006" s="1097">
        <v>1.0333099372628318</v>
      </c>
      <c r="E1006" s="1097">
        <v>1.0257301303280246</v>
      </c>
      <c r="F1006" s="1097">
        <v>0.99945385818089161</v>
      </c>
      <c r="G1006" s="1097">
        <v>0.98343834599606939</v>
      </c>
      <c r="H1006" s="1097">
        <v>0.97962976363080534</v>
      </c>
      <c r="I1006" s="1097">
        <v>1.0397025595204428</v>
      </c>
      <c r="K1006">
        <v>5.1456442197483883</v>
      </c>
      <c r="L1006">
        <v>0</v>
      </c>
      <c r="M1006">
        <v>3.2389687779490021E-3</v>
      </c>
      <c r="N1006">
        <v>0.30322031719979553</v>
      </c>
      <c r="O1006">
        <v>0.14255304244617495</v>
      </c>
      <c r="P1006">
        <v>2.0694025469831685E-2</v>
      </c>
      <c r="Q1006">
        <v>1.2869045380947931E-3</v>
      </c>
      <c r="R1006">
        <v>3.2334794632045785E-3</v>
      </c>
      <c r="S1006">
        <v>0.46346068511529293</v>
      </c>
      <c r="T1006">
        <v>3.9899396496673409</v>
      </c>
      <c r="U1006">
        <v>0</v>
      </c>
      <c r="V1006">
        <v>1.1304767209823808E-2</v>
      </c>
      <c r="W1006">
        <v>0.17752857062281627</v>
      </c>
      <c r="X1006">
        <v>2.6523686966470193E-2</v>
      </c>
      <c r="Y1006">
        <v>9.1380598274949411E-3</v>
      </c>
    </row>
    <row r="1007" spans="1:25" x14ac:dyDescent="0.25">
      <c r="A1007" s="1093"/>
      <c r="B1007" s="1452">
        <v>757</v>
      </c>
      <c r="C1007" s="1097">
        <v>1.0266409744515759</v>
      </c>
      <c r="D1007" s="1097">
        <v>1.0130865975333738</v>
      </c>
      <c r="E1007" s="1097">
        <v>1.0003086159192001</v>
      </c>
      <c r="F1007" s="1097">
        <v>1.0231894498259417</v>
      </c>
      <c r="G1007" s="1097">
        <v>0.99543459684988511</v>
      </c>
      <c r="H1007" s="1097">
        <v>0.99796789656321927</v>
      </c>
      <c r="I1007" s="1097">
        <v>0.96432159456440925</v>
      </c>
      <c r="K1007">
        <v>5.2406204774899585</v>
      </c>
      <c r="L1007">
        <v>0</v>
      </c>
      <c r="M1007">
        <v>3.5756064271482389E-3</v>
      </c>
      <c r="N1007">
        <v>0.31049220086993418</v>
      </c>
      <c r="O1007">
        <v>0.14711645413963279</v>
      </c>
      <c r="P1007">
        <v>2.0654959083301699E-2</v>
      </c>
      <c r="Q1007">
        <v>1.2635058145898971E-3</v>
      </c>
      <c r="R1007">
        <v>3.5697957077536688E-3</v>
      </c>
      <c r="S1007">
        <v>0.44131863232576901</v>
      </c>
      <c r="T1007">
        <v>4.087940686200775</v>
      </c>
      <c r="U1007">
        <v>0</v>
      </c>
      <c r="V1007">
        <v>1.1304767209823815E-2</v>
      </c>
      <c r="W1007">
        <v>0.18490863651389813</v>
      </c>
      <c r="X1007">
        <v>2.5537930840507515E-2</v>
      </c>
      <c r="Y1007">
        <v>1.0088515211121279E-2</v>
      </c>
    </row>
    <row r="1008" spans="1:25" x14ac:dyDescent="0.25">
      <c r="A1008" s="1093"/>
      <c r="B1008" s="1452">
        <v>758</v>
      </c>
      <c r="C1008" s="1097">
        <v>0.95916164079392496</v>
      </c>
      <c r="D1008" s="1097">
        <v>0.99922889919531255</v>
      </c>
      <c r="E1008" s="1097">
        <v>0.97624551484373778</v>
      </c>
      <c r="F1008" s="1097">
        <v>1.0301042207269149</v>
      </c>
      <c r="G1008" s="1097">
        <v>0.96960101414108346</v>
      </c>
      <c r="H1008" s="1097">
        <v>1.0042094033272899</v>
      </c>
      <c r="I1008" s="1097">
        <v>1.040155260731934</v>
      </c>
      <c r="K1008">
        <v>5.3968331396096536</v>
      </c>
      <c r="L1008">
        <v>0</v>
      </c>
      <c r="M1008">
        <v>4.1007649621072296E-3</v>
      </c>
      <c r="N1008">
        <v>0.33157645579768991</v>
      </c>
      <c r="O1008">
        <v>0.16012576330788611</v>
      </c>
      <c r="P1008">
        <v>2.0750823742651747E-2</v>
      </c>
      <c r="Q1008">
        <v>1.3319043401634587E-3</v>
      </c>
      <c r="R1008">
        <v>4.0941866121396121E-3</v>
      </c>
      <c r="S1008">
        <v>0.51508187898337909</v>
      </c>
      <c r="T1008">
        <v>4.1186964771673642</v>
      </c>
      <c r="U1008">
        <v>0</v>
      </c>
      <c r="V1008">
        <v>1.1304767209823818E-2</v>
      </c>
      <c r="W1008">
        <v>0.20072893863840369</v>
      </c>
      <c r="X1008">
        <v>2.5672224829989938E-2</v>
      </c>
      <c r="Y1008">
        <v>1.1570483942267586E-2</v>
      </c>
    </row>
    <row r="1009" spans="1:25" x14ac:dyDescent="0.25">
      <c r="A1009" s="1093"/>
      <c r="B1009" s="1452">
        <v>759</v>
      </c>
      <c r="C1009" s="1097">
        <v>1.0057428286398693</v>
      </c>
      <c r="D1009" s="1097">
        <v>0.99543342262934731</v>
      </c>
      <c r="E1009" s="1097">
        <v>0.99197166378732282</v>
      </c>
      <c r="F1009" s="1097">
        <v>1.0020696784001719</v>
      </c>
      <c r="G1009" s="1097">
        <v>1.0326362280439703</v>
      </c>
      <c r="H1009" s="1097">
        <v>0.9845691841844354</v>
      </c>
      <c r="I1009" s="1097">
        <v>1.0028833016258103</v>
      </c>
      <c r="K1009">
        <v>5.1701566727511787</v>
      </c>
      <c r="L1009">
        <v>0</v>
      </c>
      <c r="M1009">
        <v>3.6144468263495403E-3</v>
      </c>
      <c r="N1009">
        <v>0.30618723642419959</v>
      </c>
      <c r="O1009">
        <v>0.14834302196062635</v>
      </c>
      <c r="P1009">
        <v>2.0231746371001426E-2</v>
      </c>
      <c r="Q1009">
        <v>1.2895908703871078E-3</v>
      </c>
      <c r="R1009">
        <v>3.6083677772071536E-3</v>
      </c>
      <c r="S1009">
        <v>0.4594329063896852</v>
      </c>
      <c r="T1009">
        <v>4.004611829699015</v>
      </c>
      <c r="U1009">
        <v>0</v>
      </c>
      <c r="V1009">
        <v>1.1304767209823818E-2</v>
      </c>
      <c r="W1009">
        <v>0.18337796167020401</v>
      </c>
      <c r="X1009">
        <v>2.5186168381143209E-2</v>
      </c>
      <c r="Y1009">
        <v>1.0197522824235023E-2</v>
      </c>
    </row>
    <row r="1010" spans="1:25" x14ac:dyDescent="0.25">
      <c r="A1010" s="1093"/>
      <c r="B1010" s="1452">
        <v>760</v>
      </c>
      <c r="C1010" s="1097">
        <v>0.98832409645737496</v>
      </c>
      <c r="D1010" s="1097">
        <v>1.0034590021887613</v>
      </c>
      <c r="E1010" s="1097">
        <v>1.0005223307905573</v>
      </c>
      <c r="F1010" s="1097">
        <v>1.0062372482512572</v>
      </c>
      <c r="G1010" s="1097">
        <v>1.0250311978685733</v>
      </c>
      <c r="H1010" s="1097">
        <v>0.99065874569322665</v>
      </c>
      <c r="I1010" s="1097">
        <v>0.98926086406526392</v>
      </c>
      <c r="K1010">
        <v>5.2079485938790668</v>
      </c>
      <c r="L1010">
        <v>0</v>
      </c>
      <c r="M1010">
        <v>3.6382783953323771E-3</v>
      </c>
      <c r="N1010">
        <v>0.31612199921866674</v>
      </c>
      <c r="O1010">
        <v>0.1508572398865316</v>
      </c>
      <c r="P1010">
        <v>2.044961429235749E-2</v>
      </c>
      <c r="Q1010">
        <v>1.3177552445271593E-3</v>
      </c>
      <c r="R1010">
        <v>3.6322220251528113E-3</v>
      </c>
      <c r="S1010">
        <v>0.46320903664075735</v>
      </c>
      <c r="T1010">
        <v>4.0201846951975995</v>
      </c>
      <c r="U1010">
        <v>0</v>
      </c>
      <c r="V1010">
        <v>1.130476720982381E-2</v>
      </c>
      <c r="W1010">
        <v>0.1882341887060012</v>
      </c>
      <c r="X1010">
        <v>2.6010417102867191E-2</v>
      </c>
      <c r="Y1010">
        <v>1.0264936750115125E-2</v>
      </c>
    </row>
    <row r="1011" spans="1:25" x14ac:dyDescent="0.25">
      <c r="A1011" s="1093"/>
      <c r="B1011" s="1452">
        <v>761</v>
      </c>
      <c r="C1011" s="1097">
        <v>0.99756499191444514</v>
      </c>
      <c r="D1011" s="1097">
        <v>0.99390433197150918</v>
      </c>
      <c r="E1011" s="1097">
        <v>1.0290157796423252</v>
      </c>
      <c r="F1011" s="1097">
        <v>0.9969115502460506</v>
      </c>
      <c r="G1011" s="1097">
        <v>1.0110408096629384</v>
      </c>
      <c r="H1011" s="1097">
        <v>0.99171575317169025</v>
      </c>
      <c r="I1011" s="1097">
        <v>0.9560094664080061</v>
      </c>
      <c r="K1011">
        <v>5.1444559073061793</v>
      </c>
      <c r="L1011">
        <v>0</v>
      </c>
      <c r="M1011">
        <v>3.3792742463897708E-3</v>
      </c>
      <c r="N1011">
        <v>0.31944898950529754</v>
      </c>
      <c r="O1011">
        <v>0.14784767773238172</v>
      </c>
      <c r="P1011">
        <v>2.0590430655307936E-2</v>
      </c>
      <c r="Q1011">
        <v>1.3426458206687404E-3</v>
      </c>
      <c r="R1011">
        <v>3.3736025385455982E-3</v>
      </c>
      <c r="S1011">
        <v>0.44106293829189225</v>
      </c>
      <c r="T1011">
        <v>3.9793845198651225</v>
      </c>
      <c r="U1011">
        <v>0</v>
      </c>
      <c r="V1011">
        <v>1.1304767209823827E-2</v>
      </c>
      <c r="W1011">
        <v>0.18662281332798142</v>
      </c>
      <c r="X1011">
        <v>2.7322738269242915E-2</v>
      </c>
      <c r="Y1011">
        <v>9.5340583362993839E-3</v>
      </c>
    </row>
    <row r="1012" spans="1:25" x14ac:dyDescent="0.25">
      <c r="A1012" s="1093"/>
      <c r="B1012" s="1452">
        <v>762</v>
      </c>
      <c r="C1012" s="1097">
        <v>0.98796360316719456</v>
      </c>
      <c r="D1012" s="1097">
        <v>0.97057216533210211</v>
      </c>
      <c r="E1012" s="1097">
        <v>0.97630604623319261</v>
      </c>
      <c r="F1012" s="1097">
        <v>1.0134317096731384</v>
      </c>
      <c r="G1012" s="1097">
        <v>1.0236781954967937</v>
      </c>
      <c r="H1012" s="1097">
        <v>0.98684574548659154</v>
      </c>
      <c r="I1012" s="1097">
        <v>1.0123597958646822</v>
      </c>
      <c r="K1012">
        <v>5.2606075960855883</v>
      </c>
      <c r="L1012">
        <v>0</v>
      </c>
      <c r="M1012">
        <v>3.8937248808452213E-3</v>
      </c>
      <c r="N1012">
        <v>0.31487498269848696</v>
      </c>
      <c r="O1012">
        <v>0.1547302927692614</v>
      </c>
      <c r="P1012">
        <v>2.0294578450357235E-2</v>
      </c>
      <c r="Q1012">
        <v>1.3082827819350857E-3</v>
      </c>
      <c r="R1012">
        <v>3.8872643599269343E-3</v>
      </c>
      <c r="S1012">
        <v>0.47941998660183638</v>
      </c>
      <c r="T1012">
        <v>4.0520264905936934</v>
      </c>
      <c r="U1012">
        <v>0</v>
      </c>
      <c r="V1012">
        <v>1.130476720982382E-2</v>
      </c>
      <c r="W1012">
        <v>0.19061031670251702</v>
      </c>
      <c r="X1012">
        <v>2.5058652938841994E-2</v>
      </c>
      <c r="Y1012">
        <v>1.0985705859747931E-2</v>
      </c>
    </row>
    <row r="1013" spans="1:25" x14ac:dyDescent="0.25">
      <c r="A1013" s="1093"/>
      <c r="B1013" s="1452">
        <v>763</v>
      </c>
      <c r="C1013" s="1097">
        <v>1.0064124971419515</v>
      </c>
      <c r="D1013" s="1097">
        <v>1.0067108449422815</v>
      </c>
      <c r="E1013" s="1097">
        <v>1.0069028696362052</v>
      </c>
      <c r="F1013" s="1097">
        <v>0.99507839995085989</v>
      </c>
      <c r="G1013" s="1097">
        <v>0.99616890653550128</v>
      </c>
      <c r="H1013" s="1097">
        <v>1.0146087766143039</v>
      </c>
      <c r="I1013" s="1097">
        <v>0.9992773173230185</v>
      </c>
      <c r="K1013">
        <v>5.1517873576298765</v>
      </c>
      <c r="L1013">
        <v>0</v>
      </c>
      <c r="M1013">
        <v>3.5658065121373208E-3</v>
      </c>
      <c r="N1013">
        <v>0.31574316230166943</v>
      </c>
      <c r="O1013">
        <v>0.1461383514222091</v>
      </c>
      <c r="P1013">
        <v>2.0321731326544669E-2</v>
      </c>
      <c r="Q1013">
        <v>1.2994672316965434E-3</v>
      </c>
      <c r="R1013">
        <v>3.559946010641466E-3</v>
      </c>
      <c r="S1013">
        <v>0.45935115610497451</v>
      </c>
      <c r="T1013">
        <v>3.9748063765803856</v>
      </c>
      <c r="U1013">
        <v>0</v>
      </c>
      <c r="V1013">
        <v>1.1304767209823808E-2</v>
      </c>
      <c r="W1013">
        <v>0.18720160982362571</v>
      </c>
      <c r="X1013">
        <v>2.5565916915349127E-2</v>
      </c>
      <c r="Y1013">
        <v>1.0060679215093397E-2</v>
      </c>
    </row>
    <row r="1014" spans="1:25" x14ac:dyDescent="0.25">
      <c r="A1014" s="1093"/>
      <c r="B1014" s="1452">
        <v>764</v>
      </c>
      <c r="C1014" s="1097">
        <v>0.99171678986289058</v>
      </c>
      <c r="D1014" s="1097">
        <v>0.96967839384033461</v>
      </c>
      <c r="E1014" s="1097">
        <v>0.96271095130993012</v>
      </c>
      <c r="F1014" s="1097">
        <v>1.0017811843336553</v>
      </c>
      <c r="G1014" s="1097">
        <v>1.0315289531447338</v>
      </c>
      <c r="H1014" s="1097">
        <v>0.96920771365230773</v>
      </c>
      <c r="I1014" s="1097">
        <v>0.99195898250614356</v>
      </c>
      <c r="K1014">
        <v>5.1725988104364875</v>
      </c>
      <c r="L1014">
        <v>0</v>
      </c>
      <c r="M1014">
        <v>3.8762070584517369E-3</v>
      </c>
      <c r="N1014">
        <v>0.30104016454304405</v>
      </c>
      <c r="O1014">
        <v>0.15281545900500063</v>
      </c>
      <c r="P1014">
        <v>1.9800985618517015E-2</v>
      </c>
      <c r="Q1014">
        <v>1.2884137183167505E-3</v>
      </c>
      <c r="R1014">
        <v>3.8695825294986206E-3</v>
      </c>
      <c r="S1014">
        <v>0.46021526966062015</v>
      </c>
      <c r="T1014">
        <v>4.0071782761927759</v>
      </c>
      <c r="U1014">
        <v>0</v>
      </c>
      <c r="V1014">
        <v>1.1304767209823822E-2</v>
      </c>
      <c r="W1014">
        <v>0.18395305132316211</v>
      </c>
      <c r="X1014">
        <v>2.4073312037167196E-2</v>
      </c>
      <c r="Y1014">
        <v>1.0935735657013631E-2</v>
      </c>
    </row>
    <row r="1015" spans="1:25" x14ac:dyDescent="0.25">
      <c r="A1015" s="1093"/>
      <c r="B1015" s="1452">
        <v>765</v>
      </c>
      <c r="C1015" s="1097">
        <v>1.0219820035313278</v>
      </c>
      <c r="D1015" s="1097">
        <v>0.98828944692984733</v>
      </c>
      <c r="E1015" s="1097">
        <v>1.0051892655147328</v>
      </c>
      <c r="F1015" s="1097">
        <v>1.0060744250904585</v>
      </c>
      <c r="G1015" s="1097">
        <v>1.0261761323617511</v>
      </c>
      <c r="H1015" s="1097">
        <v>0.95140093206246856</v>
      </c>
      <c r="I1015" s="1097">
        <v>1.0209104465219743</v>
      </c>
      <c r="K1015">
        <v>5.1628562469420993</v>
      </c>
      <c r="L1015">
        <v>0</v>
      </c>
      <c r="M1015">
        <v>3.3658700781303967E-3</v>
      </c>
      <c r="N1015">
        <v>0.29650380547427108</v>
      </c>
      <c r="O1015">
        <v>0.1466282976151709</v>
      </c>
      <c r="P1015">
        <v>2.0482932598763947E-2</v>
      </c>
      <c r="Q1015">
        <v>1.2872739434206849E-3</v>
      </c>
      <c r="R1015">
        <v>3.3600350291870819E-3</v>
      </c>
      <c r="S1015">
        <v>0.45617542961931018</v>
      </c>
      <c r="T1015">
        <v>4.018945458887039</v>
      </c>
      <c r="U1015">
        <v>0</v>
      </c>
      <c r="V1015">
        <v>1.1304767209823813E-2</v>
      </c>
      <c r="W1015">
        <v>0.17599763437495303</v>
      </c>
      <c r="X1015">
        <v>2.6040766749267009E-2</v>
      </c>
      <c r="Y1015">
        <v>9.4957155190218828E-3</v>
      </c>
    </row>
    <row r="1016" spans="1:25" x14ac:dyDescent="0.25">
      <c r="A1016" s="1093"/>
      <c r="B1016" s="1452">
        <v>766</v>
      </c>
      <c r="C1016" s="1097">
        <v>0.97580263017926394</v>
      </c>
      <c r="D1016" s="1097">
        <v>0.98234607425889209</v>
      </c>
      <c r="E1016" s="1097">
        <v>1.0234716078381338</v>
      </c>
      <c r="F1016" s="1097">
        <v>0.95745949163853716</v>
      </c>
      <c r="G1016" s="1097">
        <v>1.0053449754177997</v>
      </c>
      <c r="H1016" s="1097">
        <v>0.99919378757450483</v>
      </c>
      <c r="I1016" s="1097">
        <v>1.0022963071046134</v>
      </c>
      <c r="K1016">
        <v>4.9980251295234979</v>
      </c>
      <c r="L1016">
        <v>0</v>
      </c>
      <c r="M1016">
        <v>3.3984561550900912E-3</v>
      </c>
      <c r="N1016">
        <v>0.31602032603841501</v>
      </c>
      <c r="O1016">
        <v>0.14599687014226262</v>
      </c>
      <c r="P1016">
        <v>1.9867358547730612E-2</v>
      </c>
      <c r="Q1016">
        <v>1.3725975769352122E-3</v>
      </c>
      <c r="R1016">
        <v>3.3925620753735928E-3</v>
      </c>
      <c r="S1016">
        <v>0.45954965370893724</v>
      </c>
      <c r="T1016">
        <v>3.8225614503296934</v>
      </c>
      <c r="U1016">
        <v>0</v>
      </c>
      <c r="V1016">
        <v>1.1304767209823811E-2</v>
      </c>
      <c r="W1016">
        <v>0.18530066406117934</v>
      </c>
      <c r="X1016">
        <v>2.6469696553369056E-2</v>
      </c>
      <c r="Y1016">
        <v>9.5876394348674617E-3</v>
      </c>
    </row>
    <row r="1017" spans="1:25" x14ac:dyDescent="0.25">
      <c r="A1017" s="1093"/>
      <c r="B1017" s="1452">
        <v>767</v>
      </c>
      <c r="C1017" s="1097">
        <v>1.0011776928767762</v>
      </c>
      <c r="D1017" s="1097">
        <v>0.98636803058396505</v>
      </c>
      <c r="E1017" s="1097">
        <v>0.99753502742529576</v>
      </c>
      <c r="F1017" s="1097">
        <v>0.98949650352671459</v>
      </c>
      <c r="G1017" s="1097">
        <v>1.0036185019059287</v>
      </c>
      <c r="H1017" s="1097">
        <v>0.97167780061865305</v>
      </c>
      <c r="I1017" s="1097">
        <v>0.97179525862175431</v>
      </c>
      <c r="K1017">
        <v>5.0927717297856328</v>
      </c>
      <c r="L1017">
        <v>0</v>
      </c>
      <c r="M1017">
        <v>3.5101393608180311E-3</v>
      </c>
      <c r="N1017">
        <v>0.30228194050728713</v>
      </c>
      <c r="O1017">
        <v>0.1475352572611843</v>
      </c>
      <c r="P1017">
        <v>2.0001268237469994E-2</v>
      </c>
      <c r="Q1017">
        <v>1.3064556082470109E-3</v>
      </c>
      <c r="R1017">
        <v>3.5040815368304473E-3</v>
      </c>
      <c r="S1017">
        <v>0.44099300230747113</v>
      </c>
      <c r="T1017">
        <v>3.9536722747577846</v>
      </c>
      <c r="U1017">
        <v>0</v>
      </c>
      <c r="V1017">
        <v>1.1304767209823829E-2</v>
      </c>
      <c r="W1017">
        <v>0.18035717539391311</v>
      </c>
      <c r="X1017">
        <v>2.5422844379381332E-2</v>
      </c>
      <c r="Y1017">
        <v>9.9028019470526404E-3</v>
      </c>
    </row>
    <row r="1018" spans="1:25" x14ac:dyDescent="0.25">
      <c r="A1018" s="1093"/>
      <c r="B1018" s="1452">
        <v>768</v>
      </c>
      <c r="C1018" s="1097">
        <v>1.0372552952581959</v>
      </c>
      <c r="D1018" s="1097">
        <v>1.0393020576834546</v>
      </c>
      <c r="E1018" s="1097">
        <v>1.0362865105474808</v>
      </c>
      <c r="F1018" s="1097">
        <v>1.0094716253853218</v>
      </c>
      <c r="G1018" s="1097">
        <v>1.019628956793293</v>
      </c>
      <c r="H1018" s="1097">
        <v>1.0138401992379196</v>
      </c>
      <c r="I1018" s="1097">
        <v>0.98605997004404033</v>
      </c>
      <c r="K1018">
        <v>5.1786992060391785</v>
      </c>
      <c r="L1018">
        <v>0</v>
      </c>
      <c r="M1018">
        <v>3.2542298850366299E-3</v>
      </c>
      <c r="N1018">
        <v>0.31432903942535939</v>
      </c>
      <c r="O1018">
        <v>0.14123831528473563</v>
      </c>
      <c r="P1018">
        <v>2.0934651693645896E-2</v>
      </c>
      <c r="Q1018">
        <v>1.2761709586122287E-3</v>
      </c>
      <c r="R1018">
        <v>3.2489536048126706E-3</v>
      </c>
      <c r="S1018">
        <v>0.4422565011506715</v>
      </c>
      <c r="T1018">
        <v>4.0286134463423844</v>
      </c>
      <c r="U1018">
        <v>0</v>
      </c>
      <c r="V1018">
        <v>1.1304767209823813E-2</v>
      </c>
      <c r="W1018">
        <v>0.18275115090282124</v>
      </c>
      <c r="X1018">
        <v>2.6818648418273101E-2</v>
      </c>
      <c r="Y1018">
        <v>9.1817909330742294E-3</v>
      </c>
    </row>
    <row r="1019" spans="1:25" x14ac:dyDescent="0.25">
      <c r="A1019" s="1093"/>
      <c r="B1019" s="1452">
        <v>769</v>
      </c>
      <c r="C1019" s="1097">
        <v>1.0034019987534717</v>
      </c>
      <c r="D1019" s="1097">
        <v>0.99561888029164369</v>
      </c>
      <c r="E1019" s="1097">
        <v>0.99959572441281463</v>
      </c>
      <c r="F1019" s="1097">
        <v>0.97590717297490492</v>
      </c>
      <c r="G1019" s="1097">
        <v>1.0097838749227523</v>
      </c>
      <c r="H1019" s="1097">
        <v>1.0225006588398473</v>
      </c>
      <c r="I1019" s="1097">
        <v>0.99735256173268583</v>
      </c>
      <c r="K1019">
        <v>5.0645216631324761</v>
      </c>
      <c r="L1019">
        <v>0</v>
      </c>
      <c r="M1019">
        <v>3.6057891471818382E-3</v>
      </c>
      <c r="N1019">
        <v>0.31244066406116444</v>
      </c>
      <c r="O1019">
        <v>0.14458951138097326</v>
      </c>
      <c r="P1019">
        <v>1.9847072388493314E-2</v>
      </c>
      <c r="Q1019">
        <v>1.3009988299987104E-3</v>
      </c>
      <c r="R1019">
        <v>3.5997933502506215E-3</v>
      </c>
      <c r="S1019">
        <v>0.45485005114631083</v>
      </c>
      <c r="T1019">
        <v>3.8991215320448962</v>
      </c>
      <c r="U1019">
        <v>0</v>
      </c>
      <c r="V1019">
        <v>1.1304767209823811E-2</v>
      </c>
      <c r="W1019">
        <v>0.18615868964670776</v>
      </c>
      <c r="X1019">
        <v>2.4741081382007337E-2</v>
      </c>
      <c r="Y1019">
        <v>1.0173290839029332E-2</v>
      </c>
    </row>
    <row r="1020" spans="1:25" x14ac:dyDescent="0.25">
      <c r="A1020" s="1093"/>
      <c r="B1020" s="1452">
        <v>770</v>
      </c>
      <c r="C1020" s="1097">
        <v>0.99302990999465346</v>
      </c>
      <c r="D1020" s="1097">
        <v>1.0111933698036282</v>
      </c>
      <c r="E1020" s="1097">
        <v>1.0148217314920438</v>
      </c>
      <c r="F1020" s="1097">
        <v>0.9664863103706941</v>
      </c>
      <c r="G1020" s="1097">
        <v>0.96075812491933732</v>
      </c>
      <c r="H1020" s="1097">
        <v>1.0016258709250432</v>
      </c>
      <c r="I1020" s="1097">
        <v>0.99794340363649292</v>
      </c>
      <c r="K1020">
        <v>5.0118816906904753</v>
      </c>
      <c r="L1020">
        <v>0</v>
      </c>
      <c r="M1020">
        <v>3.4018236540407591E-3</v>
      </c>
      <c r="N1020">
        <v>0.30834656024046658</v>
      </c>
      <c r="O1020">
        <v>0.14338310731048809</v>
      </c>
      <c r="P1020">
        <v>1.987278101321303E-2</v>
      </c>
      <c r="Q1020">
        <v>1.3235318358637033E-3</v>
      </c>
      <c r="R1020">
        <v>3.3959929358236655E-3</v>
      </c>
      <c r="S1020">
        <v>0.4509611697286528</v>
      </c>
      <c r="T1020">
        <v>3.8596402624992043</v>
      </c>
      <c r="U1020">
        <v>0</v>
      </c>
      <c r="V1020">
        <v>1.1304767209823829E-2</v>
      </c>
      <c r="W1020">
        <v>0.18184751189370582</v>
      </c>
      <c r="X1020">
        <v>2.5610494368837691E-2</v>
      </c>
      <c r="Y1020">
        <v>9.5973353084331699E-3</v>
      </c>
    </row>
    <row r="1021" spans="1:25" x14ac:dyDescent="0.25">
      <c r="A1021" s="1093"/>
      <c r="B1021" s="1452">
        <v>771</v>
      </c>
      <c r="C1021" s="1097">
        <v>1.0407345266838188</v>
      </c>
      <c r="D1021" s="1097">
        <v>0.99705583228521244</v>
      </c>
      <c r="E1021" s="1097">
        <v>0.99682897664412073</v>
      </c>
      <c r="F1021" s="1097">
        <v>1.0032473068785162</v>
      </c>
      <c r="G1021" s="1097">
        <v>0.9936062656638931</v>
      </c>
      <c r="H1021" s="1097">
        <v>1.0000206681397812</v>
      </c>
      <c r="I1021" s="1097">
        <v>1.0049793200780124</v>
      </c>
      <c r="K1021">
        <v>5.1496981907063217</v>
      </c>
      <c r="L1021">
        <v>0</v>
      </c>
      <c r="M1021">
        <v>3.5134945556806936E-3</v>
      </c>
      <c r="N1021">
        <v>0.30196016449550178</v>
      </c>
      <c r="O1021">
        <v>0.14329995262981887</v>
      </c>
      <c r="P1021">
        <v>2.0272279434565065E-2</v>
      </c>
      <c r="Q1021">
        <v>1.2506344760592183E-3</v>
      </c>
      <c r="R1021">
        <v>3.5076834185438976E-3</v>
      </c>
      <c r="S1021">
        <v>0.44801743341209838</v>
      </c>
      <c r="T1021">
        <v>4.0087045936299353</v>
      </c>
      <c r="U1021">
        <v>0</v>
      </c>
      <c r="V1021">
        <v>1.1304767209823825E-2</v>
      </c>
      <c r="W1021">
        <v>0.18025134734511422</v>
      </c>
      <c r="X1021">
        <v>2.472984807077178E-2</v>
      </c>
      <c r="Y1021">
        <v>9.9129811397655129E-3</v>
      </c>
    </row>
    <row r="1022" spans="1:25" x14ac:dyDescent="0.25">
      <c r="A1022" s="1093"/>
      <c r="B1022" s="1452">
        <v>772</v>
      </c>
      <c r="C1022" s="1097">
        <v>0.96444514044081808</v>
      </c>
      <c r="D1022" s="1097">
        <v>1.0325514342986526</v>
      </c>
      <c r="E1022" s="1097">
        <v>1.0037876238434456</v>
      </c>
      <c r="F1022" s="1097">
        <v>0.96515685719871713</v>
      </c>
      <c r="G1022" s="1097">
        <v>0.99631230208895083</v>
      </c>
      <c r="H1022" s="1097">
        <v>1.0345033185462253</v>
      </c>
      <c r="I1022" s="1097">
        <v>1.004677224913701</v>
      </c>
      <c r="K1022">
        <v>5.0540196480379427</v>
      </c>
      <c r="L1022">
        <v>0</v>
      </c>
      <c r="M1022">
        <v>3.6669192619836945E-3</v>
      </c>
      <c r="N1022">
        <v>0.32170845089057537</v>
      </c>
      <c r="O1022">
        <v>0.146505718595111</v>
      </c>
      <c r="P1022">
        <v>1.9785133552343497E-2</v>
      </c>
      <c r="Q1022">
        <v>1.3387684646773666E-3</v>
      </c>
      <c r="R1022">
        <v>3.6608255485167684E-3</v>
      </c>
      <c r="S1022">
        <v>0.4711208220203898</v>
      </c>
      <c r="T1022">
        <v>3.855662355491575</v>
      </c>
      <c r="U1022">
        <v>0</v>
      </c>
      <c r="V1022">
        <v>1.1304767209823808E-2</v>
      </c>
      <c r="W1022">
        <v>0.19113895157438279</v>
      </c>
      <c r="X1022">
        <v>2.511500146161515E-2</v>
      </c>
      <c r="Y1022">
        <v>1.0345772490917376E-2</v>
      </c>
    </row>
    <row r="1023" spans="1:25" x14ac:dyDescent="0.25">
      <c r="A1023" s="1093"/>
      <c r="B1023" s="1452">
        <v>773</v>
      </c>
      <c r="C1023" s="1097">
        <v>1.0253208924722528</v>
      </c>
      <c r="D1023" s="1097">
        <v>0.98091341011041333</v>
      </c>
      <c r="E1023" s="1097">
        <v>0.98855002411141513</v>
      </c>
      <c r="F1023" s="1097">
        <v>1.0024415251818888</v>
      </c>
      <c r="G1023" s="1097">
        <v>1.0427462329277946</v>
      </c>
      <c r="H1023" s="1097">
        <v>1.0189839318390004</v>
      </c>
      <c r="I1023" s="1097">
        <v>0.96467242520030483</v>
      </c>
      <c r="K1023">
        <v>5.1607818274977006</v>
      </c>
      <c r="L1023">
        <v>0</v>
      </c>
      <c r="M1023">
        <v>3.7190174905173214E-3</v>
      </c>
      <c r="N1023">
        <v>0.31188342599467295</v>
      </c>
      <c r="O1023">
        <v>0.14651637932488265</v>
      </c>
      <c r="P1023">
        <v>2.0105286901694171E-2</v>
      </c>
      <c r="Q1023">
        <v>1.2686745665321903E-3</v>
      </c>
      <c r="R1023">
        <v>3.7129760559354292E-3</v>
      </c>
      <c r="S1023">
        <v>0.44100698064886357</v>
      </c>
      <c r="T1023">
        <v>4.0065304718827939</v>
      </c>
      <c r="U1023">
        <v>0</v>
      </c>
      <c r="V1023">
        <v>1.1304767209823825E-2</v>
      </c>
      <c r="W1023">
        <v>0.18722479783484469</v>
      </c>
      <c r="X1023">
        <v>2.4453930761786601E-2</v>
      </c>
      <c r="Y1023">
        <v>1.0493153806385399E-2</v>
      </c>
    </row>
    <row r="1024" spans="1:25" x14ac:dyDescent="0.25">
      <c r="A1024" s="1093"/>
      <c r="B1024" s="1452">
        <v>774</v>
      </c>
      <c r="C1024" s="1097">
        <v>1.0026983954457034</v>
      </c>
      <c r="D1024" s="1097">
        <v>0.98504807655838122</v>
      </c>
      <c r="E1024" s="1097">
        <v>0.98448506090247567</v>
      </c>
      <c r="F1024" s="1097">
        <v>1.004418983369564</v>
      </c>
      <c r="G1024" s="1097">
        <v>0.95620029767016712</v>
      </c>
      <c r="H1024" s="1097">
        <v>0.99864618584616194</v>
      </c>
      <c r="I1024" s="1097">
        <v>1.0064160685213837</v>
      </c>
      <c r="K1024">
        <v>5.1992211900207925</v>
      </c>
      <c r="L1024">
        <v>0</v>
      </c>
      <c r="M1024">
        <v>3.7600683005735271E-3</v>
      </c>
      <c r="N1024">
        <v>0.31153784934011225</v>
      </c>
      <c r="O1024">
        <v>0.14997920075233911</v>
      </c>
      <c r="P1024">
        <v>2.0198372348983865E-2</v>
      </c>
      <c r="Q1024">
        <v>1.2905741697989699E-3</v>
      </c>
      <c r="R1024">
        <v>3.7538480363926191E-3</v>
      </c>
      <c r="S1024">
        <v>0.46698740669159217</v>
      </c>
      <c r="T1024">
        <v>4.0149497893727792</v>
      </c>
      <c r="U1024">
        <v>0</v>
      </c>
      <c r="V1024">
        <v>1.1304767209823815E-2</v>
      </c>
      <c r="W1024">
        <v>0.18753660879507172</v>
      </c>
      <c r="X1024">
        <v>2.4834180460887693E-2</v>
      </c>
      <c r="Y1024">
        <v>1.060866114358551E-2</v>
      </c>
    </row>
    <row r="1025" spans="1:25" x14ac:dyDescent="0.25">
      <c r="A1025" s="1093"/>
      <c r="B1025" s="1452">
        <v>775</v>
      </c>
      <c r="C1025" s="1097">
        <v>1.0118209789995949</v>
      </c>
      <c r="D1025" s="1097">
        <v>0.99411094162189229</v>
      </c>
      <c r="E1025" s="1097">
        <v>0.96451161681275777</v>
      </c>
      <c r="F1025" s="1097">
        <v>0.9789133192308106</v>
      </c>
      <c r="G1025" s="1097">
        <v>0.96985823463129417</v>
      </c>
      <c r="H1025" s="1097">
        <v>1.0205252166017182</v>
      </c>
      <c r="I1025" s="1097">
        <v>1.0095192298917366</v>
      </c>
      <c r="K1025">
        <v>5.0682255977717965</v>
      </c>
      <c r="L1025">
        <v>0</v>
      </c>
      <c r="M1025">
        <v>3.8559000338312097E-3</v>
      </c>
      <c r="N1025">
        <v>0.30108388833145361</v>
      </c>
      <c r="O1025">
        <v>0.14486192706020085</v>
      </c>
      <c r="P1025">
        <v>1.9410590039370682E-2</v>
      </c>
      <c r="Q1025">
        <v>1.2522828830422638E-3</v>
      </c>
      <c r="R1025">
        <v>3.8494956293820227E-3</v>
      </c>
      <c r="S1025">
        <v>0.45752020950923222</v>
      </c>
      <c r="T1025">
        <v>3.9154805178762935</v>
      </c>
      <c r="U1025">
        <v>0</v>
      </c>
      <c r="V1025">
        <v>1.1304767209823824E-2</v>
      </c>
      <c r="W1025">
        <v>0.18375038173754293</v>
      </c>
      <c r="X1025">
        <v>2.2688468985562937E-2</v>
      </c>
      <c r="Y1025">
        <v>1.0878968543721846E-2</v>
      </c>
    </row>
    <row r="1026" spans="1:25" x14ac:dyDescent="0.25">
      <c r="A1026" s="1093"/>
      <c r="B1026" s="1452">
        <v>776</v>
      </c>
      <c r="C1026" s="1097">
        <v>1.0293182299463584</v>
      </c>
      <c r="D1026" s="1097">
        <v>1.0111859603068287</v>
      </c>
      <c r="E1026" s="1097">
        <v>0.96878189349634769</v>
      </c>
      <c r="F1026" s="1097">
        <v>0.97879453950678807</v>
      </c>
      <c r="G1026" s="1097">
        <v>1.0068748236421068</v>
      </c>
      <c r="H1026" s="1097">
        <v>0.98317896464620069</v>
      </c>
      <c r="I1026" s="1097">
        <v>0.99681842155129097</v>
      </c>
      <c r="K1026">
        <v>5.0137193705754104</v>
      </c>
      <c r="L1026">
        <v>0</v>
      </c>
      <c r="M1026">
        <v>3.5941199283227882E-3</v>
      </c>
      <c r="N1026">
        <v>0.28420739387823973</v>
      </c>
      <c r="O1026">
        <v>0.14130311510608801</v>
      </c>
      <c r="P1026">
        <v>1.9373981550210775E-2</v>
      </c>
      <c r="Q1026">
        <v>1.2272177006344249E-3</v>
      </c>
      <c r="R1026">
        <v>3.5879228166586213E-3</v>
      </c>
      <c r="S1026">
        <v>0.43592855608919734</v>
      </c>
      <c r="T1026">
        <v>3.914472457602141</v>
      </c>
      <c r="U1026">
        <v>0</v>
      </c>
      <c r="V1026">
        <v>1.1304767209823824E-2</v>
      </c>
      <c r="W1026">
        <v>0.17293936011280858</v>
      </c>
      <c r="X1026">
        <v>2.2828974633101847E-2</v>
      </c>
      <c r="Y1026">
        <v>1.0139743804825975E-2</v>
      </c>
    </row>
    <row r="1027" spans="1:25" x14ac:dyDescent="0.25">
      <c r="A1027" s="1093"/>
      <c r="B1027" s="1452">
        <v>777</v>
      </c>
      <c r="C1027" s="1097">
        <v>1.0000893613883057</v>
      </c>
      <c r="D1027" s="1097">
        <v>1.0256356229776855</v>
      </c>
      <c r="E1027" s="1097">
        <v>0.9959551163770396</v>
      </c>
      <c r="F1027" s="1097">
        <v>1.0116682639769825</v>
      </c>
      <c r="G1027" s="1097">
        <v>0.97973321924472101</v>
      </c>
      <c r="H1027" s="1097">
        <v>1.0094054602100575</v>
      </c>
      <c r="I1027" s="1097">
        <v>0.99177576048970661</v>
      </c>
      <c r="K1027">
        <v>5.2272993989291026</v>
      </c>
      <c r="L1027">
        <v>0</v>
      </c>
      <c r="M1027">
        <v>3.6864690467999744E-3</v>
      </c>
      <c r="N1027">
        <v>0.31601579513811012</v>
      </c>
      <c r="O1027">
        <v>0.14870960270937061</v>
      </c>
      <c r="P1027">
        <v>2.0478014218345879E-2</v>
      </c>
      <c r="Q1027">
        <v>1.2858671527595561E-3</v>
      </c>
      <c r="R1027">
        <v>3.6804787048666538E-3</v>
      </c>
      <c r="S1027">
        <v>0.46255041843559502</v>
      </c>
      <c r="T1027">
        <v>4.042463642340322</v>
      </c>
      <c r="U1027">
        <v>0</v>
      </c>
      <c r="V1027">
        <v>1.1304767209823817E-2</v>
      </c>
      <c r="W1027">
        <v>0.18875340220411346</v>
      </c>
      <c r="X1027">
        <v>2.5342566051381629E-2</v>
      </c>
      <c r="Y1027">
        <v>1.0401313811209654E-2</v>
      </c>
    </row>
    <row r="1028" spans="1:25" x14ac:dyDescent="0.25">
      <c r="A1028" s="1093"/>
      <c r="B1028" s="1452">
        <v>778</v>
      </c>
      <c r="C1028" s="1097">
        <v>1.0279815954674714</v>
      </c>
      <c r="D1028" s="1097">
        <v>1.0405304489782869</v>
      </c>
      <c r="E1028" s="1097">
        <v>1.0061482423940782</v>
      </c>
      <c r="F1028" s="1097">
        <v>1.0173175531661907</v>
      </c>
      <c r="G1028" s="1097">
        <v>1.0372419380847642</v>
      </c>
      <c r="H1028" s="1097">
        <v>0.9923655320898116</v>
      </c>
      <c r="I1028" s="1097">
        <v>1.0007549002874552</v>
      </c>
      <c r="K1028">
        <v>5.2141471397863812</v>
      </c>
      <c r="L1028">
        <v>0</v>
      </c>
      <c r="M1028">
        <v>3.4502913766882312E-3</v>
      </c>
      <c r="N1028">
        <v>0.30483252085426193</v>
      </c>
      <c r="O1028">
        <v>0.14436957000852735</v>
      </c>
      <c r="P1028">
        <v>2.0682330277298381E-2</v>
      </c>
      <c r="Q1028">
        <v>1.2546895578637875E-3</v>
      </c>
      <c r="R1028">
        <v>3.4446201590212712E-3</v>
      </c>
      <c r="S1028">
        <v>0.45184079811103628</v>
      </c>
      <c r="T1028">
        <v>4.0637359980007384</v>
      </c>
      <c r="U1028">
        <v>0</v>
      </c>
      <c r="V1028">
        <v>1.1304767209823813E-2</v>
      </c>
      <c r="W1028">
        <v>0.18082457337553681</v>
      </c>
      <c r="X1028">
        <v>2.5572804055259347E-2</v>
      </c>
      <c r="Y1028">
        <v>9.7347595537024736E-3</v>
      </c>
    </row>
    <row r="1029" spans="1:25" x14ac:dyDescent="0.25">
      <c r="A1029" s="1093"/>
      <c r="B1029" s="1452">
        <v>779</v>
      </c>
      <c r="C1029" s="1097">
        <v>1.0027589662102407</v>
      </c>
      <c r="D1029" s="1097">
        <v>1.0020523930620577</v>
      </c>
      <c r="E1029" s="1097">
        <v>1.0007443584725337</v>
      </c>
      <c r="F1029" s="1097">
        <v>1.0102173281676945</v>
      </c>
      <c r="G1029" s="1097">
        <v>0.98364983280590523</v>
      </c>
      <c r="H1029" s="1097">
        <v>1.0005235379216084</v>
      </c>
      <c r="I1029" s="1097">
        <v>1.0113246876523814</v>
      </c>
      <c r="K1029">
        <v>5.2292904648314078</v>
      </c>
      <c r="L1029">
        <v>0</v>
      </c>
      <c r="M1029">
        <v>3.6362538035247479E-3</v>
      </c>
      <c r="N1029">
        <v>0.31616124435155651</v>
      </c>
      <c r="O1029">
        <v>0.14935129873799591</v>
      </c>
      <c r="P1029">
        <v>2.0557414610052286E-2</v>
      </c>
      <c r="Q1029">
        <v>1.2997621064872848E-3</v>
      </c>
      <c r="R1029">
        <v>3.6302840577215403E-3</v>
      </c>
      <c r="S1029">
        <v>0.47028052280060478</v>
      </c>
      <c r="T1029">
        <v>4.0360580174439509</v>
      </c>
      <c r="U1029">
        <v>0</v>
      </c>
      <c r="V1029">
        <v>1.1304767209823818E-2</v>
      </c>
      <c r="W1029">
        <v>0.18822932093905567</v>
      </c>
      <c r="X1029">
        <v>2.5794626471481865E-2</v>
      </c>
      <c r="Y1029">
        <v>1.0259459906197543E-2</v>
      </c>
    </row>
    <row r="1030" spans="1:25" x14ac:dyDescent="0.25">
      <c r="A1030" s="1093"/>
      <c r="B1030" s="1452">
        <v>780</v>
      </c>
      <c r="C1030" s="1097">
        <v>0.99755211587560388</v>
      </c>
      <c r="D1030" s="1097">
        <v>1.0217884999575695</v>
      </c>
      <c r="E1030" s="1097">
        <v>0.99245671660595469</v>
      </c>
      <c r="F1030" s="1097">
        <v>1.032961990547232</v>
      </c>
      <c r="G1030" s="1097">
        <v>0.99984967776628808</v>
      </c>
      <c r="H1030" s="1097">
        <v>0.97829677361738232</v>
      </c>
      <c r="I1030" s="1097">
        <v>1.003652666437598</v>
      </c>
      <c r="K1030">
        <v>5.3227765177016613</v>
      </c>
      <c r="L1030">
        <v>0</v>
      </c>
      <c r="M1030">
        <v>3.6897749564609172E-3</v>
      </c>
      <c r="N1030">
        <v>0.3130307069691895</v>
      </c>
      <c r="O1030">
        <v>0.15255481716481445</v>
      </c>
      <c r="P1030">
        <v>2.0853693359098438E-2</v>
      </c>
      <c r="Q1030">
        <v>1.2871975943910252E-3</v>
      </c>
      <c r="R1030">
        <v>3.6837159083865549E-3</v>
      </c>
      <c r="S1030">
        <v>0.47193812851320838</v>
      </c>
      <c r="T1030">
        <v>4.1280048964086822</v>
      </c>
      <c r="U1030">
        <v>0</v>
      </c>
      <c r="V1030">
        <v>1.130476720982381E-2</v>
      </c>
      <c r="W1030">
        <v>0.18741479338417155</v>
      </c>
      <c r="X1030">
        <v>2.59831137508513E-2</v>
      </c>
      <c r="Y1030">
        <v>1.0410462395505696E-2</v>
      </c>
    </row>
    <row r="1031" spans="1:25" x14ac:dyDescent="0.25">
      <c r="A1031" s="1093"/>
      <c r="B1031" s="1452">
        <v>781</v>
      </c>
      <c r="C1031" s="1097">
        <v>0.99324633932945938</v>
      </c>
      <c r="D1031" s="1097">
        <v>1.0120705271492516</v>
      </c>
      <c r="E1031" s="1097">
        <v>0.96988083707096617</v>
      </c>
      <c r="F1031" s="1097">
        <v>0.98353281141534488</v>
      </c>
      <c r="G1031" s="1097">
        <v>0.96777036301553421</v>
      </c>
      <c r="H1031" s="1097">
        <v>1.0115703646882288</v>
      </c>
      <c r="I1031" s="1097">
        <v>0.99098099763940695</v>
      </c>
      <c r="K1031">
        <v>5.0926936943966563</v>
      </c>
      <c r="L1031">
        <v>0</v>
      </c>
      <c r="M1031">
        <v>3.8405234635863175E-3</v>
      </c>
      <c r="N1031">
        <v>0.30470187615142658</v>
      </c>
      <c r="O1031">
        <v>0.14706214994877542</v>
      </c>
      <c r="P1031">
        <v>1.9563408377622906E-2</v>
      </c>
      <c r="Q1031">
        <v>1.272563668374031E-3</v>
      </c>
      <c r="R1031">
        <v>3.8341183049220933E-3</v>
      </c>
      <c r="S1031">
        <v>0.45604794442413571</v>
      </c>
      <c r="T1031">
        <v>3.9332844780602163</v>
      </c>
      <c r="U1031">
        <v>0</v>
      </c>
      <c r="V1031">
        <v>1.1304767209823824E-2</v>
      </c>
      <c r="W1031">
        <v>0.18526962551188805</v>
      </c>
      <c r="X1031">
        <v>2.335777515225881E-2</v>
      </c>
      <c r="Y1031">
        <v>1.0835511050794902E-2</v>
      </c>
    </row>
    <row r="1032" spans="1:25" x14ac:dyDescent="0.25">
      <c r="A1032" s="1093"/>
      <c r="B1032" s="1452">
        <v>782</v>
      </c>
      <c r="C1032" s="1097">
        <v>0.97190317467464815</v>
      </c>
      <c r="D1032" s="1097">
        <v>0.96253339587146602</v>
      </c>
      <c r="E1032" s="1097">
        <v>0.97709119687871637</v>
      </c>
      <c r="F1032" s="1097">
        <v>1.0052431621737459</v>
      </c>
      <c r="G1032" s="1097">
        <v>1.0236710446127599</v>
      </c>
      <c r="H1032" s="1097">
        <v>1.0272420129524427</v>
      </c>
      <c r="I1032" s="1097">
        <v>1.0142579645848517</v>
      </c>
      <c r="K1032">
        <v>5.2714655854745942</v>
      </c>
      <c r="L1032">
        <v>0</v>
      </c>
      <c r="M1032">
        <v>4.0937232795461827E-3</v>
      </c>
      <c r="N1032">
        <v>0.33183806254652132</v>
      </c>
      <c r="O1032">
        <v>0.15651324544998216</v>
      </c>
      <c r="P1032">
        <v>2.0224329755502379E-2</v>
      </c>
      <c r="Q1032">
        <v>1.3352450982483301E-3</v>
      </c>
      <c r="R1032">
        <v>4.08714496211675E-3</v>
      </c>
      <c r="S1032">
        <v>0.49382466965530403</v>
      </c>
      <c r="T1032">
        <v>4.0191858626852115</v>
      </c>
      <c r="U1032">
        <v>0</v>
      </c>
      <c r="V1032">
        <v>1.1304767209823824E-2</v>
      </c>
      <c r="W1032">
        <v>0.20077068367252041</v>
      </c>
      <c r="X1032">
        <v>2.4924714017205779E-2</v>
      </c>
      <c r="Y1032">
        <v>1.155058370169843E-2</v>
      </c>
    </row>
    <row r="1033" spans="1:25" x14ac:dyDescent="0.25">
      <c r="A1033" s="1093"/>
      <c r="B1033" s="1452">
        <v>783</v>
      </c>
      <c r="C1033" s="1097">
        <v>0.98534120729113883</v>
      </c>
      <c r="D1033" s="1097">
        <v>1.0034231324301011</v>
      </c>
      <c r="E1033" s="1097">
        <v>1.01317073693871</v>
      </c>
      <c r="F1033" s="1097">
        <v>1.020974446630349</v>
      </c>
      <c r="G1033" s="1097">
        <v>0.99766916145699736</v>
      </c>
      <c r="H1033" s="1097">
        <v>0.96336777412397712</v>
      </c>
      <c r="I1033" s="1097">
        <v>1.0359695129177628</v>
      </c>
      <c r="K1033">
        <v>5.2915936304531934</v>
      </c>
      <c r="L1033">
        <v>0</v>
      </c>
      <c r="M1033">
        <v>3.50595798759148E-3</v>
      </c>
      <c r="N1033">
        <v>0.3162448178029113</v>
      </c>
      <c r="O1033">
        <v>0.15316789993040728</v>
      </c>
      <c r="P1033">
        <v>2.1014662871893949E-2</v>
      </c>
      <c r="Q1033">
        <v>1.3361064251233429E-3</v>
      </c>
      <c r="R1033">
        <v>3.5000430385030601E-3</v>
      </c>
      <c r="S1033">
        <v>0.48704517134185221</v>
      </c>
      <c r="T1033">
        <v>4.0774475868460591</v>
      </c>
      <c r="U1033">
        <v>0</v>
      </c>
      <c r="V1033">
        <v>1.1304767209823804E-2</v>
      </c>
      <c r="W1033">
        <v>0.18671177785285073</v>
      </c>
      <c r="X1033">
        <v>2.7435366278905284E-2</v>
      </c>
      <c r="Y1033">
        <v>9.8913888424546851E-3</v>
      </c>
    </row>
    <row r="1034" spans="1:25" x14ac:dyDescent="0.25">
      <c r="A1034" s="1093"/>
      <c r="B1034" s="1452">
        <v>784</v>
      </c>
      <c r="C1034" s="1097">
        <v>1.010843584714789</v>
      </c>
      <c r="D1034" s="1097">
        <v>0.99774282905444422</v>
      </c>
      <c r="E1034" s="1097">
        <v>0.98707589934579787</v>
      </c>
      <c r="F1034" s="1097">
        <v>0.98801711379024748</v>
      </c>
      <c r="G1034" s="1097">
        <v>1.0025032256026702</v>
      </c>
      <c r="H1034" s="1097">
        <v>1.0085377527055244</v>
      </c>
      <c r="I1034" s="1097">
        <v>1.000072065806574</v>
      </c>
      <c r="K1034">
        <v>5.1063908391629083</v>
      </c>
      <c r="L1034">
        <v>0</v>
      </c>
      <c r="M1034">
        <v>3.6663615768025917E-3</v>
      </c>
      <c r="N1034">
        <v>0.30611388364952324</v>
      </c>
      <c r="O1034">
        <v>0.14552313683599344</v>
      </c>
      <c r="P1034">
        <v>1.988570116734191E-2</v>
      </c>
      <c r="Q1034">
        <v>1.2764915732970685E-3</v>
      </c>
      <c r="R1034">
        <v>3.6602562852052697E-3</v>
      </c>
      <c r="S1034">
        <v>0.45467281721773328</v>
      </c>
      <c r="T1034">
        <v>3.9490632938815082</v>
      </c>
      <c r="U1034">
        <v>0</v>
      </c>
      <c r="V1034">
        <v>1.1304767209823815E-2</v>
      </c>
      <c r="W1034">
        <v>0.18394602074418409</v>
      </c>
      <c r="X1034">
        <v>2.4266668465762406E-2</v>
      </c>
      <c r="Y1034">
        <v>1.0344163709337882E-2</v>
      </c>
    </row>
    <row r="1035" spans="1:25" x14ac:dyDescent="0.25">
      <c r="A1035" s="1093"/>
      <c r="B1035" s="1452">
        <v>785</v>
      </c>
      <c r="C1035" s="1097">
        <v>1.0170049479573282</v>
      </c>
      <c r="D1035" s="1097">
        <v>1.030258622988832</v>
      </c>
      <c r="E1035" s="1097">
        <v>1.0003963842002497</v>
      </c>
      <c r="F1035" s="1097">
        <v>1.0317737568809378</v>
      </c>
      <c r="G1035" s="1097">
        <v>0.98613684899909027</v>
      </c>
      <c r="H1035" s="1097">
        <v>1.0032894509695924</v>
      </c>
      <c r="I1035" s="1097">
        <v>1.0354440887653602</v>
      </c>
      <c r="K1035">
        <v>5.3254536113822297</v>
      </c>
      <c r="L1035">
        <v>0</v>
      </c>
      <c r="M1035">
        <v>3.6339364138333846E-3</v>
      </c>
      <c r="N1035">
        <v>0.31564639811558232</v>
      </c>
      <c r="O1035">
        <v>0.14875041109226597</v>
      </c>
      <c r="P1035">
        <v>2.0993902287122827E-2</v>
      </c>
      <c r="Q1035">
        <v>1.2670260894267131E-3</v>
      </c>
      <c r="R1035">
        <v>3.6281110201709359E-3</v>
      </c>
      <c r="S1035">
        <v>0.4812300914029542</v>
      </c>
      <c r="T1035">
        <v>4.1222261322109377</v>
      </c>
      <c r="U1035">
        <v>0</v>
      </c>
      <c r="V1035">
        <v>1.1304767209823803E-2</v>
      </c>
      <c r="W1035">
        <v>0.18796698786146726</v>
      </c>
      <c r="X1035">
        <v>2.5820401770136218E-2</v>
      </c>
      <c r="Y1035">
        <v>1.0253318736175967E-2</v>
      </c>
    </row>
    <row r="1036" spans="1:25" x14ac:dyDescent="0.25">
      <c r="A1036" s="1093"/>
      <c r="B1036" s="1452">
        <v>786</v>
      </c>
      <c r="C1036" s="1097">
        <v>1.0165934022005103</v>
      </c>
      <c r="D1036" s="1097">
        <v>0.98118848263584246</v>
      </c>
      <c r="E1036" s="1097">
        <v>1.0307099421497414</v>
      </c>
      <c r="F1036" s="1097">
        <v>1.0259265893265979</v>
      </c>
      <c r="G1036" s="1097">
        <v>0.95895143814787731</v>
      </c>
      <c r="H1036" s="1097">
        <v>1.0075457385238209</v>
      </c>
      <c r="I1036" s="1097">
        <v>1.026834905862434</v>
      </c>
      <c r="K1036">
        <v>5.3195573507896716</v>
      </c>
      <c r="L1036">
        <v>0</v>
      </c>
      <c r="M1036">
        <v>3.4722779830006372E-3</v>
      </c>
      <c r="N1036">
        <v>0.32991310202000224</v>
      </c>
      <c r="O1036">
        <v>0.15002585276268707</v>
      </c>
      <c r="P1036">
        <v>2.133695664502825E-2</v>
      </c>
      <c r="Q1036">
        <v>1.3262059573327777E-3</v>
      </c>
      <c r="R1036">
        <v>3.46670371136829E-3</v>
      </c>
      <c r="S1036">
        <v>0.4804826933899129</v>
      </c>
      <c r="T1036">
        <v>4.0949890778979192</v>
      </c>
      <c r="U1036">
        <v>0</v>
      </c>
      <c r="V1036">
        <v>1.1304767209823815E-2</v>
      </c>
      <c r="W1036">
        <v>0.19251981225473988</v>
      </c>
      <c r="X1036">
        <v>2.7867287565223348E-2</v>
      </c>
      <c r="Y1036">
        <v>9.7971693586346095E-3</v>
      </c>
    </row>
    <row r="1037" spans="1:25" x14ac:dyDescent="0.25">
      <c r="A1037" s="1093"/>
      <c r="B1037" s="1452">
        <v>787</v>
      </c>
      <c r="C1037" s="1097">
        <v>1.02725608009018</v>
      </c>
      <c r="D1037" s="1097">
        <v>1.0168038476722128</v>
      </c>
      <c r="E1037" s="1097">
        <v>0.99396355785003954</v>
      </c>
      <c r="F1037" s="1097">
        <v>0.9818320838977046</v>
      </c>
      <c r="G1037" s="1097">
        <v>0.98112913041815497</v>
      </c>
      <c r="H1037" s="1097">
        <v>0.99764457950394536</v>
      </c>
      <c r="I1037" s="1097">
        <v>1.0077917141626427</v>
      </c>
      <c r="K1037">
        <v>5.0481706529407173</v>
      </c>
      <c r="L1037">
        <v>0</v>
      </c>
      <c r="M1037">
        <v>3.4691575655433219E-3</v>
      </c>
      <c r="N1037">
        <v>0.29561638483795244</v>
      </c>
      <c r="O1037">
        <v>0.14104660273179531</v>
      </c>
      <c r="P1037">
        <v>1.982879437469633E-2</v>
      </c>
      <c r="Q1037">
        <v>1.2540501580185956E-3</v>
      </c>
      <c r="R1037">
        <v>3.463280857580612E-3</v>
      </c>
      <c r="S1037">
        <v>0.44487188816443834</v>
      </c>
      <c r="T1037">
        <v>3.9234891512828041</v>
      </c>
      <c r="U1037">
        <v>0</v>
      </c>
      <c r="V1037">
        <v>1.1304767209823817E-2</v>
      </c>
      <c r="W1037">
        <v>0.17680766270143136</v>
      </c>
      <c r="X1037">
        <v>2.4169732075208384E-2</v>
      </c>
      <c r="Y1037">
        <v>9.7874961125081084E-3</v>
      </c>
    </row>
    <row r="1038" spans="1:25" x14ac:dyDescent="0.25">
      <c r="A1038" s="1093"/>
      <c r="B1038" s="1452">
        <v>788</v>
      </c>
      <c r="C1038" s="1097">
        <v>0.98728247627498611</v>
      </c>
      <c r="D1038" s="1097">
        <v>0.98359564478610928</v>
      </c>
      <c r="E1038" s="1097">
        <v>1.0147581786985893</v>
      </c>
      <c r="F1038" s="1097">
        <v>0.98158946940939329</v>
      </c>
      <c r="G1038" s="1097">
        <v>1.0254125726073102</v>
      </c>
      <c r="H1038" s="1097">
        <v>1.0057388522689448</v>
      </c>
      <c r="I1038" s="1097">
        <v>0.99786969316511631</v>
      </c>
      <c r="K1038">
        <v>5.108328877443908</v>
      </c>
      <c r="L1038">
        <v>0</v>
      </c>
      <c r="M1038">
        <v>3.5285835619993872E-3</v>
      </c>
      <c r="N1038">
        <v>0.31978676362672692</v>
      </c>
      <c r="O1038">
        <v>0.14810349657413741</v>
      </c>
      <c r="P1038">
        <v>2.0203503263966364E-2</v>
      </c>
      <c r="Q1038">
        <v>1.345980928587531E-3</v>
      </c>
      <c r="R1038">
        <v>3.5226528305654743E-3</v>
      </c>
      <c r="S1038">
        <v>0.46276846400013977</v>
      </c>
      <c r="T1038">
        <v>3.9199621492708663</v>
      </c>
      <c r="U1038">
        <v>0</v>
      </c>
      <c r="V1038">
        <v>1.1304767209823825E-2</v>
      </c>
      <c r="W1038">
        <v>0.18860239684717139</v>
      </c>
      <c r="X1038">
        <v>2.6302000612918305E-2</v>
      </c>
      <c r="Y1038">
        <v>9.9552858409990355E-3</v>
      </c>
    </row>
    <row r="1039" spans="1:25" x14ac:dyDescent="0.25">
      <c r="A1039" s="1093"/>
      <c r="B1039" s="1452">
        <v>789</v>
      </c>
      <c r="C1039" s="1097">
        <v>0.97821134829672662</v>
      </c>
      <c r="D1039" s="1097">
        <v>1.0052311274120849</v>
      </c>
      <c r="E1039" s="1097">
        <v>1.0026096715914261</v>
      </c>
      <c r="F1039" s="1097">
        <v>1.0128548605669792</v>
      </c>
      <c r="G1039" s="1097">
        <v>1.0219549015542531</v>
      </c>
      <c r="H1039" s="1097">
        <v>0.98266970878147908</v>
      </c>
      <c r="I1039" s="1097">
        <v>0.96753483025107523</v>
      </c>
      <c r="K1039">
        <v>5.2373107264798904</v>
      </c>
      <c r="L1039">
        <v>0</v>
      </c>
      <c r="M1039">
        <v>3.6515075483313955E-3</v>
      </c>
      <c r="N1039">
        <v>0.31923870848607627</v>
      </c>
      <c r="O1039">
        <v>0.15325090773722785</v>
      </c>
      <c r="P1039">
        <v>2.0579628379752558E-2</v>
      </c>
      <c r="Q1039">
        <v>1.3328186630272602E-3</v>
      </c>
      <c r="R1039">
        <v>3.6454197108655067E-3</v>
      </c>
      <c r="S1039">
        <v>0.4585895865750067</v>
      </c>
      <c r="T1039">
        <v>4.0463585664013868</v>
      </c>
      <c r="U1039">
        <v>0</v>
      </c>
      <c r="V1039">
        <v>1.130476720982382E-2</v>
      </c>
      <c r="W1039">
        <v>0.18982232498438198</v>
      </c>
      <c r="X1039">
        <v>2.6537271463135306E-2</v>
      </c>
      <c r="Y1039">
        <v>1.0302234417534842E-2</v>
      </c>
    </row>
    <row r="1040" spans="1:25" x14ac:dyDescent="0.25">
      <c r="A1040" s="1093"/>
      <c r="B1040" s="1452">
        <v>790</v>
      </c>
      <c r="C1040" s="1097">
        <v>0.98875249428965795</v>
      </c>
      <c r="D1040" s="1097">
        <v>1.0189624987124284</v>
      </c>
      <c r="E1040" s="1097">
        <v>0.96162304562865175</v>
      </c>
      <c r="F1040" s="1097">
        <v>0.98292371608931728</v>
      </c>
      <c r="G1040" s="1097">
        <v>1.0232990837091851</v>
      </c>
      <c r="H1040" s="1097">
        <v>0.99027279776092336</v>
      </c>
      <c r="I1040" s="1097">
        <v>0.97809199972151462</v>
      </c>
      <c r="K1040">
        <v>5.0704604613289623</v>
      </c>
      <c r="L1040">
        <v>0</v>
      </c>
      <c r="M1040">
        <v>3.829857400802376E-3</v>
      </c>
      <c r="N1040">
        <v>0.29648184705481606</v>
      </c>
      <c r="O1040">
        <v>0.14746535856775411</v>
      </c>
      <c r="P1040">
        <v>1.9395468943279565E-2</v>
      </c>
      <c r="Q1040">
        <v>1.265693048356878E-3</v>
      </c>
      <c r="R1040">
        <v>3.8233286227238035E-3</v>
      </c>
      <c r="S1040">
        <v>0.4474732595087913</v>
      </c>
      <c r="T1040">
        <v>3.9318840261972903</v>
      </c>
      <c r="U1040">
        <v>0</v>
      </c>
      <c r="V1040">
        <v>1.1304767209823822E-2</v>
      </c>
      <c r="W1040">
        <v>0.18130439636588871</v>
      </c>
      <c r="X1040">
        <v>2.3087154625888374E-2</v>
      </c>
      <c r="Y1040">
        <v>1.0805018585149264E-2</v>
      </c>
    </row>
    <row r="1041" spans="1:25" x14ac:dyDescent="0.25">
      <c r="A1041" s="1093"/>
      <c r="B1041" s="1452">
        <v>791</v>
      </c>
      <c r="C1041" s="1097">
        <v>0.98325972536265605</v>
      </c>
      <c r="D1041" s="1097">
        <v>0.9911828902987202</v>
      </c>
      <c r="E1041" s="1097">
        <v>1.0093884037882506</v>
      </c>
      <c r="F1041" s="1097">
        <v>1.0218696392684445</v>
      </c>
      <c r="G1041" s="1097">
        <v>1.0368134455232219</v>
      </c>
      <c r="H1041" s="1097">
        <v>0.99783236782497553</v>
      </c>
      <c r="I1041" s="1097">
        <v>0.99436357954535226</v>
      </c>
      <c r="K1041">
        <v>5.3076128897006303</v>
      </c>
      <c r="L1041">
        <v>0</v>
      </c>
      <c r="M1041">
        <v>3.6895041250446436E-3</v>
      </c>
      <c r="N1041">
        <v>0.32911497376977467</v>
      </c>
      <c r="O1041">
        <v>0.15449261789703508</v>
      </c>
      <c r="P1041">
        <v>2.0926902801115786E-2</v>
      </c>
      <c r="Q1041">
        <v>1.3412008796944703E-3</v>
      </c>
      <c r="R1041">
        <v>3.6834997636304573E-3</v>
      </c>
      <c r="S1041">
        <v>0.47662034255280428</v>
      </c>
      <c r="T1041">
        <v>4.0815053912151313</v>
      </c>
      <c r="U1041">
        <v>0</v>
      </c>
      <c r="V1041">
        <v>1.1304767209823811E-2</v>
      </c>
      <c r="W1041">
        <v>0.19480392755882275</v>
      </c>
      <c r="X1041">
        <v>2.7098918623919371E-2</v>
      </c>
      <c r="Y1041">
        <v>1.0409851553923091E-2</v>
      </c>
    </row>
    <row r="1042" spans="1:25" x14ac:dyDescent="0.25">
      <c r="A1042" s="1093"/>
      <c r="B1042" s="1452">
        <v>792</v>
      </c>
      <c r="C1042" s="1097">
        <v>1.0118960491770101</v>
      </c>
      <c r="D1042" s="1097">
        <v>1.0183641672968318</v>
      </c>
      <c r="E1042" s="1097">
        <v>1.0040878114856719</v>
      </c>
      <c r="F1042" s="1097">
        <v>1.0081260986500833</v>
      </c>
      <c r="G1042" s="1097">
        <v>1.010236257657859</v>
      </c>
      <c r="H1042" s="1097">
        <v>0.99102677058711586</v>
      </c>
      <c r="I1042" s="1097">
        <v>0.96168063389667613</v>
      </c>
      <c r="K1042">
        <v>5.1737093428738987</v>
      </c>
      <c r="L1042">
        <v>0</v>
      </c>
      <c r="M1042">
        <v>3.514069326761671E-3</v>
      </c>
      <c r="N1042">
        <v>0.30857306355744374</v>
      </c>
      <c r="O1042">
        <v>0.14665339553927295</v>
      </c>
      <c r="P1042">
        <v>2.0427240538395779E-2</v>
      </c>
      <c r="Q1042">
        <v>1.2833998614076897E-3</v>
      </c>
      <c r="R1042">
        <v>3.508232828301669E-3</v>
      </c>
      <c r="S1042">
        <v>0.43930806904127206</v>
      </c>
      <c r="T1042">
        <v>4.0272803485728028</v>
      </c>
      <c r="U1042">
        <v>0</v>
      </c>
      <c r="V1042">
        <v>1.1304767209823824E-2</v>
      </c>
      <c r="W1042">
        <v>0.18329763593226805</v>
      </c>
      <c r="X1042">
        <v>2.5672725305981806E-2</v>
      </c>
      <c r="Y1042">
        <v>9.9145338136864235E-3</v>
      </c>
    </row>
    <row r="1043" spans="1:25" x14ac:dyDescent="0.25">
      <c r="A1043" s="1093"/>
      <c r="B1043" s="1452">
        <v>793</v>
      </c>
      <c r="C1043" s="1097">
        <v>1.0006968478993667</v>
      </c>
      <c r="D1043" s="1097">
        <v>0.99333688094717143</v>
      </c>
      <c r="E1043" s="1097">
        <v>1.0055123351437203</v>
      </c>
      <c r="F1043" s="1097">
        <v>1.0191304272489847</v>
      </c>
      <c r="G1043" s="1097">
        <v>1.0067776301432132</v>
      </c>
      <c r="H1043" s="1097">
        <v>1.0350125880522161</v>
      </c>
      <c r="I1043" s="1097">
        <v>1.0337535296098872</v>
      </c>
      <c r="K1043">
        <v>5.316560743491709</v>
      </c>
      <c r="L1043">
        <v>0</v>
      </c>
      <c r="M1043">
        <v>3.7777213780462279E-3</v>
      </c>
      <c r="N1043">
        <v>0.33315642708880999</v>
      </c>
      <c r="O1043">
        <v>0.15137245667124927</v>
      </c>
      <c r="P1043">
        <v>2.0893655036373384E-2</v>
      </c>
      <c r="Q1043">
        <v>1.3123406251527342E-3</v>
      </c>
      <c r="R1043">
        <v>3.7717783943742476E-3</v>
      </c>
      <c r="S1043">
        <v>0.49291762241573284</v>
      </c>
      <c r="T1043">
        <v>4.0710587763578125</v>
      </c>
      <c r="U1043">
        <v>0</v>
      </c>
      <c r="V1043">
        <v>1.130476720982382E-2</v>
      </c>
      <c r="W1043">
        <v>0.19771074286915824</v>
      </c>
      <c r="X1043">
        <v>2.6180564497107196E-2</v>
      </c>
      <c r="Y1043">
        <v>1.0659333704159668E-2</v>
      </c>
    </row>
    <row r="1044" spans="1:25" x14ac:dyDescent="0.25">
      <c r="A1044" s="1093"/>
      <c r="B1044" s="1452">
        <v>794</v>
      </c>
      <c r="C1044" s="1097">
        <v>1.003712474254703</v>
      </c>
      <c r="D1044" s="1097">
        <v>0.9850785535434804</v>
      </c>
      <c r="E1044" s="1097">
        <v>0.99331873471500798</v>
      </c>
      <c r="F1044" s="1097">
        <v>1.001709933366864</v>
      </c>
      <c r="G1044" s="1097">
        <v>1.0258835055923849</v>
      </c>
      <c r="H1044" s="1097">
        <v>0.98158876340271339</v>
      </c>
      <c r="I1044" s="1097">
        <v>1.0137312294203431</v>
      </c>
      <c r="K1044">
        <v>5.1775819761227782</v>
      </c>
      <c r="L1044">
        <v>0</v>
      </c>
      <c r="M1044">
        <v>3.6143736464800866E-3</v>
      </c>
      <c r="N1044">
        <v>0.30740445625437191</v>
      </c>
      <c r="O1044">
        <v>0.14917490732820207</v>
      </c>
      <c r="P1044">
        <v>2.0272807175265199E-2</v>
      </c>
      <c r="Q1044">
        <v>1.2991217487371828E-3</v>
      </c>
      <c r="R1044">
        <v>3.6082740767008278E-3</v>
      </c>
      <c r="S1044">
        <v>0.46558993536209131</v>
      </c>
      <c r="T1044">
        <v>4.0030041625464658</v>
      </c>
      <c r="U1044">
        <v>0</v>
      </c>
      <c r="V1044">
        <v>1.1304767209823824E-2</v>
      </c>
      <c r="W1044">
        <v>0.18393858167058424</v>
      </c>
      <c r="X1044">
        <v>2.5402078377562254E-2</v>
      </c>
      <c r="Y1044">
        <v>1.0197258019450451E-2</v>
      </c>
    </row>
    <row r="1045" spans="1:25" x14ac:dyDescent="0.25">
      <c r="A1045" s="1093"/>
      <c r="B1045" s="1452">
        <v>795</v>
      </c>
      <c r="C1045" s="1097">
        <v>0.99804900893668314</v>
      </c>
      <c r="D1045" s="1097">
        <v>0.99682970964693363</v>
      </c>
      <c r="E1045" s="1097">
        <v>0.95457548965897154</v>
      </c>
      <c r="F1045" s="1097">
        <v>1.0139233306908366</v>
      </c>
      <c r="G1045" s="1097">
        <v>1.0132889555734645</v>
      </c>
      <c r="H1045" s="1097">
        <v>1.0106901186422845</v>
      </c>
      <c r="I1045" s="1097">
        <v>1.0097336900410894</v>
      </c>
      <c r="K1045">
        <v>5.2525122927616064</v>
      </c>
      <c r="L1045">
        <v>0</v>
      </c>
      <c r="M1045">
        <v>4.0894225553180785E-3</v>
      </c>
      <c r="N1045">
        <v>0.31003993110093958</v>
      </c>
      <c r="O1045">
        <v>0.15222808831608525</v>
      </c>
      <c r="P1045">
        <v>1.9962500884325683E-2</v>
      </c>
      <c r="Q1045">
        <v>1.2571430603166526E-3</v>
      </c>
      <c r="R1045">
        <v>4.0828006154381034E-3</v>
      </c>
      <c r="S1045">
        <v>0.47564908107524906</v>
      </c>
      <c r="T1045">
        <v>4.0568031632875341</v>
      </c>
      <c r="U1045">
        <v>0</v>
      </c>
      <c r="V1045">
        <v>1.1304767209823824E-2</v>
      </c>
      <c r="W1045">
        <v>0.19052698335844601</v>
      </c>
      <c r="X1045">
        <v>2.3208950162452901E-2</v>
      </c>
      <c r="Y1045">
        <v>1.15383062463094E-2</v>
      </c>
    </row>
    <row r="1046" spans="1:25" x14ac:dyDescent="0.25">
      <c r="A1046" s="1093"/>
      <c r="B1046" s="1452">
        <v>796</v>
      </c>
      <c r="C1046" s="1097">
        <v>0.9998603790896281</v>
      </c>
      <c r="D1046" s="1097">
        <v>0.99788408749906143</v>
      </c>
      <c r="E1046" s="1097">
        <v>1.0125475779696103</v>
      </c>
      <c r="F1046" s="1097">
        <v>0.98054201477227176</v>
      </c>
      <c r="G1046" s="1097">
        <v>1.0070158014734263</v>
      </c>
      <c r="H1046" s="1097">
        <v>1.021175930077864</v>
      </c>
      <c r="I1046" s="1097">
        <v>0.99699869859234413</v>
      </c>
      <c r="K1046">
        <v>5.0929648628306392</v>
      </c>
      <c r="L1046">
        <v>0</v>
      </c>
      <c r="M1046">
        <v>3.5300069133975564E-3</v>
      </c>
      <c r="N1046">
        <v>0.31783681091515825</v>
      </c>
      <c r="O1046">
        <v>0.14530443869735163</v>
      </c>
      <c r="P1046">
        <v>2.0129210571433045E-2</v>
      </c>
      <c r="Q1046">
        <v>1.3189243580288071E-3</v>
      </c>
      <c r="R1046">
        <v>3.5241572488182941E-3</v>
      </c>
      <c r="S1046">
        <v>0.45765851545712244</v>
      </c>
      <c r="T1046">
        <v>3.9160495510651723</v>
      </c>
      <c r="U1046">
        <v>0</v>
      </c>
      <c r="V1046">
        <v>1.1304767209823824E-2</v>
      </c>
      <c r="W1046">
        <v>0.1877300602650156</v>
      </c>
      <c r="X1046">
        <v>2.5678896514271167E-2</v>
      </c>
      <c r="Y1046">
        <v>9.9595374418384019E-3</v>
      </c>
    </row>
    <row r="1047" spans="1:25" x14ac:dyDescent="0.25">
      <c r="A1047" s="1093"/>
      <c r="B1047" s="1452">
        <v>797</v>
      </c>
      <c r="C1047" s="1097">
        <v>0.99772418907351024</v>
      </c>
      <c r="D1047" s="1097">
        <v>0.97465079408597044</v>
      </c>
      <c r="E1047" s="1097">
        <v>0.97433134004663091</v>
      </c>
      <c r="F1047" s="1097">
        <v>0.98321481347784145</v>
      </c>
      <c r="G1047" s="1097">
        <v>1.0048508611002134</v>
      </c>
      <c r="H1047" s="1097">
        <v>1.011895044521024</v>
      </c>
      <c r="I1047" s="1097">
        <v>1.007027311220132</v>
      </c>
      <c r="K1047">
        <v>5.1081066101062111</v>
      </c>
      <c r="L1047">
        <v>0</v>
      </c>
      <c r="M1047">
        <v>3.8452824242699492E-3</v>
      </c>
      <c r="N1047">
        <v>0.30913751038529841</v>
      </c>
      <c r="O1047">
        <v>0.14845377689641201</v>
      </c>
      <c r="P1047">
        <v>1.9660883447796918E-2</v>
      </c>
      <c r="Q1047">
        <v>1.2910912249449403E-3</v>
      </c>
      <c r="R1047">
        <v>3.83886931641777E-3</v>
      </c>
      <c r="S1047">
        <v>0.46477448192657028</v>
      </c>
      <c r="T1047">
        <v>3.9314561910812373</v>
      </c>
      <c r="U1047">
        <v>0</v>
      </c>
      <c r="V1047">
        <v>1.1304767209823827E-2</v>
      </c>
      <c r="W1047">
        <v>0.18739129085777742</v>
      </c>
      <c r="X1047">
        <v>2.3794092412193719E-2</v>
      </c>
      <c r="Y1047">
        <v>1.084893777200425E-2</v>
      </c>
    </row>
    <row r="1048" spans="1:25" x14ac:dyDescent="0.25">
      <c r="A1048" s="1093"/>
      <c r="B1048" s="1452">
        <v>798</v>
      </c>
      <c r="C1048" s="1097">
        <v>1.0215881627505417</v>
      </c>
      <c r="D1048" s="1097">
        <v>0.99710784963986843</v>
      </c>
      <c r="E1048" s="1097">
        <v>0.9996757290385907</v>
      </c>
      <c r="F1048" s="1097">
        <v>0.98462152196730679</v>
      </c>
      <c r="G1048" s="1097">
        <v>0.99430670202172733</v>
      </c>
      <c r="H1048" s="1097">
        <v>1.0259525029778389</v>
      </c>
      <c r="I1048" s="1097">
        <v>1.0116720795706207</v>
      </c>
      <c r="K1048">
        <v>5.0969657736164082</v>
      </c>
      <c r="L1048">
        <v>0</v>
      </c>
      <c r="M1048">
        <v>3.5824868303218822E-3</v>
      </c>
      <c r="N1048">
        <v>0.31050141490777472</v>
      </c>
      <c r="O1048">
        <v>0.14319590300601823</v>
      </c>
      <c r="P1048">
        <v>2.0016489930857549E-2</v>
      </c>
      <c r="Q1048">
        <v>1.2771626109829312E-3</v>
      </c>
      <c r="R1048">
        <v>3.5766022803809866E-3</v>
      </c>
      <c r="S1048">
        <v>0.45704333473820757</v>
      </c>
      <c r="T1048">
        <v>3.933928789353843</v>
      </c>
      <c r="U1048">
        <v>0</v>
      </c>
      <c r="V1048">
        <v>1.1304767209823825E-2</v>
      </c>
      <c r="W1048">
        <v>0.18499323850142319</v>
      </c>
      <c r="X1048">
        <v>2.4602806802390052E-2</v>
      </c>
      <c r="Y1048">
        <v>1.010775110502332E-2</v>
      </c>
    </row>
    <row r="1049" spans="1:25" x14ac:dyDescent="0.25">
      <c r="A1049" s="1093"/>
      <c r="B1049" s="1452">
        <v>799</v>
      </c>
      <c r="C1049" s="1097">
        <v>1.0031927883834912</v>
      </c>
      <c r="D1049" s="1097">
        <v>1.0010637557701327</v>
      </c>
      <c r="E1049" s="1097">
        <v>1.0198454795321645</v>
      </c>
      <c r="F1049" s="1097">
        <v>0.9695228622138462</v>
      </c>
      <c r="G1049" s="1097">
        <v>0.97601001119534769</v>
      </c>
      <c r="H1049" s="1097">
        <v>0.99845220210859531</v>
      </c>
      <c r="I1049" s="1097">
        <v>0.98723031842788067</v>
      </c>
      <c r="K1049">
        <v>5.0135802515696026</v>
      </c>
      <c r="L1049">
        <v>0</v>
      </c>
      <c r="M1049">
        <v>3.3451345882521012E-3</v>
      </c>
      <c r="N1049">
        <v>0.30774934526213427</v>
      </c>
      <c r="O1049">
        <v>0.14281590210330974</v>
      </c>
      <c r="P1049">
        <v>1.9962978439325804E-2</v>
      </c>
      <c r="Q1049">
        <v>1.3210239605049991E-3</v>
      </c>
      <c r="R1049">
        <v>3.3394007941359503E-3</v>
      </c>
      <c r="S1049">
        <v>0.44307714797936776</v>
      </c>
      <c r="T1049">
        <v>3.8711601370732462</v>
      </c>
      <c r="U1049">
        <v>0</v>
      </c>
      <c r="V1049">
        <v>1.1304767209823806E-2</v>
      </c>
      <c r="W1049">
        <v>0.18088726123764209</v>
      </c>
      <c r="X1049">
        <v>2.5870020502948458E-2</v>
      </c>
      <c r="Y1049">
        <v>9.4374015954180601E-3</v>
      </c>
    </row>
    <row r="1050" spans="1:25" x14ac:dyDescent="0.25">
      <c r="A1050" s="1093"/>
      <c r="B1050" s="1452">
        <v>800</v>
      </c>
      <c r="C1050" s="1097">
        <v>0.99781851609968941</v>
      </c>
      <c r="D1050" s="1097">
        <v>0.99347199654895679</v>
      </c>
      <c r="E1050" s="1097">
        <v>0.99050332978792699</v>
      </c>
      <c r="F1050" s="1097">
        <v>1.0329730184450792</v>
      </c>
      <c r="G1050" s="1097">
        <v>0.98613385759483196</v>
      </c>
      <c r="H1050" s="1097">
        <v>1.0232723192164987</v>
      </c>
      <c r="I1050" s="1097">
        <v>1.0093815650215456</v>
      </c>
      <c r="K1050">
        <v>5.3673946964087538</v>
      </c>
      <c r="L1050">
        <v>0</v>
      </c>
      <c r="M1050">
        <v>3.9180997541661327E-3</v>
      </c>
      <c r="N1050">
        <v>0.33050554688175671</v>
      </c>
      <c r="O1050">
        <v>0.15429633031804407</v>
      </c>
      <c r="P1050">
        <v>2.0887471540297291E-2</v>
      </c>
      <c r="Q1050">
        <v>1.2992131063214569E-3</v>
      </c>
      <c r="R1050">
        <v>3.911948626024243E-3</v>
      </c>
      <c r="S1050">
        <v>0.48588814263697244</v>
      </c>
      <c r="T1050">
        <v>4.1283033212310949</v>
      </c>
      <c r="U1050">
        <v>0</v>
      </c>
      <c r="V1050">
        <v>1.1304767209823815E-2</v>
      </c>
      <c r="W1050">
        <v>0.19814010169310503</v>
      </c>
      <c r="X1050">
        <v>2.572048743918786E-2</v>
      </c>
      <c r="Y1050">
        <v>1.1055465480293496E-2</v>
      </c>
    </row>
    <row r="1051" spans="1:25" x14ac:dyDescent="0.25">
      <c r="A1051" s="1093"/>
      <c r="B1051" s="1452">
        <v>801</v>
      </c>
      <c r="C1051" s="1097">
        <v>1.0133950467001189</v>
      </c>
      <c r="D1051" s="1097">
        <v>0.97915067704492376</v>
      </c>
      <c r="E1051" s="1097">
        <v>1.0009632827062078</v>
      </c>
      <c r="F1051" s="1097">
        <v>1.034178832327</v>
      </c>
      <c r="G1051" s="1097">
        <v>0.98752581838850473</v>
      </c>
      <c r="H1051" s="1097">
        <v>1.0286510553264219</v>
      </c>
      <c r="I1051" s="1097">
        <v>1.0315296474162508</v>
      </c>
      <c r="K1051">
        <v>5.3772472988135069</v>
      </c>
      <c r="L1051">
        <v>0</v>
      </c>
      <c r="M1051">
        <v>3.8202619252217965E-3</v>
      </c>
      <c r="N1051">
        <v>0.33240295256999047</v>
      </c>
      <c r="O1051">
        <v>0.15268843147649683</v>
      </c>
      <c r="P1051">
        <v>2.109461689888107E-2</v>
      </c>
      <c r="Q1051">
        <v>1.2983131283099559E-3</v>
      </c>
      <c r="R1051">
        <v>3.8143027010526524E-3</v>
      </c>
      <c r="S1051">
        <v>0.49187215470843704</v>
      </c>
      <c r="T1051">
        <v>4.1317614995740843</v>
      </c>
      <c r="U1051">
        <v>0</v>
      </c>
      <c r="V1051">
        <v>1.1304767209823811E-2</v>
      </c>
      <c r="W1051">
        <v>0.19786969882090241</v>
      </c>
      <c r="X1051">
        <v>2.6181313009338368E-2</v>
      </c>
      <c r="Y1051">
        <v>1.077951064141007E-2</v>
      </c>
    </row>
    <row r="1052" spans="1:25" x14ac:dyDescent="0.25">
      <c r="A1052" s="1093"/>
      <c r="B1052" s="1452">
        <v>802</v>
      </c>
      <c r="C1052" s="1097">
        <v>0.99061526833111146</v>
      </c>
      <c r="D1052" s="1097">
        <v>0.97546497328730197</v>
      </c>
      <c r="E1052" s="1097">
        <v>0.97256417917742721</v>
      </c>
      <c r="F1052" s="1097">
        <v>0.97261994111256878</v>
      </c>
      <c r="G1052" s="1097">
        <v>0.98284464322946075</v>
      </c>
      <c r="H1052" s="1097">
        <v>1.0192899930037813</v>
      </c>
      <c r="I1052" s="1097">
        <v>0.9897319683766912</v>
      </c>
      <c r="K1052">
        <v>5.0584767369456136</v>
      </c>
      <c r="L1052">
        <v>0</v>
      </c>
      <c r="M1052">
        <v>3.8722481642355687E-3</v>
      </c>
      <c r="N1052">
        <v>0.30967462090191222</v>
      </c>
      <c r="O1052">
        <v>0.14790728920995</v>
      </c>
      <c r="P1052">
        <v>1.9412951858672398E-2</v>
      </c>
      <c r="Q1052">
        <v>1.2979213498551306E-3</v>
      </c>
      <c r="R1052">
        <v>3.865767217504376E-3</v>
      </c>
      <c r="S1052">
        <v>0.45721789611248509</v>
      </c>
      <c r="T1052">
        <v>3.8893103012233485</v>
      </c>
      <c r="U1052">
        <v>0</v>
      </c>
      <c r="V1052">
        <v>1.1304767209823813E-2</v>
      </c>
      <c r="W1052">
        <v>0.18794530699566872</v>
      </c>
      <c r="X1052">
        <v>2.3487209736595363E-2</v>
      </c>
      <c r="Y1052">
        <v>1.0924953294032601E-2</v>
      </c>
    </row>
    <row r="1053" spans="1:25" x14ac:dyDescent="0.25">
      <c r="A1053" s="1093"/>
      <c r="B1053" s="1452">
        <v>803</v>
      </c>
      <c r="C1053" s="1097">
        <v>1.0009201492520621</v>
      </c>
      <c r="D1053" s="1097">
        <v>0.99431781834721999</v>
      </c>
      <c r="E1053" s="1097">
        <v>1.041802489656267</v>
      </c>
      <c r="F1053" s="1097">
        <v>1.0336914145336513</v>
      </c>
      <c r="G1053" s="1097">
        <v>0.99488800462001692</v>
      </c>
      <c r="H1053" s="1097">
        <v>1.0261276897618703</v>
      </c>
      <c r="I1053" s="1097">
        <v>1.0244202570375425</v>
      </c>
      <c r="K1053">
        <v>5.3877064068800671</v>
      </c>
      <c r="L1053">
        <v>0</v>
      </c>
      <c r="M1053">
        <v>3.5160776274457397E-3</v>
      </c>
      <c r="N1053">
        <v>0.34522080528021809</v>
      </c>
      <c r="O1053">
        <v>0.15239453227521843</v>
      </c>
      <c r="P1053">
        <v>2.1703000294453927E-2</v>
      </c>
      <c r="Q1053">
        <v>1.3523359750885107E-3</v>
      </c>
      <c r="R1053">
        <v>3.5105768241800775E-3</v>
      </c>
      <c r="S1053">
        <v>0.49237260751510964</v>
      </c>
      <c r="T1053">
        <v>4.1245674622365653</v>
      </c>
      <c r="U1053">
        <v>0</v>
      </c>
      <c r="V1053">
        <v>1.1304767209823799E-2</v>
      </c>
      <c r="W1053">
        <v>0.19998416241198388</v>
      </c>
      <c r="X1053">
        <v>2.8891076359880089E-2</v>
      </c>
      <c r="Y1053">
        <v>9.9211581249944274E-3</v>
      </c>
    </row>
    <row r="1054" spans="1:25" x14ac:dyDescent="0.25">
      <c r="A1054" s="1093"/>
      <c r="B1054" s="1452">
        <v>804</v>
      </c>
      <c r="C1054" s="1097">
        <v>1.0019368047964283</v>
      </c>
      <c r="D1054" s="1097">
        <v>1.0110869800611677</v>
      </c>
      <c r="E1054" s="1097">
        <v>1.0372214234596331</v>
      </c>
      <c r="F1054" s="1097">
        <v>1.0065239378731015</v>
      </c>
      <c r="G1054" s="1097">
        <v>1.0085952120045931</v>
      </c>
      <c r="H1054" s="1097">
        <v>0.9679777865761694</v>
      </c>
      <c r="I1054" s="1097">
        <v>0.98867023090122041</v>
      </c>
      <c r="K1054">
        <v>5.1822410778831403</v>
      </c>
      <c r="L1054">
        <v>0</v>
      </c>
      <c r="M1054">
        <v>3.2362571274372914E-3</v>
      </c>
      <c r="N1054">
        <v>0.31343211740334798</v>
      </c>
      <c r="O1054">
        <v>0.1473779280961599</v>
      </c>
      <c r="P1054">
        <v>2.093824616108186E-2</v>
      </c>
      <c r="Q1054">
        <v>1.3368277734573659E-3</v>
      </c>
      <c r="R1054">
        <v>3.2307453118675892E-3</v>
      </c>
      <c r="S1054">
        <v>0.4518789646700741</v>
      </c>
      <c r="T1054">
        <v>4.016733680778664</v>
      </c>
      <c r="U1054">
        <v>0</v>
      </c>
      <c r="V1054">
        <v>1.1304767209823818E-2</v>
      </c>
      <c r="W1054">
        <v>0.18211738950569509</v>
      </c>
      <c r="X1054">
        <v>2.799633519332978E-2</v>
      </c>
      <c r="Y1054">
        <v>9.1303329070740267E-3</v>
      </c>
    </row>
    <row r="1055" spans="1:25" x14ac:dyDescent="0.25">
      <c r="A1055" s="1093"/>
      <c r="B1055" s="1452">
        <v>805</v>
      </c>
      <c r="C1055" s="1097">
        <v>1.0094967705803497</v>
      </c>
      <c r="D1055" s="1097">
        <v>0.99482263730540454</v>
      </c>
      <c r="E1055" s="1097">
        <v>0.99374019305760952</v>
      </c>
      <c r="F1055" s="1097">
        <v>0.97924024732650694</v>
      </c>
      <c r="G1055" s="1097">
        <v>1.0001725717934982</v>
      </c>
      <c r="H1055" s="1097">
        <v>1.0093609765904754</v>
      </c>
      <c r="I1055" s="1097">
        <v>0.9834115195149884</v>
      </c>
      <c r="K1055">
        <v>5.0586173034929329</v>
      </c>
      <c r="L1055">
        <v>0</v>
      </c>
      <c r="M1055">
        <v>3.5952008242479978E-3</v>
      </c>
      <c r="N1055">
        <v>0.30615876958320842</v>
      </c>
      <c r="O1055">
        <v>0.14441198362890284</v>
      </c>
      <c r="P1055">
        <v>1.9778277888123523E-2</v>
      </c>
      <c r="Q1055">
        <v>1.287069026607906E-3</v>
      </c>
      <c r="R1055">
        <v>3.5891653889608844E-3</v>
      </c>
      <c r="S1055">
        <v>0.44477505672466211</v>
      </c>
      <c r="T1055">
        <v>3.913159480937566</v>
      </c>
      <c r="U1055">
        <v>0</v>
      </c>
      <c r="V1055">
        <v>1.1304767209823817E-2</v>
      </c>
      <c r="W1055">
        <v>0.18314080698269575</v>
      </c>
      <c r="X1055">
        <v>2.446387153761195E-2</v>
      </c>
      <c r="Y1055">
        <v>1.0143255409018073E-2</v>
      </c>
    </row>
    <row r="1056" spans="1:25" x14ac:dyDescent="0.25">
      <c r="A1056" s="1093"/>
      <c r="B1056" s="1452">
        <v>806</v>
      </c>
      <c r="C1056" s="1097">
        <v>0.97335183662832558</v>
      </c>
      <c r="D1056" s="1097">
        <v>1.0066604011110263</v>
      </c>
      <c r="E1056" s="1097">
        <v>0.99490302218445015</v>
      </c>
      <c r="F1056" s="1097">
        <v>1.0059905539564746</v>
      </c>
      <c r="G1056" s="1097">
        <v>1.0048263750668098</v>
      </c>
      <c r="H1056" s="1097">
        <v>1.0088158554779976</v>
      </c>
      <c r="I1056" s="1097">
        <v>0.99167196292649162</v>
      </c>
      <c r="K1056">
        <v>5.2361130129912539</v>
      </c>
      <c r="L1056">
        <v>0</v>
      </c>
      <c r="M1056">
        <v>3.8009415800781959E-3</v>
      </c>
      <c r="N1056">
        <v>0.32481098082962878</v>
      </c>
      <c r="O1056">
        <v>0.15310642483624784</v>
      </c>
      <c r="P1056">
        <v>2.0414178998655538E-2</v>
      </c>
      <c r="Q1056">
        <v>1.3298919803171837E-3</v>
      </c>
      <c r="R1056">
        <v>3.7947267942132243E-3</v>
      </c>
      <c r="S1056">
        <v>0.47456912014563907</v>
      </c>
      <c r="T1056">
        <v>4.0199095968526866</v>
      </c>
      <c r="U1056">
        <v>0</v>
      </c>
      <c r="V1056">
        <v>1.1304767209823811E-2</v>
      </c>
      <c r="W1056">
        <v>0.19414512086355082</v>
      </c>
      <c r="X1056">
        <v>2.5804958426435064E-2</v>
      </c>
      <c r="Y1056">
        <v>1.0724187634132064E-2</v>
      </c>
    </row>
    <row r="1057" spans="1:25" x14ac:dyDescent="0.25">
      <c r="A1057" s="1093"/>
      <c r="B1057" s="1452">
        <v>807</v>
      </c>
      <c r="C1057" s="1097">
        <v>1.0032870626790265</v>
      </c>
      <c r="D1057" s="1097">
        <v>1.025419487758193</v>
      </c>
      <c r="E1057" s="1097">
        <v>0.99753832637832396</v>
      </c>
      <c r="F1057" s="1097">
        <v>0.98234132208668279</v>
      </c>
      <c r="G1057" s="1097">
        <v>0.99589306747631934</v>
      </c>
      <c r="H1057" s="1097">
        <v>1.0044978643350575</v>
      </c>
      <c r="I1057" s="1097">
        <v>0.98085199502122689</v>
      </c>
      <c r="K1057">
        <v>5.0668402926186991</v>
      </c>
      <c r="L1057">
        <v>0</v>
      </c>
      <c r="M1057">
        <v>3.539504385900677E-3</v>
      </c>
      <c r="N1057">
        <v>0.30482725304820291</v>
      </c>
      <c r="O1057">
        <v>0.14390789467481216</v>
      </c>
      <c r="P1057">
        <v>1.9885225364647235E-2</v>
      </c>
      <c r="Q1057">
        <v>1.2836209843229071E-3</v>
      </c>
      <c r="R1057">
        <v>3.5335525005707625E-3</v>
      </c>
      <c r="S1057">
        <v>0.44400780701317444</v>
      </c>
      <c r="T1057">
        <v>3.925082334872668</v>
      </c>
      <c r="U1057">
        <v>0</v>
      </c>
      <c r="V1057">
        <v>1.1304767209823817E-2</v>
      </c>
      <c r="W1057">
        <v>0.18187543543916257</v>
      </c>
      <c r="X1057">
        <v>2.4685816756627094E-2</v>
      </c>
      <c r="Y1057">
        <v>9.9860891405844174E-3</v>
      </c>
    </row>
    <row r="1058" spans="1:25" x14ac:dyDescent="0.25">
      <c r="A1058" s="1093"/>
      <c r="B1058" s="1452">
        <v>808</v>
      </c>
      <c r="C1058" s="1097">
        <v>0.99142303627839223</v>
      </c>
      <c r="D1058" s="1097">
        <v>0.97572913991308863</v>
      </c>
      <c r="E1058" s="1097">
        <v>1.0191537123760657</v>
      </c>
      <c r="F1058" s="1097">
        <v>1.0349652975198154</v>
      </c>
      <c r="G1058" s="1097">
        <v>1.010707677561143</v>
      </c>
      <c r="H1058" s="1097">
        <v>1.013458880002484</v>
      </c>
      <c r="I1058" s="1097">
        <v>0.97912255872024179</v>
      </c>
      <c r="K1058">
        <v>5.3767232127690887</v>
      </c>
      <c r="L1058">
        <v>0</v>
      </c>
      <c r="M1058">
        <v>3.710446165178358E-3</v>
      </c>
      <c r="N1058">
        <v>0.34070476841076047</v>
      </c>
      <c r="O1058">
        <v>0.15587600155864156</v>
      </c>
      <c r="P1058">
        <v>2.1305537890004812E-2</v>
      </c>
      <c r="Q1058">
        <v>1.3496922867898334E-3</v>
      </c>
      <c r="R1058">
        <v>3.7045759361350114E-3</v>
      </c>
      <c r="S1058">
        <v>0.47492983159637736</v>
      </c>
      <c r="T1058">
        <v>4.1325510805853751</v>
      </c>
      <c r="U1058">
        <v>0</v>
      </c>
      <c r="V1058">
        <v>1.1304767209823817E-2</v>
      </c>
      <c r="W1058">
        <v>0.20035004692019451</v>
      </c>
      <c r="X1058">
        <v>2.7887942113651969E-2</v>
      </c>
      <c r="Y1058">
        <v>1.0469414426510611E-2</v>
      </c>
    </row>
    <row r="1059" spans="1:25" x14ac:dyDescent="0.25">
      <c r="A1059" s="1093"/>
      <c r="B1059" s="1452">
        <v>809</v>
      </c>
      <c r="C1059" s="1097">
        <v>0.98012475238363594</v>
      </c>
      <c r="D1059" s="1097">
        <v>0.99710828690070397</v>
      </c>
      <c r="E1059" s="1097">
        <v>1.0380715038137285</v>
      </c>
      <c r="F1059" s="1097">
        <v>1.0177712210840202</v>
      </c>
      <c r="G1059" s="1097">
        <v>0.99475384586656168</v>
      </c>
      <c r="H1059" s="1097">
        <v>1.0368191622965695</v>
      </c>
      <c r="I1059" s="1097">
        <v>1.0442843250971796</v>
      </c>
      <c r="K1059">
        <v>5.3474105463098329</v>
      </c>
      <c r="L1059">
        <v>0</v>
      </c>
      <c r="M1059">
        <v>3.5966182366322106E-3</v>
      </c>
      <c r="N1059">
        <v>0.34925487927440796</v>
      </c>
      <c r="O1059">
        <v>0.1531673477818041</v>
      </c>
      <c r="P1059">
        <v>2.1422111576744438E-2</v>
      </c>
      <c r="Q1059">
        <v>1.3751872966449733E-3</v>
      </c>
      <c r="R1059">
        <v>3.5909624863055089E-3</v>
      </c>
      <c r="S1059">
        <v>0.50780513459529797</v>
      </c>
      <c r="T1059">
        <v>4.0615115057882676</v>
      </c>
      <c r="U1059">
        <v>0</v>
      </c>
      <c r="V1059">
        <v>1.130476720982382E-2</v>
      </c>
      <c r="W1059">
        <v>0.20281830215096958</v>
      </c>
      <c r="X1059">
        <v>2.8608632242881151E-2</v>
      </c>
      <c r="Y1059">
        <v>1.0148334143315873E-2</v>
      </c>
    </row>
    <row r="1060" spans="1:25" x14ac:dyDescent="0.25">
      <c r="A1060" s="1093"/>
      <c r="B1060" s="1452">
        <v>810</v>
      </c>
      <c r="C1060" s="1097">
        <v>1.0010163548430293</v>
      </c>
      <c r="D1060" s="1097">
        <v>1.0039738768865816</v>
      </c>
      <c r="E1060" s="1097">
        <v>0.97990134082520119</v>
      </c>
      <c r="F1060" s="1097">
        <v>0.95572069217545386</v>
      </c>
      <c r="G1060" s="1097">
        <v>0.98532712989631566</v>
      </c>
      <c r="H1060" s="1097">
        <v>0.96296908221147748</v>
      </c>
      <c r="I1060" s="1097">
        <v>0.97903950594564382</v>
      </c>
      <c r="K1060">
        <v>4.9104018865003631</v>
      </c>
      <c r="L1060">
        <v>0</v>
      </c>
      <c r="M1060">
        <v>3.4630022619516736E-3</v>
      </c>
      <c r="N1060">
        <v>0.28300695991532565</v>
      </c>
      <c r="O1060">
        <v>0.14198493436434839</v>
      </c>
      <c r="P1060">
        <v>1.9087150783221169E-2</v>
      </c>
      <c r="Q1060">
        <v>1.2778520258598179E-3</v>
      </c>
      <c r="R1060">
        <v>3.4567589858509021E-3</v>
      </c>
      <c r="S1060">
        <v>0.42867284611219247</v>
      </c>
      <c r="T1060">
        <v>3.8208434094613857</v>
      </c>
      <c r="U1060">
        <v>0</v>
      </c>
      <c r="V1060">
        <v>1.1304767209823836E-2</v>
      </c>
      <c r="W1060">
        <v>0.17089690649640205</v>
      </c>
      <c r="X1060">
        <v>2.3564238602821419E-2</v>
      </c>
      <c r="Y1060">
        <v>9.769064805078595E-3</v>
      </c>
    </row>
    <row r="1061" spans="1:25" x14ac:dyDescent="0.25">
      <c r="A1061" s="1093"/>
      <c r="B1061" s="1452">
        <v>811</v>
      </c>
      <c r="C1061" s="1097">
        <v>0.96439702538570959</v>
      </c>
      <c r="D1061" s="1097">
        <v>0.950688348096981</v>
      </c>
      <c r="E1061" s="1097">
        <v>0.97341731206841398</v>
      </c>
      <c r="F1061" s="1097">
        <v>0.98033202990481971</v>
      </c>
      <c r="G1061" s="1097">
        <v>0.97658900025184081</v>
      </c>
      <c r="H1061" s="1097">
        <v>1.0068781354956651</v>
      </c>
      <c r="I1061" s="1097">
        <v>0.99802905535281039</v>
      </c>
      <c r="K1061">
        <v>5.1340731528624159</v>
      </c>
      <c r="L1061">
        <v>0</v>
      </c>
      <c r="M1061">
        <v>3.9940006699284228E-3</v>
      </c>
      <c r="N1061">
        <v>0.32021921579094181</v>
      </c>
      <c r="O1061">
        <v>0.15469243002063654</v>
      </c>
      <c r="P1061">
        <v>1.9650030346834671E-2</v>
      </c>
      <c r="Q1061">
        <v>1.3480003157649461E-3</v>
      </c>
      <c r="R1061">
        <v>3.9872866896902628E-3</v>
      </c>
      <c r="S1061">
        <v>0.47682538285077614</v>
      </c>
      <c r="T1061">
        <v>3.9200430488581475</v>
      </c>
      <c r="U1061">
        <v>0</v>
      </c>
      <c r="V1061">
        <v>1.1304767209823822E-2</v>
      </c>
      <c r="W1061">
        <v>0.19423084286098385</v>
      </c>
      <c r="X1061">
        <v>2.4497771988735467E-2</v>
      </c>
      <c r="Y1061">
        <v>1.1268376600002733E-2</v>
      </c>
    </row>
    <row r="1062" spans="1:25" x14ac:dyDescent="0.25">
      <c r="A1062" s="1093"/>
      <c r="B1062" s="1452">
        <v>812</v>
      </c>
      <c r="C1062" s="1097">
        <v>1.0200231233961632</v>
      </c>
      <c r="D1062" s="1097">
        <v>1.0125556366806785</v>
      </c>
      <c r="E1062" s="1097">
        <v>0.97835955478470427</v>
      </c>
      <c r="F1062" s="1097">
        <v>1.0047470376885894</v>
      </c>
      <c r="G1062" s="1097">
        <v>0.97693131989190152</v>
      </c>
      <c r="H1062" s="1097">
        <v>1.006372835343935</v>
      </c>
      <c r="I1062" s="1097">
        <v>0.99779715873764152</v>
      </c>
      <c r="K1062">
        <v>5.1716529762719761</v>
      </c>
      <c r="L1062">
        <v>0</v>
      </c>
      <c r="M1062">
        <v>3.7328999254431271E-3</v>
      </c>
      <c r="N1062">
        <v>0.3037204500867291</v>
      </c>
      <c r="O1062">
        <v>0.14603118734802245</v>
      </c>
      <c r="P1062">
        <v>2.0056956860139669E-2</v>
      </c>
      <c r="Q1062">
        <v>1.2481063196804459E-3</v>
      </c>
      <c r="R1062">
        <v>3.7267740156472977E-3</v>
      </c>
      <c r="S1062">
        <v>0.45421229795322471</v>
      </c>
      <c r="T1062">
        <v>4.0170405743303395</v>
      </c>
      <c r="U1062">
        <v>0</v>
      </c>
      <c r="V1062">
        <v>1.1304767209823834E-2</v>
      </c>
      <c r="W1062">
        <v>0.18359893134437175</v>
      </c>
      <c r="X1062">
        <v>2.3913682835477207E-2</v>
      </c>
      <c r="Y1062">
        <v>1.0532147893955532E-2</v>
      </c>
    </row>
    <row r="1063" spans="1:25" x14ac:dyDescent="0.25">
      <c r="A1063" s="1093"/>
      <c r="B1063" s="1452">
        <v>813</v>
      </c>
      <c r="C1063" s="1097">
        <v>1.0063691221201598</v>
      </c>
      <c r="D1063" s="1097">
        <v>0.99600704956674724</v>
      </c>
      <c r="E1063" s="1097">
        <v>1.0164546447972407</v>
      </c>
      <c r="F1063" s="1097">
        <v>1.004609775295864</v>
      </c>
      <c r="G1063" s="1097">
        <v>1.0008333252037545</v>
      </c>
      <c r="H1063" s="1097">
        <v>1.0304072145211394</v>
      </c>
      <c r="I1063" s="1097">
        <v>1.0371713014896051</v>
      </c>
      <c r="K1063">
        <v>5.2351013143198895</v>
      </c>
      <c r="L1063">
        <v>0</v>
      </c>
      <c r="M1063">
        <v>3.5985311617472504E-3</v>
      </c>
      <c r="N1063">
        <v>0.32779299185330918</v>
      </c>
      <c r="O1063">
        <v>0.14791083305788238</v>
      </c>
      <c r="P1063">
        <v>2.0751965410989105E-2</v>
      </c>
      <c r="Q1063">
        <v>1.3157394828952978E-3</v>
      </c>
      <c r="R1063">
        <v>3.5927627165683153E-3</v>
      </c>
      <c r="S1063">
        <v>0.48470462300615891</v>
      </c>
      <c r="T1063">
        <v>4.0116809761821131</v>
      </c>
      <c r="U1063">
        <v>0</v>
      </c>
      <c r="V1063">
        <v>1.1304767209823808E-2</v>
      </c>
      <c r="W1063">
        <v>0.1931050635908115</v>
      </c>
      <c r="X1063">
        <v>2.6386701239606698E-2</v>
      </c>
      <c r="Y1063">
        <v>1.0153421731479643E-2</v>
      </c>
    </row>
    <row r="1064" spans="1:25" x14ac:dyDescent="0.25">
      <c r="A1064" s="1093"/>
      <c r="B1064" s="1452">
        <v>814</v>
      </c>
      <c r="C1064" s="1097">
        <v>0.9932263453154685</v>
      </c>
      <c r="D1064" s="1097">
        <v>0.9738107542209592</v>
      </c>
      <c r="E1064" s="1097">
        <v>1.0072229735182496</v>
      </c>
      <c r="F1064" s="1097">
        <v>1.0034308131477228</v>
      </c>
      <c r="G1064" s="1097">
        <v>1.0064372159267621</v>
      </c>
      <c r="H1064" s="1097">
        <v>0.96872759263726549</v>
      </c>
      <c r="I1064" s="1097">
        <v>1.0355916216377943</v>
      </c>
      <c r="K1064">
        <v>5.2064202397160582</v>
      </c>
      <c r="L1064">
        <v>0</v>
      </c>
      <c r="M1064">
        <v>3.5228302241036452E-3</v>
      </c>
      <c r="N1064">
        <v>0.31221369430099472</v>
      </c>
      <c r="O1064">
        <v>0.15131015832963807</v>
      </c>
      <c r="P1064">
        <v>2.0572845598106244E-2</v>
      </c>
      <c r="Q1064">
        <v>1.3347004445496561E-3</v>
      </c>
      <c r="R1064">
        <v>3.516816526860405E-3</v>
      </c>
      <c r="S1064">
        <v>0.47988813560034627</v>
      </c>
      <c r="T1064">
        <v>4.0081296095069012</v>
      </c>
      <c r="U1064">
        <v>0</v>
      </c>
      <c r="V1064">
        <v>1.1304767209823822E-2</v>
      </c>
      <c r="W1064">
        <v>0.18506916357411204</v>
      </c>
      <c r="X1064">
        <v>2.6664386847677482E-2</v>
      </c>
      <c r="Y1064">
        <v>9.9387920011477972E-3</v>
      </c>
    </row>
    <row r="1065" spans="1:25" x14ac:dyDescent="0.25">
      <c r="A1065" s="1093"/>
      <c r="B1065" s="1452">
        <v>815</v>
      </c>
      <c r="C1065" s="1097">
        <v>0.98741743726879649</v>
      </c>
      <c r="D1065" s="1097">
        <v>0.99357189294807424</v>
      </c>
      <c r="E1065" s="1097">
        <v>0.97552598749273978</v>
      </c>
      <c r="F1065" s="1097">
        <v>0.99934081242013162</v>
      </c>
      <c r="G1065" s="1097">
        <v>1.0321509353464562</v>
      </c>
      <c r="H1065" s="1097">
        <v>0.968751198172491</v>
      </c>
      <c r="I1065" s="1097">
        <v>1.0048502872912168</v>
      </c>
      <c r="K1065">
        <v>5.1645648689734251</v>
      </c>
      <c r="L1065">
        <v>0</v>
      </c>
      <c r="M1065">
        <v>3.7423095448499981E-3</v>
      </c>
      <c r="N1065">
        <v>0.30191396157390438</v>
      </c>
      <c r="O1065">
        <v>0.15126180182478358</v>
      </c>
      <c r="P1065">
        <v>1.9966836277215089E-2</v>
      </c>
      <c r="Q1065">
        <v>1.2959204915487708E-3</v>
      </c>
      <c r="R1065">
        <v>3.7358952363948541E-3</v>
      </c>
      <c r="S1065">
        <v>0.46495877058207752</v>
      </c>
      <c r="T1065">
        <v>3.9957855218971203</v>
      </c>
      <c r="U1065">
        <v>0</v>
      </c>
      <c r="V1065">
        <v>1.1304767209823817E-2</v>
      </c>
      <c r="W1065">
        <v>0.18286230777267579</v>
      </c>
      <c r="X1065">
        <v>2.4663470492569381E-2</v>
      </c>
      <c r="Y1065">
        <v>1.0557925160160388E-2</v>
      </c>
    </row>
    <row r="1066" spans="1:25" x14ac:dyDescent="0.25">
      <c r="A1066" s="1093"/>
      <c r="B1066" s="1452">
        <v>816</v>
      </c>
      <c r="C1066" s="1097">
        <v>1.0054656697807103</v>
      </c>
      <c r="D1066" s="1097">
        <v>0.99532035434727129</v>
      </c>
      <c r="E1066" s="1097">
        <v>1.0452590333164711</v>
      </c>
      <c r="F1066" s="1097">
        <v>0.95803942699166122</v>
      </c>
      <c r="G1066" s="1097">
        <v>1.0056489629270757</v>
      </c>
      <c r="H1066" s="1097">
        <v>0.99471506098220697</v>
      </c>
      <c r="I1066" s="1097">
        <v>0.99497069864677645</v>
      </c>
      <c r="K1066">
        <v>4.9607457366587235</v>
      </c>
      <c r="L1066">
        <v>0</v>
      </c>
      <c r="M1066">
        <v>3.1208892179913649E-3</v>
      </c>
      <c r="N1066">
        <v>0.30950922945614545</v>
      </c>
      <c r="O1066">
        <v>0.1404542897165687</v>
      </c>
      <c r="P1066">
        <v>2.0094376491836194E-2</v>
      </c>
      <c r="Q1066">
        <v>1.3495633263208627E-3</v>
      </c>
      <c r="R1066">
        <v>3.1154554486325006E-3</v>
      </c>
      <c r="S1066">
        <v>0.44098651561651825</v>
      </c>
      <c r="T1066">
        <v>3.8222986780082273</v>
      </c>
      <c r="U1066">
        <v>0</v>
      </c>
      <c r="V1066">
        <v>1.1304767209823806E-2</v>
      </c>
      <c r="W1066">
        <v>0.17889039429017559</v>
      </c>
      <c r="X1066">
        <v>2.7058841360860945E-2</v>
      </c>
      <c r="Y1066">
        <v>8.8045149516069957E-3</v>
      </c>
    </row>
    <row r="1067" spans="1:25" x14ac:dyDescent="0.25">
      <c r="A1067" s="1093"/>
      <c r="B1067" s="1452">
        <v>817</v>
      </c>
      <c r="C1067" s="1097">
        <v>1.0229366240050384</v>
      </c>
      <c r="D1067" s="1097">
        <v>1.0146073656977608</v>
      </c>
      <c r="E1067" s="1097">
        <v>1.017083657182942</v>
      </c>
      <c r="F1067" s="1097">
        <v>1.0113523357553098</v>
      </c>
      <c r="G1067" s="1097">
        <v>0.96786784615617893</v>
      </c>
      <c r="H1067" s="1097">
        <v>0.98926942485659053</v>
      </c>
      <c r="I1067" s="1097">
        <v>1.0101091940631657</v>
      </c>
      <c r="K1067">
        <v>5.2026905718240561</v>
      </c>
      <c r="L1067">
        <v>0</v>
      </c>
      <c r="M1067">
        <v>3.3919452314318281E-3</v>
      </c>
      <c r="N1067">
        <v>0.30953336772764589</v>
      </c>
      <c r="O1067">
        <v>0.14539450242689017</v>
      </c>
      <c r="P1067">
        <v>2.0760674911594171E-2</v>
      </c>
      <c r="Q1067">
        <v>1.2855704557719412E-3</v>
      </c>
      <c r="R1067">
        <v>3.3863195344296273E-3</v>
      </c>
      <c r="S1067">
        <v>0.45767654317305473</v>
      </c>
      <c r="T1067">
        <v>4.0385266207971613</v>
      </c>
      <c r="U1067">
        <v>0</v>
      </c>
      <c r="V1067">
        <v>1.1304767209823829E-2</v>
      </c>
      <c r="W1067">
        <v>0.1822715648470786</v>
      </c>
      <c r="X1067">
        <v>2.6372588434465927E-2</v>
      </c>
      <c r="Y1067">
        <v>9.5699975375643578E-3</v>
      </c>
    </row>
    <row r="1068" spans="1:25" x14ac:dyDescent="0.25">
      <c r="A1068" s="1093"/>
      <c r="B1068" s="1452">
        <v>818</v>
      </c>
      <c r="C1068" s="1097">
        <v>1.0030371241642384</v>
      </c>
      <c r="D1068" s="1097">
        <v>1.0060328875331095</v>
      </c>
      <c r="E1068" s="1097">
        <v>1.026058338896823</v>
      </c>
      <c r="F1068" s="1097">
        <v>0.97762132513550259</v>
      </c>
      <c r="G1068" s="1097">
        <v>0.99507052109315475</v>
      </c>
      <c r="H1068" s="1097">
        <v>0.96868849687141156</v>
      </c>
      <c r="I1068" s="1097">
        <v>1.0020615961966866</v>
      </c>
      <c r="K1068">
        <v>5.0408223345716099</v>
      </c>
      <c r="L1068">
        <v>0</v>
      </c>
      <c r="M1068">
        <v>3.2239032875532093E-3</v>
      </c>
      <c r="N1068">
        <v>0.30208566697813599</v>
      </c>
      <c r="O1068">
        <v>0.14357801546176138</v>
      </c>
      <c r="P1068">
        <v>2.0218661948045929E-2</v>
      </c>
      <c r="Q1068">
        <v>1.3255524445924354E-3</v>
      </c>
      <c r="R1068">
        <v>3.2182546047787373E-3</v>
      </c>
      <c r="S1068">
        <v>0.44705827769557804</v>
      </c>
      <c r="T1068">
        <v>3.9027417669809705</v>
      </c>
      <c r="U1068">
        <v>0</v>
      </c>
      <c r="V1068">
        <v>1.1304767209823824E-2</v>
      </c>
      <c r="W1068">
        <v>0.17682571073381387</v>
      </c>
      <c r="X1068">
        <v>2.6594530586437511E-2</v>
      </c>
      <c r="Y1068">
        <v>9.0950332152205608E-3</v>
      </c>
    </row>
    <row r="1069" spans="1:25" x14ac:dyDescent="0.25">
      <c r="A1069" s="1093"/>
      <c r="B1069" s="1452">
        <v>819</v>
      </c>
      <c r="C1069" s="1097">
        <v>1.0337745737720372</v>
      </c>
      <c r="D1069" s="1097">
        <v>1.0116544129242362</v>
      </c>
      <c r="E1069" s="1097">
        <v>1.0002082376743306</v>
      </c>
      <c r="F1069" s="1097">
        <v>0.98692297741516655</v>
      </c>
      <c r="G1069" s="1097">
        <v>0.99065198068051308</v>
      </c>
      <c r="H1069" s="1097">
        <v>0.97650449027975239</v>
      </c>
      <c r="I1069" s="1097">
        <v>0.98712887199266863</v>
      </c>
      <c r="K1069">
        <v>5.0468794510667143</v>
      </c>
      <c r="L1069">
        <v>0</v>
      </c>
      <c r="M1069">
        <v>3.3542141263344467E-3</v>
      </c>
      <c r="N1069">
        <v>0.29115252608291703</v>
      </c>
      <c r="O1069">
        <v>0.14100520242816098</v>
      </c>
      <c r="P1069">
        <v>1.9950187244891247E-2</v>
      </c>
      <c r="Q1069">
        <v>1.2553892138167492E-3</v>
      </c>
      <c r="R1069">
        <v>3.3484390169352079E-3</v>
      </c>
      <c r="S1069">
        <v>0.43159814705947969</v>
      </c>
      <c r="T1069">
        <v>3.9430579733542492</v>
      </c>
      <c r="U1069">
        <v>0</v>
      </c>
      <c r="V1069">
        <v>1.1304767209823822E-2</v>
      </c>
      <c r="W1069">
        <v>0.17340296596676183</v>
      </c>
      <c r="X1069">
        <v>2.4695123312925511E-2</v>
      </c>
      <c r="Y1069">
        <v>9.4629443030844317E-3</v>
      </c>
    </row>
    <row r="1070" spans="1:25" x14ac:dyDescent="0.25">
      <c r="A1070" s="1093"/>
      <c r="B1070" s="1452">
        <v>820</v>
      </c>
      <c r="C1070" s="1097">
        <v>0.98249866221296889</v>
      </c>
      <c r="D1070" s="1097">
        <v>1.0323138096548841</v>
      </c>
      <c r="E1070" s="1097">
        <v>1.0323602853606315</v>
      </c>
      <c r="F1070" s="1097">
        <v>1.0193208010118922</v>
      </c>
      <c r="G1070" s="1097">
        <v>1.0093866378806038</v>
      </c>
      <c r="H1070" s="1097">
        <v>0.99240547693761805</v>
      </c>
      <c r="I1070" s="1097">
        <v>1.0114677831851573</v>
      </c>
      <c r="K1070">
        <v>5.2894450263783304</v>
      </c>
      <c r="L1070">
        <v>0</v>
      </c>
      <c r="M1070">
        <v>3.4333099539216195E-3</v>
      </c>
      <c r="N1070">
        <v>0.32779442140820075</v>
      </c>
      <c r="O1070">
        <v>0.15108349512752486</v>
      </c>
      <c r="P1070">
        <v>2.1233406179581388E-2</v>
      </c>
      <c r="Q1070">
        <v>1.3464947830244931E-3</v>
      </c>
      <c r="R1070">
        <v>3.4276779477944068E-3</v>
      </c>
      <c r="S1070">
        <v>0.47933879786933287</v>
      </c>
      <c r="T1070">
        <v>4.0684139929460912</v>
      </c>
      <c r="U1070">
        <v>0</v>
      </c>
      <c r="V1070">
        <v>1.1304767209823806E-2</v>
      </c>
      <c r="W1070">
        <v>0.19107471329884376</v>
      </c>
      <c r="X1070">
        <v>2.8173689990735325E-2</v>
      </c>
      <c r="Y1070">
        <v>9.6868795712987121E-3</v>
      </c>
    </row>
    <row r="1071" spans="1:25" x14ac:dyDescent="0.25">
      <c r="A1071" s="1093"/>
      <c r="B1071" s="1452">
        <v>821</v>
      </c>
      <c r="C1071" s="1097">
        <v>0.99210026057469414</v>
      </c>
      <c r="D1071" s="1097">
        <v>1.0119081673703214</v>
      </c>
      <c r="E1071" s="1097">
        <v>0.99885049482933208</v>
      </c>
      <c r="F1071" s="1097">
        <v>1.0099348475263543</v>
      </c>
      <c r="G1071" s="1097">
        <v>0.9909605768702433</v>
      </c>
      <c r="H1071" s="1097">
        <v>1.0238960356188145</v>
      </c>
      <c r="I1071" s="1097">
        <v>1.0068769762645791</v>
      </c>
      <c r="K1071">
        <v>5.2506038218502651</v>
      </c>
      <c r="L1071">
        <v>0</v>
      </c>
      <c r="M1071">
        <v>3.7604019402337802E-3</v>
      </c>
      <c r="N1071">
        <v>0.32513802361472743</v>
      </c>
      <c r="O1071">
        <v>0.15037739055532895</v>
      </c>
      <c r="P1071">
        <v>2.055353476069359E-2</v>
      </c>
      <c r="Q1071">
        <v>1.3064704721604747E-3</v>
      </c>
      <c r="R1071">
        <v>3.754367616253165E-3</v>
      </c>
      <c r="S1071">
        <v>0.47669786579605372</v>
      </c>
      <c r="T1071">
        <v>4.035169605692591</v>
      </c>
      <c r="U1071">
        <v>0</v>
      </c>
      <c r="V1071">
        <v>1.1304767209823804E-2</v>
      </c>
      <c r="W1071">
        <v>0.19382169360161572</v>
      </c>
      <c r="X1071">
        <v>2.5630374955315387E-2</v>
      </c>
      <c r="Y1071">
        <v>1.0610129515939459E-2</v>
      </c>
    </row>
    <row r="1072" spans="1:25" x14ac:dyDescent="0.25">
      <c r="A1072" s="1093"/>
      <c r="B1072" s="1452">
        <v>822</v>
      </c>
      <c r="C1072" s="1097">
        <v>0.96301861036024394</v>
      </c>
      <c r="D1072" s="1097">
        <v>0.9917489425350775</v>
      </c>
      <c r="E1072" s="1097">
        <v>1.0260839189866318</v>
      </c>
      <c r="F1072" s="1097">
        <v>0.99828769341949486</v>
      </c>
      <c r="G1072" s="1097">
        <v>1.0049109808694272</v>
      </c>
      <c r="H1072" s="1097">
        <v>0.97314719736841981</v>
      </c>
      <c r="I1072" s="1097">
        <v>1.0232750397768782</v>
      </c>
      <c r="K1072">
        <v>5.2109336428398008</v>
      </c>
      <c r="L1072">
        <v>0</v>
      </c>
      <c r="M1072">
        <v>3.464090279583899E-3</v>
      </c>
      <c r="N1072">
        <v>0.32463051724782349</v>
      </c>
      <c r="O1072">
        <v>0.15358096873022767</v>
      </c>
      <c r="P1072">
        <v>2.0782580553312609E-2</v>
      </c>
      <c r="Q1072">
        <v>1.3885859924963777E-3</v>
      </c>
      <c r="R1072">
        <v>3.4581734345115423E-3</v>
      </c>
      <c r="S1072">
        <v>0.48610331599980272</v>
      </c>
      <c r="T1072">
        <v>3.9852403794649631</v>
      </c>
      <c r="U1072">
        <v>0</v>
      </c>
      <c r="V1072">
        <v>1.1304767209823801E-2</v>
      </c>
      <c r="W1072">
        <v>0.19001910097001257</v>
      </c>
      <c r="X1072">
        <v>2.8116281371432184E-2</v>
      </c>
      <c r="Y1072">
        <v>9.7730621449816091E-3</v>
      </c>
    </row>
    <row r="1073" spans="1:25" x14ac:dyDescent="0.25">
      <c r="A1073" s="1093"/>
      <c r="B1073" s="1452">
        <v>823</v>
      </c>
      <c r="C1073" s="1097">
        <v>0.97997111026552264</v>
      </c>
      <c r="D1073" s="1097">
        <v>1.0207371571952872</v>
      </c>
      <c r="E1073" s="1097">
        <v>0.98760339904808525</v>
      </c>
      <c r="F1073" s="1097">
        <v>0.98718691504478806</v>
      </c>
      <c r="G1073" s="1097">
        <v>0.99517008864566392</v>
      </c>
      <c r="H1073" s="1097">
        <v>1.0137936820794573</v>
      </c>
      <c r="I1073" s="1097">
        <v>1.0271924237079126</v>
      </c>
      <c r="K1073">
        <v>5.1456457101058026</v>
      </c>
      <c r="L1073">
        <v>0</v>
      </c>
      <c r="M1073">
        <v>3.7597530224651727E-3</v>
      </c>
      <c r="N1073">
        <v>0.31440513104397627</v>
      </c>
      <c r="O1073">
        <v>0.14860611324315542</v>
      </c>
      <c r="P1073">
        <v>1.9993558812672896E-2</v>
      </c>
      <c r="Q1073">
        <v>1.3053544151678761E-3</v>
      </c>
      <c r="R1073">
        <v>3.753519443310184E-3</v>
      </c>
      <c r="S1073">
        <v>0.48023009298246444</v>
      </c>
      <c r="T1073">
        <v>3.9456792549110906</v>
      </c>
      <c r="U1073">
        <v>0</v>
      </c>
      <c r="V1073">
        <v>1.1304767209823824E-2</v>
      </c>
      <c r="W1073">
        <v>0.18886036337833018</v>
      </c>
      <c r="X1073">
        <v>2.465957517382298E-2</v>
      </c>
      <c r="Y1073">
        <v>1.0607732514447653E-2</v>
      </c>
    </row>
    <row r="1074" spans="1:25" x14ac:dyDescent="0.25">
      <c r="A1074" s="1093"/>
      <c r="B1074" s="1452">
        <v>824</v>
      </c>
      <c r="C1074" s="1097">
        <v>1.0142289269387601</v>
      </c>
      <c r="D1074" s="1097">
        <v>1.0100852351559488</v>
      </c>
      <c r="E1074" s="1097">
        <v>1.0223313946587935</v>
      </c>
      <c r="F1074" s="1097">
        <v>1.0285383848393337</v>
      </c>
      <c r="G1074" s="1097">
        <v>1.0150688444684375</v>
      </c>
      <c r="H1074" s="1097">
        <v>1.0202690269395149</v>
      </c>
      <c r="I1074" s="1097">
        <v>1.005175522635215</v>
      </c>
      <c r="K1074">
        <v>5.3217941573337288</v>
      </c>
      <c r="L1074">
        <v>0</v>
      </c>
      <c r="M1074">
        <v>3.5549196753844664E-3</v>
      </c>
      <c r="N1074">
        <v>0.32950724024345912</v>
      </c>
      <c r="O1074">
        <v>0.14925384952312074</v>
      </c>
      <c r="P1074">
        <v>2.1222014827557954E-2</v>
      </c>
      <c r="Q1074">
        <v>1.3047086735338308E-3</v>
      </c>
      <c r="R1074">
        <v>3.5492981902476278E-3</v>
      </c>
      <c r="S1074">
        <v>0.47220338600468637</v>
      </c>
      <c r="T1074">
        <v>4.106482487450541</v>
      </c>
      <c r="U1074">
        <v>0</v>
      </c>
      <c r="V1074">
        <v>1.1304767209823822E-2</v>
      </c>
      <c r="W1074">
        <v>0.19335546874721959</v>
      </c>
      <c r="X1074">
        <v>2.7135268477180084E-2</v>
      </c>
      <c r="Y1074">
        <v>1.0030587661737776E-2</v>
      </c>
    </row>
    <row r="1075" spans="1:25" x14ac:dyDescent="0.25">
      <c r="A1075" s="1093"/>
      <c r="B1075" s="1452">
        <v>825</v>
      </c>
      <c r="C1075" s="1097">
        <v>1.0245955168954584</v>
      </c>
      <c r="D1075" s="1097">
        <v>0.9674377705207452</v>
      </c>
      <c r="E1075" s="1097">
        <v>1.0183178224702258</v>
      </c>
      <c r="F1075" s="1097">
        <v>0.98579513476626879</v>
      </c>
      <c r="G1075" s="1097">
        <v>1.0222694174001763</v>
      </c>
      <c r="H1075" s="1097">
        <v>1.0233307631647504</v>
      </c>
      <c r="I1075" s="1097">
        <v>1.038705363829588</v>
      </c>
      <c r="K1075">
        <v>5.1249196039349121</v>
      </c>
      <c r="L1075">
        <v>0</v>
      </c>
      <c r="M1075">
        <v>3.471261924274232E-3</v>
      </c>
      <c r="N1075">
        <v>0.31793477404486664</v>
      </c>
      <c r="O1075">
        <v>0.14417751646485583</v>
      </c>
      <c r="P1075">
        <v>2.0368476260045527E-2</v>
      </c>
      <c r="Q1075">
        <v>1.3095327789735473E-3</v>
      </c>
      <c r="R1075">
        <v>3.4655522571996793E-3</v>
      </c>
      <c r="S1075">
        <v>0.47071864782401757</v>
      </c>
      <c r="T1075">
        <v>3.9363202687838763</v>
      </c>
      <c r="U1075">
        <v>0</v>
      </c>
      <c r="V1075">
        <v>1.130476720982381E-2</v>
      </c>
      <c r="W1075">
        <v>0.18706456712265687</v>
      </c>
      <c r="X1075">
        <v>2.5932847851623433E-2</v>
      </c>
      <c r="Y1075">
        <v>9.7939152612447501E-3</v>
      </c>
    </row>
    <row r="1076" spans="1:25" x14ac:dyDescent="0.25">
      <c r="A1076" s="1093"/>
      <c r="B1076" s="1452">
        <v>826</v>
      </c>
      <c r="C1076" s="1097">
        <v>0.96280621736343341</v>
      </c>
      <c r="D1076" s="1097">
        <v>0.99550072623574082</v>
      </c>
      <c r="E1076" s="1097">
        <v>0.99318292935669439</v>
      </c>
      <c r="F1076" s="1097">
        <v>0.98903584286468937</v>
      </c>
      <c r="G1076" s="1097">
        <v>0.96384976519994581</v>
      </c>
      <c r="H1076" s="1097">
        <v>0.96640970546894234</v>
      </c>
      <c r="I1076" s="1097">
        <v>0.98490909946271166</v>
      </c>
      <c r="K1076">
        <v>5.132651118487674</v>
      </c>
      <c r="L1076">
        <v>0</v>
      </c>
      <c r="M1076">
        <v>3.6484655189166198E-3</v>
      </c>
      <c r="N1076">
        <v>0.31016404040359008</v>
      </c>
      <c r="O1076">
        <v>0.15290406219744535</v>
      </c>
      <c r="P1076">
        <v>2.0028735488573108E-2</v>
      </c>
      <c r="Q1076">
        <v>1.3484698390138863E-3</v>
      </c>
      <c r="R1076">
        <v>3.6421317031138912E-3</v>
      </c>
      <c r="S1076">
        <v>0.46273566190935456</v>
      </c>
      <c r="T1076">
        <v>3.9523732472333983</v>
      </c>
      <c r="U1076">
        <v>0</v>
      </c>
      <c r="V1076">
        <v>1.1304767209823806E-2</v>
      </c>
      <c r="W1076">
        <v>0.18560692074140719</v>
      </c>
      <c r="X1076">
        <v>2.5898605024270691E-2</v>
      </c>
      <c r="Y1076">
        <v>1.0292942256601262E-2</v>
      </c>
    </row>
    <row r="1077" spans="1:25" x14ac:dyDescent="0.25">
      <c r="A1077" s="1093"/>
      <c r="B1077" s="1452">
        <v>827</v>
      </c>
      <c r="C1077" s="1097">
        <v>1.0009675178814883</v>
      </c>
      <c r="D1077" s="1097">
        <v>1.0234962325647767</v>
      </c>
      <c r="E1077" s="1097">
        <v>0.9969641536708389</v>
      </c>
      <c r="F1077" s="1097">
        <v>1.0051256818698755</v>
      </c>
      <c r="G1077" s="1097">
        <v>1.0429894710697287</v>
      </c>
      <c r="H1077" s="1097">
        <v>1.0243345426276189</v>
      </c>
      <c r="I1077" s="1097">
        <v>0.97774226680332665</v>
      </c>
      <c r="K1077">
        <v>5.1976724534294849</v>
      </c>
      <c r="L1077">
        <v>0</v>
      </c>
      <c r="M1077">
        <v>3.7087951755091723E-3</v>
      </c>
      <c r="N1077">
        <v>0.31888610171257192</v>
      </c>
      <c r="O1077">
        <v>0.14771366680246523</v>
      </c>
      <c r="P1077">
        <v>2.0344664896297625E-2</v>
      </c>
      <c r="Q1077">
        <v>1.2869274949716665E-3</v>
      </c>
      <c r="R1077">
        <v>3.7028177961187202E-3</v>
      </c>
      <c r="S1077">
        <v>0.45602754525064121</v>
      </c>
      <c r="T1077">
        <v>4.0161929877305322</v>
      </c>
      <c r="U1077">
        <v>0</v>
      </c>
      <c r="V1077">
        <v>1.1304767209823824E-2</v>
      </c>
      <c r="W1077">
        <v>0.19033764686052104</v>
      </c>
      <c r="X1077">
        <v>2.511967706245059E-2</v>
      </c>
      <c r="Y1077">
        <v>1.0464445788596932E-2</v>
      </c>
    </row>
    <row r="1078" spans="1:25" x14ac:dyDescent="0.25">
      <c r="A1078" s="1093"/>
      <c r="B1078" s="1452">
        <v>828</v>
      </c>
      <c r="C1078" s="1097">
        <v>1.0047269313775105</v>
      </c>
      <c r="D1078" s="1097">
        <v>1.021981107609071</v>
      </c>
      <c r="E1078" s="1097">
        <v>1.0144466611928282</v>
      </c>
      <c r="F1078" s="1097">
        <v>0.96695120467134965</v>
      </c>
      <c r="G1078" s="1097">
        <v>1.0261081839463504</v>
      </c>
      <c r="H1078" s="1097">
        <v>0.97896229801543622</v>
      </c>
      <c r="I1078" s="1097">
        <v>0.99815298079661097</v>
      </c>
      <c r="K1078">
        <v>4.9824736923075781</v>
      </c>
      <c r="L1078">
        <v>0</v>
      </c>
      <c r="M1078">
        <v>3.2763882086967121E-3</v>
      </c>
      <c r="N1078">
        <v>0.29663586038556111</v>
      </c>
      <c r="O1078">
        <v>0.14119142113554806</v>
      </c>
      <c r="P1078">
        <v>1.9830263643925632E-2</v>
      </c>
      <c r="Q1078">
        <v>1.3021676624511581E-3</v>
      </c>
      <c r="R1078">
        <v>3.2706452368830097E-3</v>
      </c>
      <c r="S1078">
        <v>0.44100627010867649</v>
      </c>
      <c r="T1078">
        <v>3.8615420276273849</v>
      </c>
      <c r="U1078">
        <v>0</v>
      </c>
      <c r="V1078">
        <v>1.1304767209823806E-2</v>
      </c>
      <c r="W1078">
        <v>0.17498503756530773</v>
      </c>
      <c r="X1078">
        <v>2.5438526799332527E-2</v>
      </c>
      <c r="Y1078">
        <v>9.2430931413827778E-3</v>
      </c>
    </row>
    <row r="1079" spans="1:25" x14ac:dyDescent="0.25">
      <c r="A1079" s="1093"/>
      <c r="B1079" s="1452">
        <v>829</v>
      </c>
      <c r="C1079" s="1097">
        <v>0.99864071100827279</v>
      </c>
      <c r="D1079" s="1097">
        <v>1.015023181094473</v>
      </c>
      <c r="E1079" s="1097">
        <v>1.0047634954358335</v>
      </c>
      <c r="F1079" s="1097">
        <v>1.0254697908233965</v>
      </c>
      <c r="G1079" s="1097">
        <v>0.98338193783794681</v>
      </c>
      <c r="H1079" s="1097">
        <v>0.98093853001632847</v>
      </c>
      <c r="I1079" s="1097">
        <v>1.011159446624206</v>
      </c>
      <c r="K1079">
        <v>5.2938016278845987</v>
      </c>
      <c r="L1079">
        <v>0</v>
      </c>
      <c r="M1079">
        <v>3.584608656814002E-3</v>
      </c>
      <c r="N1079">
        <v>0.31540132647674934</v>
      </c>
      <c r="O1079">
        <v>0.15133609902375711</v>
      </c>
      <c r="P1079">
        <v>2.0907827738570594E-2</v>
      </c>
      <c r="Q1079">
        <v>1.3028975468451255E-3</v>
      </c>
      <c r="R1079">
        <v>3.5786953356168245E-3</v>
      </c>
      <c r="S1079">
        <v>0.47315340855498023</v>
      </c>
      <c r="T1079">
        <v>4.0964784297252645</v>
      </c>
      <c r="U1079">
        <v>0</v>
      </c>
      <c r="V1079">
        <v>1.1304767209823822E-2</v>
      </c>
      <c r="W1079">
        <v>0.18726845557855548</v>
      </c>
      <c r="X1079">
        <v>2.654066311233003E-2</v>
      </c>
      <c r="Y1079">
        <v>1.0113666238917005E-2</v>
      </c>
    </row>
    <row r="1080" spans="1:25" x14ac:dyDescent="0.25">
      <c r="A1080" s="1093"/>
      <c r="B1080" s="1452">
        <v>830</v>
      </c>
      <c r="C1080" s="1097">
        <v>0.99348444273807746</v>
      </c>
      <c r="D1080" s="1097">
        <v>0.98660278414858349</v>
      </c>
      <c r="E1080" s="1097">
        <v>1.0203460289950559</v>
      </c>
      <c r="F1080" s="1097">
        <v>0.97470689772544017</v>
      </c>
      <c r="G1080" s="1097">
        <v>0.97791653528639266</v>
      </c>
      <c r="H1080" s="1097">
        <v>1.0326347083126202</v>
      </c>
      <c r="I1080" s="1097">
        <v>1.029362632924836</v>
      </c>
      <c r="K1080">
        <v>5.0992467651424525</v>
      </c>
      <c r="L1080">
        <v>0</v>
      </c>
      <c r="M1080">
        <v>3.5288805086322026E-3</v>
      </c>
      <c r="N1080">
        <v>0.32515628641101918</v>
      </c>
      <c r="O1080">
        <v>0.14581516778760845</v>
      </c>
      <c r="P1080">
        <v>2.0219680378818671E-2</v>
      </c>
      <c r="Q1080">
        <v>1.3422880691963252E-3</v>
      </c>
      <c r="R1080">
        <v>3.5230630409288253E-3</v>
      </c>
      <c r="S1080">
        <v>0.47644578939943449</v>
      </c>
      <c r="T1080">
        <v>3.8917985423468333</v>
      </c>
      <c r="U1080">
        <v>0</v>
      </c>
      <c r="V1080">
        <v>1.1304767209823818E-2</v>
      </c>
      <c r="W1080">
        <v>0.19105484687598429</v>
      </c>
      <c r="X1080">
        <v>2.6158769004631623E-2</v>
      </c>
      <c r="Y1080">
        <v>9.9564451268039436E-3</v>
      </c>
    </row>
    <row r="1081" spans="1:25" x14ac:dyDescent="0.25">
      <c r="A1081" s="1093"/>
      <c r="B1081" s="1452">
        <v>831</v>
      </c>
      <c r="C1081" s="1097">
        <v>0.98941591993310218</v>
      </c>
      <c r="D1081" s="1097">
        <v>1.0090834665109352</v>
      </c>
      <c r="E1081" s="1097">
        <v>0.9879256324159793</v>
      </c>
      <c r="F1081" s="1097">
        <v>1.0207557147939628</v>
      </c>
      <c r="G1081" s="1097">
        <v>0.98686430374632073</v>
      </c>
      <c r="H1081" s="1097">
        <v>0.99112963067912752</v>
      </c>
      <c r="I1081" s="1097">
        <v>0.98544389215113803</v>
      </c>
      <c r="K1081">
        <v>5.274407864836447</v>
      </c>
      <c r="L1081">
        <v>0</v>
      </c>
      <c r="M1081">
        <v>3.7789711938045795E-3</v>
      </c>
      <c r="N1081">
        <v>0.31631999429873886</v>
      </c>
      <c r="O1081">
        <v>0.1528839992153822</v>
      </c>
      <c r="P1081">
        <v>2.0539093732170562E-2</v>
      </c>
      <c r="Q1081">
        <v>1.2992072336236618E-3</v>
      </c>
      <c r="R1081">
        <v>3.7727728959724956E-3</v>
      </c>
      <c r="S1081">
        <v>0.46607471997003791</v>
      </c>
      <c r="T1081">
        <v>4.0798085800156008</v>
      </c>
      <c r="U1081">
        <v>0</v>
      </c>
      <c r="V1081">
        <v>1.1304767209823825E-2</v>
      </c>
      <c r="W1081">
        <v>0.18996888149081384</v>
      </c>
      <c r="X1081">
        <v>2.5552675726480168E-2</v>
      </c>
      <c r="Y1081">
        <v>1.0662144241602922E-2</v>
      </c>
    </row>
    <row r="1082" spans="1:25" x14ac:dyDescent="0.25">
      <c r="A1082" s="1093"/>
      <c r="B1082" s="1452">
        <v>832</v>
      </c>
      <c r="C1082" s="1097">
        <v>0.95487251599176581</v>
      </c>
      <c r="D1082" s="1097">
        <v>1.0097792908548773</v>
      </c>
      <c r="E1082" s="1097">
        <v>0.99965068290152681</v>
      </c>
      <c r="F1082" s="1097">
        <v>0.99066863571689923</v>
      </c>
      <c r="G1082" s="1097">
        <v>1.0156660597207499</v>
      </c>
      <c r="H1082" s="1097">
        <v>0.95802635853339013</v>
      </c>
      <c r="I1082" s="1097">
        <v>0.98547829127617048</v>
      </c>
      <c r="K1082">
        <v>5.1409066615153005</v>
      </c>
      <c r="L1082">
        <v>0</v>
      </c>
      <c r="M1082">
        <v>3.5830185940265527E-3</v>
      </c>
      <c r="N1082">
        <v>0.31049156824093593</v>
      </c>
      <c r="O1082">
        <v>0.15336577406099766</v>
      </c>
      <c r="P1082">
        <v>2.0160355802874987E-2</v>
      </c>
      <c r="Q1082">
        <v>1.3594824352682606E-3</v>
      </c>
      <c r="R1082">
        <v>3.5767542891259269E-3</v>
      </c>
      <c r="S1082">
        <v>0.4646019651396614</v>
      </c>
      <c r="T1082">
        <v>3.9580923711903204</v>
      </c>
      <c r="U1082">
        <v>0</v>
      </c>
      <c r="V1082">
        <v>1.1304767209823832E-2</v>
      </c>
      <c r="W1082">
        <v>0.18499050418411064</v>
      </c>
      <c r="X1082">
        <v>2.6437956862858557E-2</v>
      </c>
      <c r="Y1082">
        <v>1.010818069334184E-2</v>
      </c>
    </row>
    <row r="1083" spans="1:25" x14ac:dyDescent="0.25">
      <c r="A1083" s="1093"/>
      <c r="B1083" s="1452">
        <v>833</v>
      </c>
      <c r="C1083" s="1097">
        <v>0.97594313281242417</v>
      </c>
      <c r="D1083" s="1097">
        <v>0.96453454567867758</v>
      </c>
      <c r="E1083" s="1097">
        <v>1.0079975288246312</v>
      </c>
      <c r="F1083" s="1097">
        <v>0.99157465179899118</v>
      </c>
      <c r="G1083" s="1097">
        <v>1.0290441265096162</v>
      </c>
      <c r="H1083" s="1097">
        <v>1.0175395921539789</v>
      </c>
      <c r="I1083" s="1097">
        <v>0.96362211400894093</v>
      </c>
      <c r="K1083">
        <v>5.1708237234738466</v>
      </c>
      <c r="L1083">
        <v>0</v>
      </c>
      <c r="M1083">
        <v>3.7296246454420388E-3</v>
      </c>
      <c r="N1083">
        <v>0.33132078359877914</v>
      </c>
      <c r="O1083">
        <v>0.1527317408904606</v>
      </c>
      <c r="P1083">
        <v>2.0276120543873628E-2</v>
      </c>
      <c r="Q1083">
        <v>1.3644484612378518E-3</v>
      </c>
      <c r="R1083">
        <v>3.7234909987585974E-3</v>
      </c>
      <c r="S1083">
        <v>0.45990981096264588</v>
      </c>
      <c r="T1083">
        <v>3.9606749737200877</v>
      </c>
      <c r="U1083">
        <v>0</v>
      </c>
      <c r="V1083">
        <v>1.1304767209823808E-2</v>
      </c>
      <c r="W1083">
        <v>0.19629290832037755</v>
      </c>
      <c r="X1083">
        <v>2.6431433575665644E-2</v>
      </c>
      <c r="Y1083">
        <v>1.0522869837581583E-2</v>
      </c>
    </row>
    <row r="1084" spans="1:25" x14ac:dyDescent="0.25">
      <c r="A1084" s="1093"/>
      <c r="B1084" s="1452">
        <v>834</v>
      </c>
      <c r="C1084" s="1097">
        <v>0.95422923711319707</v>
      </c>
      <c r="D1084" s="1097">
        <v>0.9670777596567951</v>
      </c>
      <c r="E1084" s="1097">
        <v>0.99351038047580353</v>
      </c>
      <c r="F1084" s="1097">
        <v>0.99555841556079927</v>
      </c>
      <c r="G1084" s="1097">
        <v>1.0283859891117419</v>
      </c>
      <c r="H1084" s="1097">
        <v>1.0230497016512694</v>
      </c>
      <c r="I1084" s="1097">
        <v>0.98546661735379315</v>
      </c>
      <c r="K1084">
        <v>5.2285164339157788</v>
      </c>
      <c r="L1084">
        <v>0</v>
      </c>
      <c r="M1084">
        <v>3.9656529586287719E-3</v>
      </c>
      <c r="N1084">
        <v>0.33749236639862645</v>
      </c>
      <c r="O1084">
        <v>0.15709607819820479</v>
      </c>
      <c r="P1084">
        <v>2.0245302300369687E-2</v>
      </c>
      <c r="Q1084">
        <v>1.3768349267816759E-3</v>
      </c>
      <c r="R1084">
        <v>3.9591921854374599E-3</v>
      </c>
      <c r="S1084">
        <v>0.48346916727827371</v>
      </c>
      <c r="T1084">
        <v>3.9783976166712383</v>
      </c>
      <c r="U1084">
        <v>0</v>
      </c>
      <c r="V1084">
        <v>1.1304767209823825E-2</v>
      </c>
      <c r="W1084">
        <v>0.20191571584004431</v>
      </c>
      <c r="X1084">
        <v>2.6036066479531682E-2</v>
      </c>
      <c r="Y1084">
        <v>1.118897938607038E-2</v>
      </c>
    </row>
    <row r="1085" spans="1:25" x14ac:dyDescent="0.25">
      <c r="A1085" s="1093"/>
      <c r="B1085" s="1452">
        <v>835</v>
      </c>
      <c r="C1085" s="1097">
        <v>0.97194527122572283</v>
      </c>
      <c r="D1085" s="1097">
        <v>1.0403417416119858</v>
      </c>
      <c r="E1085" s="1097">
        <v>0.98648763334442147</v>
      </c>
      <c r="F1085" s="1097">
        <v>1.0297346192549219</v>
      </c>
      <c r="G1085" s="1097">
        <v>1.0011446548442906</v>
      </c>
      <c r="H1085" s="1097">
        <v>0.99310508909927675</v>
      </c>
      <c r="I1085" s="1097">
        <v>0.99594742364594979</v>
      </c>
      <c r="K1085">
        <v>5.3358746273210942</v>
      </c>
      <c r="L1085">
        <v>0</v>
      </c>
      <c r="M1085">
        <v>3.8528822505311143E-3</v>
      </c>
      <c r="N1085">
        <v>0.32113988491724099</v>
      </c>
      <c r="O1085">
        <v>0.15513859999268378</v>
      </c>
      <c r="P1085">
        <v>2.0744875044011728E-2</v>
      </c>
      <c r="Q1085">
        <v>1.3048972920926573E-3</v>
      </c>
      <c r="R1085">
        <v>3.8466301995504393E-3</v>
      </c>
      <c r="S1085">
        <v>0.48065055123974815</v>
      </c>
      <c r="T1085">
        <v>4.1158829540037427</v>
      </c>
      <c r="U1085">
        <v>0</v>
      </c>
      <c r="V1085">
        <v>1.1304767209823813E-2</v>
      </c>
      <c r="W1085">
        <v>0.19305268599525655</v>
      </c>
      <c r="X1085">
        <v>2.5790793057222958E-2</v>
      </c>
      <c r="Y1085">
        <v>1.0870870620252574E-2</v>
      </c>
    </row>
    <row r="1086" spans="1:25" x14ac:dyDescent="0.25">
      <c r="A1086" s="1093"/>
      <c r="B1086" s="1452">
        <v>836</v>
      </c>
      <c r="C1086" s="1097">
        <v>0.99570416753755775</v>
      </c>
      <c r="D1086" s="1097">
        <v>1.0224984411874334</v>
      </c>
      <c r="E1086" s="1097">
        <v>1.0452533825361301</v>
      </c>
      <c r="F1086" s="1097">
        <v>0.99372433625735113</v>
      </c>
      <c r="G1086" s="1097">
        <v>0.96147024858550534</v>
      </c>
      <c r="H1086" s="1097">
        <v>0.97874976507783251</v>
      </c>
      <c r="I1086" s="1097">
        <v>0.98867635998083769</v>
      </c>
      <c r="K1086">
        <v>5.1295549201076787</v>
      </c>
      <c r="L1086">
        <v>0</v>
      </c>
      <c r="M1086">
        <v>3.1817721799417141E-3</v>
      </c>
      <c r="N1086">
        <v>0.31555300967144578</v>
      </c>
      <c r="O1086">
        <v>0.14553754005354974</v>
      </c>
      <c r="P1086">
        <v>2.081003177665942E-2</v>
      </c>
      <c r="Q1086">
        <v>1.3481811123448395E-3</v>
      </c>
      <c r="R1086">
        <v>3.1763438852322567E-3</v>
      </c>
      <c r="S1086">
        <v>0.45087151366611605</v>
      </c>
      <c r="T1086">
        <v>3.964671777310441</v>
      </c>
      <c r="U1086">
        <v>0</v>
      </c>
      <c r="V1086">
        <v>1.1304767209823817E-2</v>
      </c>
      <c r="W1086">
        <v>0.18238425887571133</v>
      </c>
      <c r="X1086">
        <v>2.8102678404243318E-2</v>
      </c>
      <c r="Y1086">
        <v>8.9765903220501344E-3</v>
      </c>
    </row>
    <row r="1087" spans="1:25" x14ac:dyDescent="0.25">
      <c r="A1087" s="1093"/>
      <c r="B1087" s="1452">
        <v>837</v>
      </c>
      <c r="C1087" s="1097">
        <v>1.0137298460628006</v>
      </c>
      <c r="D1087" s="1097">
        <v>0.98871927656507153</v>
      </c>
      <c r="E1087" s="1097">
        <v>1.0365915957236795</v>
      </c>
      <c r="F1087" s="1097">
        <v>1.015495976051447</v>
      </c>
      <c r="G1087" s="1097">
        <v>1.0161589393652539</v>
      </c>
      <c r="H1087" s="1097">
        <v>1.0009022038101107</v>
      </c>
      <c r="I1087" s="1097">
        <v>0.99904215884971215</v>
      </c>
      <c r="K1087">
        <v>5.2503992026575856</v>
      </c>
      <c r="L1087">
        <v>0</v>
      </c>
      <c r="M1087">
        <v>3.3713248298173513E-3</v>
      </c>
      <c r="N1087">
        <v>0.32592938423911516</v>
      </c>
      <c r="O1087">
        <v>0.14830047071568431</v>
      </c>
      <c r="P1087">
        <v>2.1147585454222698E-2</v>
      </c>
      <c r="Q1087">
        <v>1.3324495051465083E-3</v>
      </c>
      <c r="R1087">
        <v>3.3658208323022057E-3</v>
      </c>
      <c r="S1087">
        <v>0.46284031671716336</v>
      </c>
      <c r="T1087">
        <v>4.0526172814631174</v>
      </c>
      <c r="U1087">
        <v>0</v>
      </c>
      <c r="V1087">
        <v>1.1304767209823801E-2</v>
      </c>
      <c r="W1087">
        <v>0.18945748040871904</v>
      </c>
      <c r="X1087">
        <v>2.7962904301761793E-2</v>
      </c>
      <c r="Y1087">
        <v>9.5120666403503903E-3</v>
      </c>
    </row>
    <row r="1088" spans="1:25" x14ac:dyDescent="0.25">
      <c r="A1088" s="1093"/>
      <c r="B1088" s="1452">
        <v>838</v>
      </c>
      <c r="C1088" s="1097">
        <v>1.0134939729778683</v>
      </c>
      <c r="D1088" s="1097">
        <v>0.9732083796714478</v>
      </c>
      <c r="E1088" s="1097">
        <v>1.0016396981738864</v>
      </c>
      <c r="F1088" s="1097">
        <v>1.0108644345946258</v>
      </c>
      <c r="G1088" s="1097">
        <v>0.99118195883322469</v>
      </c>
      <c r="H1088" s="1097">
        <v>1.011746148672632</v>
      </c>
      <c r="I1088" s="1097">
        <v>0.99172547025333713</v>
      </c>
      <c r="K1088">
        <v>5.2298608011228556</v>
      </c>
      <c r="L1088">
        <v>0</v>
      </c>
      <c r="M1088">
        <v>3.6762605226348284E-3</v>
      </c>
      <c r="N1088">
        <v>0.3204948958222833</v>
      </c>
      <c r="O1088">
        <v>0.14957650124207247</v>
      </c>
      <c r="P1088">
        <v>2.0541328524878409E-2</v>
      </c>
      <c r="Q1088">
        <v>1.3021052412631505E-3</v>
      </c>
      <c r="R1088">
        <v>3.6702958579416817E-3</v>
      </c>
      <c r="S1088">
        <v>0.46126731520993025</v>
      </c>
      <c r="T1088">
        <v>4.0385297910623352</v>
      </c>
      <c r="U1088">
        <v>0</v>
      </c>
      <c r="V1088">
        <v>1.1304767209823822E-2</v>
      </c>
      <c r="W1088">
        <v>0.19069406005745415</v>
      </c>
      <c r="X1088">
        <v>2.5783465109129718E-2</v>
      </c>
      <c r="Y1088">
        <v>1.0372536308376099E-2</v>
      </c>
    </row>
    <row r="1089" spans="1:25" x14ac:dyDescent="0.25">
      <c r="A1089" s="1093"/>
      <c r="B1089" s="1452">
        <v>839</v>
      </c>
      <c r="C1089" s="1097">
        <v>1.0070544649459585</v>
      </c>
      <c r="D1089" s="1097">
        <v>0.99006572428667916</v>
      </c>
      <c r="E1089" s="1097">
        <v>0.99925737143731974</v>
      </c>
      <c r="F1089" s="1097">
        <v>0.99730151877693551</v>
      </c>
      <c r="G1089" s="1097">
        <v>1.0396919967262706</v>
      </c>
      <c r="H1089" s="1097">
        <v>0.95988850630808908</v>
      </c>
      <c r="I1089" s="1097">
        <v>1.0067953762027479</v>
      </c>
      <c r="K1089">
        <v>5.1326334676866052</v>
      </c>
      <c r="L1089">
        <v>0</v>
      </c>
      <c r="M1089">
        <v>3.4567082155677635E-3</v>
      </c>
      <c r="N1089">
        <v>0.29920156017225702</v>
      </c>
      <c r="O1089">
        <v>0.14756248573467451</v>
      </c>
      <c r="P1089">
        <v>2.0229864842289901E-2</v>
      </c>
      <c r="Q1089">
        <v>1.2988068350013465E-3</v>
      </c>
      <c r="R1089">
        <v>3.4507165166009083E-3</v>
      </c>
      <c r="S1089">
        <v>0.45464890694328625</v>
      </c>
      <c r="T1089">
        <v>3.9846424849710629</v>
      </c>
      <c r="U1089">
        <v>0</v>
      </c>
      <c r="V1089">
        <v>1.1304767209823803E-2</v>
      </c>
      <c r="W1089">
        <v>0.17831134251097591</v>
      </c>
      <c r="X1089">
        <v>2.5687251840545888E-2</v>
      </c>
      <c r="Y1089">
        <v>9.7519883256574087E-3</v>
      </c>
    </row>
    <row r="1090" spans="1:25" x14ac:dyDescent="0.25">
      <c r="A1090" s="1093"/>
      <c r="B1090" s="1452">
        <v>840</v>
      </c>
      <c r="C1090" s="1097">
        <v>0.97146550105440588</v>
      </c>
      <c r="D1090" s="1097">
        <v>1.0037308252093573</v>
      </c>
      <c r="E1090" s="1097">
        <v>1.0053787701327508</v>
      </c>
      <c r="F1090" s="1097">
        <v>1.0072464639922138</v>
      </c>
      <c r="G1090" s="1097">
        <v>0.9730110400674703</v>
      </c>
      <c r="H1090" s="1097">
        <v>0.98754472595156828</v>
      </c>
      <c r="I1090" s="1097">
        <v>0.99129088685544009</v>
      </c>
      <c r="K1090">
        <v>5.2327489970153804</v>
      </c>
      <c r="L1090">
        <v>0</v>
      </c>
      <c r="M1090">
        <v>3.6554809214605433E-3</v>
      </c>
      <c r="N1090">
        <v>0.32221789069097889</v>
      </c>
      <c r="O1090">
        <v>0.15347251296151668</v>
      </c>
      <c r="P1090">
        <v>2.0579305723271105E-2</v>
      </c>
      <c r="Q1090">
        <v>1.3460583934009058E-3</v>
      </c>
      <c r="R1090">
        <v>3.6493828337552641E-3</v>
      </c>
      <c r="S1090">
        <v>0.47198791079185309</v>
      </c>
      <c r="T1090">
        <v>4.0236034736647772</v>
      </c>
      <c r="U1090">
        <v>0</v>
      </c>
      <c r="V1090">
        <v>1.1304767209823806E-2</v>
      </c>
      <c r="W1090">
        <v>0.19123649838832557</v>
      </c>
      <c r="X1090">
        <v>2.6693242773747641E-2</v>
      </c>
      <c r="Y1090">
        <v>1.0313434505391419E-2</v>
      </c>
    </row>
    <row r="1091" spans="1:25" x14ac:dyDescent="0.25">
      <c r="A1091" s="1093"/>
      <c r="B1091" s="1452">
        <v>841</v>
      </c>
      <c r="C1091" s="1097">
        <v>0.98639929791853276</v>
      </c>
      <c r="D1091" s="1097">
        <v>0.99810195118240042</v>
      </c>
      <c r="E1091" s="1097">
        <v>1.0349660911144598</v>
      </c>
      <c r="F1091" s="1097">
        <v>1.0450719531915771</v>
      </c>
      <c r="G1091" s="1097">
        <v>1.0202514634617921</v>
      </c>
      <c r="H1091" s="1097">
        <v>0.98954555460421034</v>
      </c>
      <c r="I1091" s="1097">
        <v>1.0398454035986255</v>
      </c>
      <c r="K1091">
        <v>5.4411794177413162</v>
      </c>
      <c r="L1091">
        <v>0</v>
      </c>
      <c r="M1091">
        <v>3.5238392041881039E-3</v>
      </c>
      <c r="N1091">
        <v>0.33905095991070017</v>
      </c>
      <c r="O1091">
        <v>0.15630489725112073</v>
      </c>
      <c r="P1091">
        <v>2.1866215052746198E-2</v>
      </c>
      <c r="Q1091">
        <v>1.3623479030859132E-3</v>
      </c>
      <c r="R1091">
        <v>3.5181846071052104E-3</v>
      </c>
      <c r="S1091">
        <v>0.50391762834427167</v>
      </c>
      <c r="T1091">
        <v>4.1708580670927278</v>
      </c>
      <c r="U1091">
        <v>0</v>
      </c>
      <c r="V1091">
        <v>1.1304767209823811E-2</v>
      </c>
      <c r="W1091">
        <v>0.19729630811575308</v>
      </c>
      <c r="X1091">
        <v>2.9281223157801385E-2</v>
      </c>
      <c r="Y1091">
        <v>9.9426583003676006E-3</v>
      </c>
    </row>
    <row r="1092" spans="1:25" x14ac:dyDescent="0.25">
      <c r="A1092" s="1093"/>
      <c r="B1092" s="1452">
        <v>842</v>
      </c>
      <c r="C1092" s="1097">
        <v>1.0015870738963732</v>
      </c>
      <c r="D1092" s="1097">
        <v>1.0042880082042436</v>
      </c>
      <c r="E1092" s="1097">
        <v>1.0436340827701076</v>
      </c>
      <c r="F1092" s="1097">
        <v>0.99192161805907286</v>
      </c>
      <c r="G1092" s="1097">
        <v>0.97541814769640389</v>
      </c>
      <c r="H1092" s="1097">
        <v>1.0004754421386386</v>
      </c>
      <c r="I1092" s="1097">
        <v>1.0435676161438723</v>
      </c>
      <c r="K1092">
        <v>5.1603191309260152</v>
      </c>
      <c r="L1092">
        <v>0</v>
      </c>
      <c r="M1092">
        <v>3.2619015608251443E-3</v>
      </c>
      <c r="N1092">
        <v>0.32196748963013794</v>
      </c>
      <c r="O1092">
        <v>0.14550666244211605</v>
      </c>
      <c r="P1092">
        <v>2.0881569005580702E-2</v>
      </c>
      <c r="Q1092">
        <v>1.3481109123305273E-3</v>
      </c>
      <c r="R1092">
        <v>3.2564475288616897E-3</v>
      </c>
      <c r="S1092">
        <v>0.47823615034000233</v>
      </c>
      <c r="T1092">
        <v>3.9576768769394035</v>
      </c>
      <c r="U1092">
        <v>0</v>
      </c>
      <c r="V1092">
        <v>1.1304767209823822E-2</v>
      </c>
      <c r="W1092">
        <v>0.18628947408462676</v>
      </c>
      <c r="X1092">
        <v>2.791051505938192E-2</v>
      </c>
      <c r="Y1092">
        <v>9.2029693345707948E-3</v>
      </c>
    </row>
    <row r="1093" spans="1:25" x14ac:dyDescent="0.25">
      <c r="A1093" s="1093"/>
      <c r="B1093" s="1452">
        <v>843</v>
      </c>
      <c r="C1093" s="1097">
        <v>1.0244268115805386</v>
      </c>
      <c r="D1093" s="1097">
        <v>0.99516703819654528</v>
      </c>
      <c r="E1093" s="1097">
        <v>0.98379680229454258</v>
      </c>
      <c r="F1093" s="1097">
        <v>1.0197409842770977</v>
      </c>
      <c r="G1093" s="1097">
        <v>1.0379903667784645</v>
      </c>
      <c r="H1093" s="1097">
        <v>0.99725822440692258</v>
      </c>
      <c r="I1093" s="1097">
        <v>0.96318090892848252</v>
      </c>
      <c r="K1093">
        <v>5.2277299529206163</v>
      </c>
      <c r="L1093">
        <v>0</v>
      </c>
      <c r="M1093">
        <v>3.7213264734814191E-3</v>
      </c>
      <c r="N1093">
        <v>0.30770600591785291</v>
      </c>
      <c r="O1093">
        <v>0.1484485086416665</v>
      </c>
      <c r="P1093">
        <v>2.0350656930568291E-2</v>
      </c>
      <c r="Q1093">
        <v>1.2572977982409565E-3</v>
      </c>
      <c r="R1093">
        <v>3.7152542085967075E-3</v>
      </c>
      <c r="S1093">
        <v>0.44189589679096553</v>
      </c>
      <c r="T1093">
        <v>4.0762849812397475</v>
      </c>
      <c r="U1093">
        <v>0</v>
      </c>
      <c r="V1093">
        <v>1.1304767209823824E-2</v>
      </c>
      <c r="W1093">
        <v>0.18531707103488107</v>
      </c>
      <c r="X1093">
        <v>2.4671247582012567E-2</v>
      </c>
      <c r="Y1093">
        <v>1.0499592039734905E-2</v>
      </c>
    </row>
    <row r="1094" spans="1:25" x14ac:dyDescent="0.25">
      <c r="A1094" s="1093"/>
      <c r="B1094" s="1452">
        <v>844</v>
      </c>
      <c r="C1094" s="1097">
        <v>0.99301169252573662</v>
      </c>
      <c r="D1094" s="1097">
        <v>0.95811182431034236</v>
      </c>
      <c r="E1094" s="1097">
        <v>0.98647008282258553</v>
      </c>
      <c r="F1094" s="1097">
        <v>1.0206178599049347</v>
      </c>
      <c r="G1094" s="1097">
        <v>0.99760135845114351</v>
      </c>
      <c r="H1094" s="1097">
        <v>1.0068890777429149</v>
      </c>
      <c r="I1094" s="1097">
        <v>0.9709596312036255</v>
      </c>
      <c r="K1094">
        <v>5.292686993082472</v>
      </c>
      <c r="L1094">
        <v>0</v>
      </c>
      <c r="M1094">
        <v>3.9167302023507995E-3</v>
      </c>
      <c r="N1094">
        <v>0.32644725073447739</v>
      </c>
      <c r="O1094">
        <v>0.15554301830961756</v>
      </c>
      <c r="P1094">
        <v>2.0510905388018981E-2</v>
      </c>
      <c r="Q1094">
        <v>1.3199610605501358E-3</v>
      </c>
      <c r="R1094">
        <v>3.9104056483223893E-3</v>
      </c>
      <c r="S1094">
        <v>0.46518281519771004</v>
      </c>
      <c r="T1094">
        <v>4.0794452319131222</v>
      </c>
      <c r="U1094">
        <v>0</v>
      </c>
      <c r="V1094">
        <v>1.1304767209823825E-2</v>
      </c>
      <c r="W1094">
        <v>0.19624554910161685</v>
      </c>
      <c r="X1094">
        <v>2.5642713814056226E-2</v>
      </c>
      <c r="Y1094">
        <v>1.1051104907507278E-2</v>
      </c>
    </row>
    <row r="1095" spans="1:25" x14ac:dyDescent="0.25">
      <c r="A1095" s="1093"/>
      <c r="B1095" s="1452">
        <v>845</v>
      </c>
      <c r="C1095" s="1097">
        <v>1.0019647400622991</v>
      </c>
      <c r="D1095" s="1097">
        <v>1.0224774285951495</v>
      </c>
      <c r="E1095" s="1097">
        <v>1.0119614082604635</v>
      </c>
      <c r="F1095" s="1097">
        <v>0.98581444488032677</v>
      </c>
      <c r="G1095" s="1097">
        <v>0.9871929693414575</v>
      </c>
      <c r="H1095" s="1097">
        <v>1.002845408301692</v>
      </c>
      <c r="I1095" s="1097">
        <v>0.99026717186935875</v>
      </c>
      <c r="K1095">
        <v>5.0929846684591444</v>
      </c>
      <c r="L1095">
        <v>0</v>
      </c>
      <c r="M1095">
        <v>3.4484870552392529E-3</v>
      </c>
      <c r="N1095">
        <v>0.30995195724440855</v>
      </c>
      <c r="O1095">
        <v>0.14438204528323292</v>
      </c>
      <c r="P1095">
        <v>2.0182969597221292E-2</v>
      </c>
      <c r="Q1095">
        <v>1.3027493780711562E-3</v>
      </c>
      <c r="R1095">
        <v>3.4426990948797E-3</v>
      </c>
      <c r="S1095">
        <v>0.45014455576158835</v>
      </c>
      <c r="T1095">
        <v>3.9371785042730831</v>
      </c>
      <c r="U1095">
        <v>0</v>
      </c>
      <c r="V1095">
        <v>1.1304767209823806E-2</v>
      </c>
      <c r="W1095">
        <v>0.18314482143915484</v>
      </c>
      <c r="X1095">
        <v>2.566875575314893E-2</v>
      </c>
      <c r="Y1095">
        <v>9.7293304797720827E-3</v>
      </c>
    </row>
    <row r="1096" spans="1:25" x14ac:dyDescent="0.25">
      <c r="A1096" s="1093"/>
      <c r="B1096" s="1452">
        <v>846</v>
      </c>
      <c r="C1096" s="1097">
        <v>0.96218855737491726</v>
      </c>
      <c r="D1096" s="1097">
        <v>0.97809186515619262</v>
      </c>
      <c r="E1096" s="1097">
        <v>0.97524717052535137</v>
      </c>
      <c r="F1096" s="1097">
        <v>1.0011013352769664</v>
      </c>
      <c r="G1096" s="1097">
        <v>1.035720543032538</v>
      </c>
      <c r="H1096" s="1097">
        <v>1.0176005067205023</v>
      </c>
      <c r="I1096" s="1097">
        <v>0.99430946489081473</v>
      </c>
      <c r="K1096">
        <v>5.2389893596846342</v>
      </c>
      <c r="L1096">
        <v>0</v>
      </c>
      <c r="M1096">
        <v>4.0690253910320197E-3</v>
      </c>
      <c r="N1096">
        <v>0.32802843532294346</v>
      </c>
      <c r="O1096">
        <v>0.1564893349157655</v>
      </c>
      <c r="P1096">
        <v>2.007851450653407E-2</v>
      </c>
      <c r="Q1096">
        <v>1.337954679532092E-3</v>
      </c>
      <c r="R1096">
        <v>4.0623975463430087E-3</v>
      </c>
      <c r="S1096">
        <v>0.48384742805642444</v>
      </c>
      <c r="T1096">
        <v>4.0028602827794275</v>
      </c>
      <c r="U1096">
        <v>0</v>
      </c>
      <c r="V1096">
        <v>1.1304767209823813E-2</v>
      </c>
      <c r="W1096">
        <v>0.19871731715872848</v>
      </c>
      <c r="X1096">
        <v>2.4851307284797231E-2</v>
      </c>
      <c r="Y1096">
        <v>1.1480645615346024E-2</v>
      </c>
    </row>
    <row r="1097" spans="1:25" x14ac:dyDescent="0.25">
      <c r="A1097" s="1093"/>
      <c r="B1097" s="1452">
        <v>847</v>
      </c>
      <c r="C1097" s="1097">
        <v>0.99116483843604875</v>
      </c>
      <c r="D1097" s="1097">
        <v>1.0032469579201662</v>
      </c>
      <c r="E1097" s="1097">
        <v>1.0105137419778547</v>
      </c>
      <c r="F1097" s="1097">
        <v>0.96614845999939747</v>
      </c>
      <c r="G1097" s="1097">
        <v>0.96687662921120654</v>
      </c>
      <c r="H1097" s="1097">
        <v>0.99546047463115395</v>
      </c>
      <c r="I1097" s="1097">
        <v>1.0444296926500576</v>
      </c>
      <c r="K1097">
        <v>5.0311845682071832</v>
      </c>
      <c r="L1097">
        <v>0</v>
      </c>
      <c r="M1097">
        <v>3.4277837404211435E-3</v>
      </c>
      <c r="N1097">
        <v>0.30675915172355689</v>
      </c>
      <c r="O1097">
        <v>0.14417334788906336</v>
      </c>
      <c r="P1097">
        <v>1.9903734912172209E-2</v>
      </c>
      <c r="Q1097">
        <v>1.325350619133536E-3</v>
      </c>
      <c r="R1097">
        <v>3.4218700748020396E-3</v>
      </c>
      <c r="S1097">
        <v>0.47228532896554792</v>
      </c>
      <c r="T1097">
        <v>3.8588105161341715</v>
      </c>
      <c r="U1097">
        <v>0</v>
      </c>
      <c r="V1097">
        <v>1.1304767209823817E-2</v>
      </c>
      <c r="W1097">
        <v>0.18143434292444685</v>
      </c>
      <c r="X1097">
        <v>2.5523475416074876E-2</v>
      </c>
      <c r="Y1097">
        <v>9.6704660788121555E-3</v>
      </c>
    </row>
    <row r="1098" spans="1:25" x14ac:dyDescent="0.25">
      <c r="A1098" s="1093"/>
      <c r="B1098" s="1452">
        <v>848</v>
      </c>
      <c r="C1098" s="1097">
        <v>1.0004611554013521</v>
      </c>
      <c r="D1098" s="1097">
        <v>0.960643834756991</v>
      </c>
      <c r="E1098" s="1097">
        <v>1.0052026198197179</v>
      </c>
      <c r="F1098" s="1097">
        <v>1.0029207274027896</v>
      </c>
      <c r="G1098" s="1097">
        <v>0.99371484236204743</v>
      </c>
      <c r="H1098" s="1097">
        <v>1.0040926354827882</v>
      </c>
      <c r="I1098" s="1097">
        <v>0.99277594837795957</v>
      </c>
      <c r="K1098">
        <v>5.2050924705269548</v>
      </c>
      <c r="L1098">
        <v>0</v>
      </c>
      <c r="M1098">
        <v>3.6585231252769801E-3</v>
      </c>
      <c r="N1098">
        <v>0.32232444130068721</v>
      </c>
      <c r="O1098">
        <v>0.15101668108309796</v>
      </c>
      <c r="P1098">
        <v>2.0463452721950461E-2</v>
      </c>
      <c r="Q1098">
        <v>1.3299877870789681E-3</v>
      </c>
      <c r="R1098">
        <v>3.6524946983645282E-3</v>
      </c>
      <c r="S1098">
        <v>0.4644610919847465</v>
      </c>
      <c r="T1098">
        <v>4.0063457681179324</v>
      </c>
      <c r="U1098">
        <v>0</v>
      </c>
      <c r="V1098">
        <v>1.1304767209823822E-2</v>
      </c>
      <c r="W1098">
        <v>0.19132243129942289</v>
      </c>
      <c r="X1098">
        <v>2.6207648576770593E-2</v>
      </c>
      <c r="Y1098">
        <v>1.0322228872356821E-2</v>
      </c>
    </row>
    <row r="1099" spans="1:25" x14ac:dyDescent="0.25">
      <c r="A1099" s="1093"/>
      <c r="B1099" s="1452">
        <v>849</v>
      </c>
      <c r="C1099" s="1097">
        <v>0.99226173194448997</v>
      </c>
      <c r="D1099" s="1097">
        <v>1.0028584609083759</v>
      </c>
      <c r="E1099" s="1097">
        <v>0.96235774093103443</v>
      </c>
      <c r="F1099" s="1097">
        <v>1.0059452506807673</v>
      </c>
      <c r="G1099" s="1097">
        <v>1.0138307927765222</v>
      </c>
      <c r="H1099" s="1097">
        <v>1.0070048427944027</v>
      </c>
      <c r="I1099" s="1097">
        <v>1.0227534722797091</v>
      </c>
      <c r="K1099">
        <v>5.2215643484903733</v>
      </c>
      <c r="L1099">
        <v>0</v>
      </c>
      <c r="M1099">
        <v>3.9907814136279397E-3</v>
      </c>
      <c r="N1099">
        <v>0.30963532561068274</v>
      </c>
      <c r="O1099">
        <v>0.15132614127611493</v>
      </c>
      <c r="P1099">
        <v>1.9957337999576431E-2</v>
      </c>
      <c r="Q1099">
        <v>1.2700983274398661E-3</v>
      </c>
      <c r="R1099">
        <v>3.984244198428021E-3</v>
      </c>
      <c r="S1099">
        <v>0.48010250580085873</v>
      </c>
      <c r="T1099">
        <v>4.0238801554230399</v>
      </c>
      <c r="U1099">
        <v>0</v>
      </c>
      <c r="V1099">
        <v>1.1304767209823817E-2</v>
      </c>
      <c r="W1099">
        <v>0.18925153694972657</v>
      </c>
      <c r="X1099">
        <v>2.3583238820896347E-2</v>
      </c>
      <c r="Y1099">
        <v>1.1259778287412417E-2</v>
      </c>
    </row>
    <row r="1100" spans="1:25" x14ac:dyDescent="0.25">
      <c r="A1100" s="1093"/>
      <c r="B1100" s="1452">
        <v>850</v>
      </c>
      <c r="C1100" s="1097">
        <v>0.99609919909035516</v>
      </c>
      <c r="D1100" s="1097">
        <v>1.0224167497212573</v>
      </c>
      <c r="E1100" s="1097">
        <v>1.0237218381764812</v>
      </c>
      <c r="F1100" s="1097">
        <v>0.99844897066074767</v>
      </c>
      <c r="G1100" s="1097">
        <v>1.0301813143905645</v>
      </c>
      <c r="H1100" s="1097">
        <v>0.99436309346025353</v>
      </c>
      <c r="I1100" s="1097">
        <v>1.0196837224557933</v>
      </c>
      <c r="K1100">
        <v>5.1740026783019681</v>
      </c>
      <c r="L1100">
        <v>0</v>
      </c>
      <c r="M1100">
        <v>3.3980975663415094E-3</v>
      </c>
      <c r="N1100">
        <v>0.31624089599258387</v>
      </c>
      <c r="O1100">
        <v>0.14677177485884005</v>
      </c>
      <c r="P1100">
        <v>2.0674972001988957E-2</v>
      </c>
      <c r="Q1100">
        <v>1.3235763443911978E-3</v>
      </c>
      <c r="R1100">
        <v>3.3924181940290761E-3</v>
      </c>
      <c r="S1100">
        <v>0.46964945675034414</v>
      </c>
      <c r="T1100">
        <v>3.9861768349159976</v>
      </c>
      <c r="U1100">
        <v>0</v>
      </c>
      <c r="V1100">
        <v>1.130476720982381E-2</v>
      </c>
      <c r="W1100">
        <v>0.18539913526077467</v>
      </c>
      <c r="X1100">
        <v>2.6879711524333993E-2</v>
      </c>
      <c r="Y1100">
        <v>9.5872328152030329E-3</v>
      </c>
    </row>
    <row r="1101" spans="1:25" x14ac:dyDescent="0.25">
      <c r="A1101" s="1093"/>
      <c r="B1101" s="1452">
        <v>851</v>
      </c>
      <c r="C1101" s="1097">
        <v>0.99843258538289881</v>
      </c>
      <c r="D1101" s="1097">
        <v>1.0358598769360834</v>
      </c>
      <c r="E1101" s="1097">
        <v>0.97943282159871514</v>
      </c>
      <c r="F1101" s="1097">
        <v>0.98110142564448011</v>
      </c>
      <c r="G1101" s="1097">
        <v>1.029284996448993</v>
      </c>
      <c r="H1101" s="1097">
        <v>1.0170369817228566</v>
      </c>
      <c r="I1101" s="1097">
        <v>1.0224728596415711</v>
      </c>
      <c r="K1101">
        <v>5.0862259494720838</v>
      </c>
      <c r="L1101">
        <v>0</v>
      </c>
      <c r="M1101">
        <v>3.7209918205099077E-3</v>
      </c>
      <c r="N1101">
        <v>0.30371072791468245</v>
      </c>
      <c r="O1101">
        <v>0.14432918948179899</v>
      </c>
      <c r="P1101">
        <v>1.9702288217545497E-2</v>
      </c>
      <c r="Q1101">
        <v>1.2647214745989416E-3</v>
      </c>
      <c r="R1101">
        <v>3.7148041003041165E-3</v>
      </c>
      <c r="S1101">
        <v>0.46602001467237569</v>
      </c>
      <c r="T1101">
        <v>3.9223704472104082</v>
      </c>
      <c r="U1101">
        <v>0</v>
      </c>
      <c r="V1101">
        <v>1.1304767209823829E-2</v>
      </c>
      <c r="W1101">
        <v>0.18345800098231321</v>
      </c>
      <c r="X1101">
        <v>2.3573660029401172E-2</v>
      </c>
      <c r="Y1101">
        <v>1.04983199993359E-2</v>
      </c>
    </row>
    <row r="1102" spans="1:25" x14ac:dyDescent="0.25">
      <c r="A1102" s="1093"/>
      <c r="B1102" s="1452">
        <v>852</v>
      </c>
      <c r="C1102" s="1097">
        <v>1.0002706238019505</v>
      </c>
      <c r="D1102" s="1097">
        <v>1.0021847987015255</v>
      </c>
      <c r="E1102" s="1097">
        <v>0.97394012812430342</v>
      </c>
      <c r="F1102" s="1097">
        <v>1.0070622645817191</v>
      </c>
      <c r="G1102" s="1097">
        <v>0.97962988963240605</v>
      </c>
      <c r="H1102" s="1097">
        <v>0.98782944708249154</v>
      </c>
      <c r="I1102" s="1097">
        <v>1.008526911617333</v>
      </c>
      <c r="K1102">
        <v>5.200603233460118</v>
      </c>
      <c r="L1102">
        <v>0</v>
      </c>
      <c r="M1102">
        <v>3.7955535112605258E-3</v>
      </c>
      <c r="N1102">
        <v>0.30478535723257244</v>
      </c>
      <c r="O1102">
        <v>0.14999760792782399</v>
      </c>
      <c r="P1102">
        <v>2.0088098046845426E-2</v>
      </c>
      <c r="Q1102">
        <v>1.2730995808658504E-3</v>
      </c>
      <c r="R1102">
        <v>3.7892224230188141E-3</v>
      </c>
      <c r="S1102">
        <v>0.46648863091878129</v>
      </c>
      <c r="T1102">
        <v>4.0268620286802239</v>
      </c>
      <c r="U1102">
        <v>0</v>
      </c>
      <c r="V1102">
        <v>1.130476720982381E-2</v>
      </c>
      <c r="W1102">
        <v>0.18480285133375102</v>
      </c>
      <c r="X1102">
        <v>2.4298491756774173E-2</v>
      </c>
      <c r="Y1102">
        <v>1.0708631860897797E-2</v>
      </c>
    </row>
    <row r="1103" spans="1:25" x14ac:dyDescent="0.25">
      <c r="A1103" s="1093"/>
      <c r="B1103" s="1452">
        <v>853</v>
      </c>
      <c r="C1103" s="1097">
        <v>0.98269571554597279</v>
      </c>
      <c r="D1103" s="1097">
        <v>0.95591722492119824</v>
      </c>
      <c r="E1103" s="1097">
        <v>1.0182261135782487</v>
      </c>
      <c r="F1103" s="1097">
        <v>0.98642169233362276</v>
      </c>
      <c r="G1103" s="1097">
        <v>0.96730745060223711</v>
      </c>
      <c r="H1103" s="1097">
        <v>0.98050465011545218</v>
      </c>
      <c r="I1103" s="1097">
        <v>1.0145733959347174</v>
      </c>
      <c r="K1103">
        <v>5.1396922947709047</v>
      </c>
      <c r="L1103">
        <v>0</v>
      </c>
      <c r="M1103">
        <v>3.487346430149931E-3</v>
      </c>
      <c r="N1103">
        <v>0.31929866853582473</v>
      </c>
      <c r="O1103">
        <v>0.15114558713517229</v>
      </c>
      <c r="P1103">
        <v>2.0386897887003021E-2</v>
      </c>
      <c r="Q1103">
        <v>1.3718199758733435E-3</v>
      </c>
      <c r="R1103">
        <v>3.4813635626354481E-3</v>
      </c>
      <c r="S1103">
        <v>0.47249863525893604</v>
      </c>
      <c r="T1103">
        <v>3.9388333988421369</v>
      </c>
      <c r="U1103">
        <v>0</v>
      </c>
      <c r="V1103">
        <v>1.1304767209823804E-2</v>
      </c>
      <c r="W1103">
        <v>0.18787854912403254</v>
      </c>
      <c r="X1103">
        <v>2.7141354452075238E-2</v>
      </c>
      <c r="Y1103">
        <v>9.8385992175422984E-3</v>
      </c>
    </row>
    <row r="1104" spans="1:25" x14ac:dyDescent="0.25">
      <c r="A1104" s="1093"/>
      <c r="B1104" s="1452">
        <v>854</v>
      </c>
      <c r="C1104" s="1097">
        <v>0.97661029188040338</v>
      </c>
      <c r="D1104" s="1097">
        <v>1.0026904778582544</v>
      </c>
      <c r="E1104" s="1097">
        <v>1.0227258979525562</v>
      </c>
      <c r="F1104" s="1097">
        <v>0.95450121463808946</v>
      </c>
      <c r="G1104" s="1097">
        <v>0.99626326666283405</v>
      </c>
      <c r="H1104" s="1097">
        <v>1.0083136022547416</v>
      </c>
      <c r="I1104" s="1097">
        <v>0.98567609344827489</v>
      </c>
      <c r="K1104">
        <v>4.9729580008847876</v>
      </c>
      <c r="L1104">
        <v>0</v>
      </c>
      <c r="M1104">
        <v>3.3935178786288511E-3</v>
      </c>
      <c r="N1104">
        <v>0.31486911166326043</v>
      </c>
      <c r="O1104">
        <v>0.14425816004106878</v>
      </c>
      <c r="P1104">
        <v>1.9758999492805056E-2</v>
      </c>
      <c r="Q1104">
        <v>1.3594068346751129E-3</v>
      </c>
      <c r="R1104">
        <v>3.3876675512994844E-3</v>
      </c>
      <c r="S1104">
        <v>0.45018372681754915</v>
      </c>
      <c r="T1104">
        <v>3.8108392164578362</v>
      </c>
      <c r="U1104">
        <v>0</v>
      </c>
      <c r="V1104">
        <v>1.1304767209823818E-2</v>
      </c>
      <c r="W1104">
        <v>0.18471727400650287</v>
      </c>
      <c r="X1104">
        <v>2.6099381552435134E-2</v>
      </c>
      <c r="Y1104">
        <v>9.5738071361547907E-3</v>
      </c>
    </row>
    <row r="1105" spans="1:25" x14ac:dyDescent="0.25">
      <c r="A1105" s="1093"/>
      <c r="B1105" s="1452">
        <v>855</v>
      </c>
      <c r="C1105" s="1097">
        <v>1.009893639586235</v>
      </c>
      <c r="D1105" s="1097">
        <v>0.96683743028647184</v>
      </c>
      <c r="E1105" s="1097">
        <v>0.96605772942496482</v>
      </c>
      <c r="F1105" s="1097">
        <v>1.0384026239902664</v>
      </c>
      <c r="G1105" s="1097">
        <v>0.99126882745984268</v>
      </c>
      <c r="H1105" s="1097">
        <v>0.99985016745561284</v>
      </c>
      <c r="I1105" s="1097">
        <v>1.0198358401885108</v>
      </c>
      <c r="K1105">
        <v>5.3741245827009845</v>
      </c>
      <c r="L1105">
        <v>0</v>
      </c>
      <c r="M1105">
        <v>4.0464168347167798E-3</v>
      </c>
      <c r="N1105">
        <v>0.31743460824037539</v>
      </c>
      <c r="O1105">
        <v>0.15563647776600373</v>
      </c>
      <c r="P1105">
        <v>2.0610022905080926E-2</v>
      </c>
      <c r="Q1105">
        <v>1.2704319704143767E-3</v>
      </c>
      <c r="R1105">
        <v>4.039949385075914E-3</v>
      </c>
      <c r="S1105">
        <v>0.48516166126797239</v>
      </c>
      <c r="T1105">
        <v>4.1532223927092824</v>
      </c>
      <c r="U1105">
        <v>0</v>
      </c>
      <c r="V1105">
        <v>1.130476720982382E-2</v>
      </c>
      <c r="W1105">
        <v>0.19352198753933619</v>
      </c>
      <c r="X1105">
        <v>2.4551495144561591E-2</v>
      </c>
      <c r="Y1105">
        <v>1.1417205397769177E-2</v>
      </c>
    </row>
    <row r="1106" spans="1:25" x14ac:dyDescent="0.25">
      <c r="A1106" s="1093"/>
      <c r="B1106" s="1452">
        <v>856</v>
      </c>
      <c r="C1106" s="1097">
        <v>0.99989738146826057</v>
      </c>
      <c r="D1106" s="1097">
        <v>1.006472361663332</v>
      </c>
      <c r="E1106" s="1097">
        <v>0.98261149112209978</v>
      </c>
      <c r="F1106" s="1097">
        <v>0.96364398007441632</v>
      </c>
      <c r="G1106" s="1097">
        <v>0.979057595520616</v>
      </c>
      <c r="H1106" s="1097">
        <v>1.0012902887415414</v>
      </c>
      <c r="I1106" s="1097">
        <v>0.99881202876302722</v>
      </c>
      <c r="K1106">
        <v>4.9853009750927662</v>
      </c>
      <c r="L1106">
        <v>0</v>
      </c>
      <c r="M1106">
        <v>3.6104589754780889E-3</v>
      </c>
      <c r="N1106">
        <v>0.29746456025877027</v>
      </c>
      <c r="O1106">
        <v>0.1431073540002154</v>
      </c>
      <c r="P1106">
        <v>1.9351702321697088E-2</v>
      </c>
      <c r="Q1106">
        <v>1.2810184545718208E-3</v>
      </c>
      <c r="R1106">
        <v>3.6042503552431984E-3</v>
      </c>
      <c r="S1106">
        <v>0.44750961271911566</v>
      </c>
      <c r="T1106">
        <v>3.8521888753147926</v>
      </c>
      <c r="U1106">
        <v>0</v>
      </c>
      <c r="V1106">
        <v>1.1304767209823829E-2</v>
      </c>
      <c r="W1106">
        <v>0.17929435024889584</v>
      </c>
      <c r="X1106">
        <v>2.3619056509697301E-2</v>
      </c>
      <c r="Y1106">
        <v>1.0185886675414585E-2</v>
      </c>
    </row>
    <row r="1107" spans="1:25" x14ac:dyDescent="0.25">
      <c r="A1107" s="1093"/>
      <c r="B1107" s="1452">
        <v>857</v>
      </c>
      <c r="C1107" s="1097">
        <v>1.0067659369528674</v>
      </c>
      <c r="D1107" s="1097">
        <v>0.98690284399073036</v>
      </c>
      <c r="E1107" s="1097">
        <v>1.021008278655585</v>
      </c>
      <c r="F1107" s="1097">
        <v>0.98823797329232632</v>
      </c>
      <c r="G1107" s="1097">
        <v>1.0306052480666614</v>
      </c>
      <c r="H1107" s="1097">
        <v>0.99058383961928886</v>
      </c>
      <c r="I1107" s="1097">
        <v>0.97122746230111945</v>
      </c>
      <c r="K1107">
        <v>5.0972978174404133</v>
      </c>
      <c r="L1107">
        <v>0</v>
      </c>
      <c r="M1107">
        <v>3.3816680859553782E-3</v>
      </c>
      <c r="N1107">
        <v>0.3121884525486287</v>
      </c>
      <c r="O1107">
        <v>0.14585313172253461</v>
      </c>
      <c r="P1107">
        <v>2.0315677054983536E-2</v>
      </c>
      <c r="Q1107">
        <v>1.3251612831550685E-3</v>
      </c>
      <c r="R1107">
        <v>3.3759360868884964E-3</v>
      </c>
      <c r="S1107">
        <v>0.44117259884141702</v>
      </c>
      <c r="T1107">
        <v>3.9457438982912105</v>
      </c>
      <c r="U1107">
        <v>0</v>
      </c>
      <c r="V1107">
        <v>1.1304767209823825E-2</v>
      </c>
      <c r="W1107">
        <v>0.18335428000389731</v>
      </c>
      <c r="X1107">
        <v>2.6504929361753884E-2</v>
      </c>
      <c r="Y1107">
        <v>9.540653122074404E-3</v>
      </c>
    </row>
    <row r="1108" spans="1:25" x14ac:dyDescent="0.25">
      <c r="A1108" s="1093"/>
      <c r="B1108" s="1452">
        <v>858</v>
      </c>
      <c r="C1108" s="1097">
        <v>1.0118892666553605</v>
      </c>
      <c r="D1108" s="1097">
        <v>0.99916181027741158</v>
      </c>
      <c r="E1108" s="1097">
        <v>0.99637280326887046</v>
      </c>
      <c r="F1108" s="1097">
        <v>0.99525391453344225</v>
      </c>
      <c r="G1108" s="1097">
        <v>0.99851970481762964</v>
      </c>
      <c r="H1108" s="1097">
        <v>0.97979642780133025</v>
      </c>
      <c r="I1108" s="1097">
        <v>0.98514968816392179</v>
      </c>
      <c r="K1108">
        <v>5.1169938505778347</v>
      </c>
      <c r="L1108">
        <v>0</v>
      </c>
      <c r="M1108">
        <v>3.5128147659250213E-3</v>
      </c>
      <c r="N1108">
        <v>0.30147945898066347</v>
      </c>
      <c r="O1108">
        <v>0.14609976197379682</v>
      </c>
      <c r="P1108">
        <v>2.0106261549133343E-2</v>
      </c>
      <c r="Q1108">
        <v>1.2846968923767293E-3</v>
      </c>
      <c r="R1108">
        <v>3.5068372801339933E-3</v>
      </c>
      <c r="S1108">
        <v>0.44482122283223935</v>
      </c>
      <c r="T1108">
        <v>3.9768222553588699</v>
      </c>
      <c r="U1108">
        <v>0</v>
      </c>
      <c r="V1108">
        <v>1.1304767209823824E-2</v>
      </c>
      <c r="W1108">
        <v>0.1800200188344665</v>
      </c>
      <c r="X1108">
        <v>2.5150794544235033E-2</v>
      </c>
      <c r="Y1108">
        <v>9.910589888019513E-3</v>
      </c>
    </row>
    <row r="1109" spans="1:25" x14ac:dyDescent="0.25">
      <c r="A1109" s="1093"/>
      <c r="B1109" s="1452">
        <v>859</v>
      </c>
      <c r="C1109" s="1097">
        <v>0.99249491422331881</v>
      </c>
      <c r="D1109" s="1097">
        <v>0.98418966665541585</v>
      </c>
      <c r="E1109" s="1097">
        <v>0.98209091589191166</v>
      </c>
      <c r="F1109" s="1097">
        <v>0.96452136522287224</v>
      </c>
      <c r="G1109" s="1097">
        <v>1.0155612242826564</v>
      </c>
      <c r="H1109" s="1097">
        <v>0.98630510433000274</v>
      </c>
      <c r="I1109" s="1097">
        <v>1.0094566288256921</v>
      </c>
      <c r="K1109">
        <v>5.0005478340413818</v>
      </c>
      <c r="L1109">
        <v>0</v>
      </c>
      <c r="M1109">
        <v>3.622425084157584E-3</v>
      </c>
      <c r="N1109">
        <v>0.29798252819786575</v>
      </c>
      <c r="O1109">
        <v>0.14561824853901928</v>
      </c>
      <c r="P1109">
        <v>1.9394959963886221E-2</v>
      </c>
      <c r="Q1109">
        <v>1.3015947735520387E-3</v>
      </c>
      <c r="R1109">
        <v>3.6161069876112593E-3</v>
      </c>
      <c r="S1109">
        <v>0.45527723896254363</v>
      </c>
      <c r="T1109">
        <v>3.8557598052619495</v>
      </c>
      <c r="U1109">
        <v>0</v>
      </c>
      <c r="V1109">
        <v>1.1304767209823824E-2</v>
      </c>
      <c r="W1109">
        <v>0.17967051896766195</v>
      </c>
      <c r="X1109">
        <v>2.4025095837925701E-2</v>
      </c>
      <c r="Y1109">
        <v>1.0219394423697788E-2</v>
      </c>
    </row>
    <row r="1110" spans="1:25" x14ac:dyDescent="0.25">
      <c r="A1110" s="1093"/>
      <c r="B1110" s="1452">
        <v>860</v>
      </c>
      <c r="C1110" s="1097">
        <v>1.0199002065629679</v>
      </c>
      <c r="D1110" s="1097">
        <v>0.96958941240463226</v>
      </c>
      <c r="E1110" s="1097">
        <v>1.0063293942445859</v>
      </c>
      <c r="F1110" s="1097">
        <v>1.0018162388089107</v>
      </c>
      <c r="G1110" s="1097">
        <v>0.98468072975502141</v>
      </c>
      <c r="H1110" s="1097">
        <v>0.99834812118079497</v>
      </c>
      <c r="I1110" s="1097">
        <v>1.0096008424067924</v>
      </c>
      <c r="K1110">
        <v>5.1779422124307368</v>
      </c>
      <c r="L1110">
        <v>0</v>
      </c>
      <c r="M1110">
        <v>3.5427229246692963E-3</v>
      </c>
      <c r="N1110">
        <v>0.31316196986529998</v>
      </c>
      <c r="O1110">
        <v>0.14739638996673188</v>
      </c>
      <c r="P1110">
        <v>2.0443753878818131E-2</v>
      </c>
      <c r="Q1110">
        <v>1.3010616421194282E-3</v>
      </c>
      <c r="R1110">
        <v>3.5368452586141564E-3</v>
      </c>
      <c r="S1110">
        <v>0.46095987132286215</v>
      </c>
      <c r="T1110">
        <v>4.0017923493000485</v>
      </c>
      <c r="U1110">
        <v>0</v>
      </c>
      <c r="V1110">
        <v>1.1304767209823827E-2</v>
      </c>
      <c r="W1110">
        <v>0.18574289876536015</v>
      </c>
      <c r="X1110">
        <v>2.5849633419519253E-2</v>
      </c>
      <c r="Y1110">
        <v>9.9953947262052326E-3</v>
      </c>
    </row>
    <row r="1111" spans="1:25" x14ac:dyDescent="0.25">
      <c r="A1111" s="1093"/>
      <c r="B1111" s="1452">
        <v>861</v>
      </c>
      <c r="C1111" s="1097">
        <v>1.0176492569811748</v>
      </c>
      <c r="D1111" s="1097">
        <v>0.99441142531792948</v>
      </c>
      <c r="E1111" s="1097">
        <v>0.98095363094321697</v>
      </c>
      <c r="F1111" s="1097">
        <v>1.0232681504551326</v>
      </c>
      <c r="G1111" s="1097">
        <v>1.0129647715741701</v>
      </c>
      <c r="H1111" s="1097">
        <v>1.0016866490458809</v>
      </c>
      <c r="I1111" s="1097">
        <v>1.0124352445320872</v>
      </c>
      <c r="K1111">
        <v>5.2787118067880741</v>
      </c>
      <c r="L1111">
        <v>0</v>
      </c>
      <c r="M1111">
        <v>3.7995058763476619E-3</v>
      </c>
      <c r="N1111">
        <v>0.31153548379772578</v>
      </c>
      <c r="O1111">
        <v>0.15007935039105469</v>
      </c>
      <c r="P1111">
        <v>2.0497146608914687E-2</v>
      </c>
      <c r="Q1111">
        <v>1.2629400238045874E-3</v>
      </c>
      <c r="R1111">
        <v>3.7933546933000637E-3</v>
      </c>
      <c r="S1111">
        <v>0.46986110572748807</v>
      </c>
      <c r="T1111">
        <v>4.0907526738822924</v>
      </c>
      <c r="U1111">
        <v>0</v>
      </c>
      <c r="V1111">
        <v>1.1304767209823827E-2</v>
      </c>
      <c r="W1111">
        <v>0.1879886324105052</v>
      </c>
      <c r="X1111">
        <v>2.4715547947313139E-2</v>
      </c>
      <c r="Y1111">
        <v>1.0720309972196519E-2</v>
      </c>
    </row>
    <row r="1112" spans="1:25" x14ac:dyDescent="0.25">
      <c r="A1112" s="1093"/>
      <c r="B1112" s="1452">
        <v>862</v>
      </c>
      <c r="C1112" s="1097">
        <v>1.0193220741655271</v>
      </c>
      <c r="D1112" s="1097">
        <v>1.0277482285714554</v>
      </c>
      <c r="E1112" s="1097">
        <v>1.015142550987485</v>
      </c>
      <c r="F1112" s="1097">
        <v>1.0011470064452277</v>
      </c>
      <c r="G1112" s="1097">
        <v>0.97353598842699496</v>
      </c>
      <c r="H1112" s="1097">
        <v>0.99186741239983722</v>
      </c>
      <c r="I1112" s="1097">
        <v>0.97223490719804184</v>
      </c>
      <c r="K1112">
        <v>5.1347241412596292</v>
      </c>
      <c r="L1112">
        <v>0</v>
      </c>
      <c r="M1112">
        <v>3.3749863053634571E-3</v>
      </c>
      <c r="N1112">
        <v>0.30621776923530858</v>
      </c>
      <c r="O1112">
        <v>0.14374866182459667</v>
      </c>
      <c r="P1112">
        <v>2.0452891280189952E-2</v>
      </c>
      <c r="Q1112">
        <v>1.2813936339208505E-3</v>
      </c>
      <c r="R1112">
        <v>3.3693465813584033E-3</v>
      </c>
      <c r="S1112">
        <v>0.43770508955001591</v>
      </c>
      <c r="T1112">
        <v>3.9980168927804551</v>
      </c>
      <c r="U1112">
        <v>0</v>
      </c>
      <c r="V1112">
        <v>1.1304767209823815E-2</v>
      </c>
      <c r="W1112">
        <v>0.18055329755873425</v>
      </c>
      <c r="X1112">
        <v>2.5926987234226751E-2</v>
      </c>
      <c r="Y1112">
        <v>9.5220306763614138E-3</v>
      </c>
    </row>
    <row r="1113" spans="1:25" x14ac:dyDescent="0.25">
      <c r="A1113" s="1093"/>
      <c r="B1113" s="1452">
        <v>863</v>
      </c>
      <c r="C1113" s="1097">
        <v>1.0269100803420634</v>
      </c>
      <c r="D1113" s="1097">
        <v>0.98794739576684276</v>
      </c>
      <c r="E1113" s="1097">
        <v>0.96258643036123492</v>
      </c>
      <c r="F1113" s="1097">
        <v>0.99369225088005608</v>
      </c>
      <c r="G1113" s="1097">
        <v>1.0208536454750852</v>
      </c>
      <c r="H1113" s="1097">
        <v>1.0021447796601326</v>
      </c>
      <c r="I1113" s="1097">
        <v>1.0314004695773165</v>
      </c>
      <c r="K1113">
        <v>5.1262814613228436</v>
      </c>
      <c r="L1113">
        <v>0</v>
      </c>
      <c r="M1113">
        <v>3.8118120892350841E-3</v>
      </c>
      <c r="N1113">
        <v>0.29594218219853352</v>
      </c>
      <c r="O1113">
        <v>0.14530119723289356</v>
      </c>
      <c r="P1113">
        <v>1.9670675601629019E-2</v>
      </c>
      <c r="Q1113">
        <v>1.2348684145168671E-3</v>
      </c>
      <c r="R1113">
        <v>3.8054605202033501E-3</v>
      </c>
      <c r="S1113">
        <v>0.46350648768824665</v>
      </c>
      <c r="T1113">
        <v>3.9748379166043093</v>
      </c>
      <c r="U1113">
        <v>0</v>
      </c>
      <c r="V1113">
        <v>1.130476720982381E-2</v>
      </c>
      <c r="W1113">
        <v>0.18085350013060816</v>
      </c>
      <c r="X1113">
        <v>2.2881695848051182E-2</v>
      </c>
      <c r="Y1113">
        <v>1.0754521963261369E-2</v>
      </c>
    </row>
    <row r="1114" spans="1:25" x14ac:dyDescent="0.25">
      <c r="A1114" s="1093"/>
      <c r="B1114" s="1452">
        <v>864</v>
      </c>
      <c r="C1114" s="1097">
        <v>0.99150381131461041</v>
      </c>
      <c r="D1114" s="1097">
        <v>1.0131823993430102</v>
      </c>
      <c r="E1114" s="1097">
        <v>0.96410266312191295</v>
      </c>
      <c r="F1114" s="1097">
        <v>0.96853642219246672</v>
      </c>
      <c r="G1114" s="1097">
        <v>0.99580116972089894</v>
      </c>
      <c r="H1114" s="1097">
        <v>1.012072737658344</v>
      </c>
      <c r="I1114" s="1097">
        <v>1.0076842816003837</v>
      </c>
      <c r="K1114">
        <v>5.0247962533458113</v>
      </c>
      <c r="L1114">
        <v>0</v>
      </c>
      <c r="M1114">
        <v>3.8350713645777909E-3</v>
      </c>
      <c r="N1114">
        <v>0.29908438319600317</v>
      </c>
      <c r="O1114">
        <v>0.14516676997757069</v>
      </c>
      <c r="P1114">
        <v>1.922583323776611E-2</v>
      </c>
      <c r="Q1114">
        <v>1.2678121214927383E-3</v>
      </c>
      <c r="R1114">
        <v>3.828579658595154E-3</v>
      </c>
      <c r="S1114">
        <v>0.45861010747388337</v>
      </c>
      <c r="T1114">
        <v>3.8740253206372488</v>
      </c>
      <c r="U1114">
        <v>0</v>
      </c>
      <c r="V1114">
        <v>1.1304767209823808E-2</v>
      </c>
      <c r="W1114">
        <v>0.18258179233925992</v>
      </c>
      <c r="X1114">
        <v>2.2716100445327295E-2</v>
      </c>
      <c r="Y1114">
        <v>1.0819858413419326E-2</v>
      </c>
    </row>
    <row r="1115" spans="1:25" x14ac:dyDescent="0.25">
      <c r="A1115" s="1093"/>
      <c r="B1115" s="1452">
        <v>865</v>
      </c>
      <c r="C1115" s="1097">
        <v>0.98595105367808378</v>
      </c>
      <c r="D1115" s="1097">
        <v>1.0100958578582164</v>
      </c>
      <c r="E1115" s="1097">
        <v>0.9952065791476068</v>
      </c>
      <c r="F1115" s="1097">
        <v>1.0116743770727692</v>
      </c>
      <c r="G1115" s="1097">
        <v>0.98263016070152298</v>
      </c>
      <c r="H1115" s="1097">
        <v>1.0058740937472914</v>
      </c>
      <c r="I1115" s="1097">
        <v>1.0264734720244928</v>
      </c>
      <c r="K1115">
        <v>5.2633440977670585</v>
      </c>
      <c r="L1115">
        <v>0</v>
      </c>
      <c r="M1115">
        <v>3.7550089650700402E-3</v>
      </c>
      <c r="N1115">
        <v>0.321176060880699</v>
      </c>
      <c r="O1115">
        <v>0.15178827134661949</v>
      </c>
      <c r="P1115">
        <v>2.0574950402076415E-2</v>
      </c>
      <c r="Q1115">
        <v>1.3114518909909251E-3</v>
      </c>
      <c r="R1115">
        <v>3.7488858643104409E-3</v>
      </c>
      <c r="S1115">
        <v>0.48634559156839646</v>
      </c>
      <c r="T1115">
        <v>4.0425833450643296</v>
      </c>
      <c r="U1115">
        <v>0</v>
      </c>
      <c r="V1115">
        <v>1.1304767209823817E-2</v>
      </c>
      <c r="W1115">
        <v>0.19193295188656292</v>
      </c>
      <c r="X1115">
        <v>2.5738192951886802E-2</v>
      </c>
      <c r="Y1115">
        <v>1.0594637666437361E-2</v>
      </c>
    </row>
    <row r="1116" spans="1:25" x14ac:dyDescent="0.25">
      <c r="A1116" s="1093"/>
      <c r="B1116" s="1452">
        <v>866</v>
      </c>
      <c r="C1116" s="1097">
        <v>1.0333629716439952</v>
      </c>
      <c r="D1116" s="1097">
        <v>0.98852033861530386</v>
      </c>
      <c r="E1116" s="1097">
        <v>0.96505736946948917</v>
      </c>
      <c r="F1116" s="1097">
        <v>0.95935065496706806</v>
      </c>
      <c r="G1116" s="1097">
        <v>1.0077735138387316</v>
      </c>
      <c r="H1116" s="1097">
        <v>1.0139451743013506</v>
      </c>
      <c r="I1116" s="1097">
        <v>0.99656381059067445</v>
      </c>
      <c r="K1116">
        <v>4.9380046869855798</v>
      </c>
      <c r="L1116">
        <v>0</v>
      </c>
      <c r="M1116">
        <v>3.6804317658096723E-3</v>
      </c>
      <c r="N1116">
        <v>0.28783601798147351</v>
      </c>
      <c r="O1116">
        <v>0.13930726282024733</v>
      </c>
      <c r="P1116">
        <v>1.8968571542874957E-2</v>
      </c>
      <c r="Q1116">
        <v>1.2295343812708092E-3</v>
      </c>
      <c r="R1116">
        <v>3.6741538877889902E-3</v>
      </c>
      <c r="S1116">
        <v>0.43419941773442156</v>
      </c>
      <c r="T1116">
        <v>3.8371664954686548</v>
      </c>
      <c r="U1116">
        <v>0</v>
      </c>
      <c r="V1116">
        <v>1.130476720982381E-2</v>
      </c>
      <c r="W1116">
        <v>0.17559889832370901</v>
      </c>
      <c r="X1116">
        <v>2.2016560005852451E-2</v>
      </c>
      <c r="Y1116">
        <v>1.0383439395271235E-2</v>
      </c>
    </row>
    <row r="1117" spans="1:25" x14ac:dyDescent="0.25">
      <c r="A1117" s="1093"/>
      <c r="B1117" s="1452">
        <v>867</v>
      </c>
      <c r="C1117" s="1097">
        <v>1.0263951248497016</v>
      </c>
      <c r="D1117" s="1097">
        <v>1.0083427135386156</v>
      </c>
      <c r="E1117" s="1097">
        <v>1.0006527872902014</v>
      </c>
      <c r="F1117" s="1097">
        <v>0.9883964300454996</v>
      </c>
      <c r="G1117" s="1097">
        <v>1.0278186959620721</v>
      </c>
      <c r="H1117" s="1097">
        <v>1.023279049640774</v>
      </c>
      <c r="I1117" s="1097">
        <v>1.0000800787034421</v>
      </c>
      <c r="K1117">
        <v>5.1000303549448223</v>
      </c>
      <c r="L1117">
        <v>0</v>
      </c>
      <c r="M1117">
        <v>3.5467591941451843E-3</v>
      </c>
      <c r="N1117">
        <v>0.30829665355770453</v>
      </c>
      <c r="O1117">
        <v>0.14240580667487876</v>
      </c>
      <c r="P1117">
        <v>2.0065481962840623E-2</v>
      </c>
      <c r="Q1117">
        <v>1.2665568344613967E-3</v>
      </c>
      <c r="R1117">
        <v>3.5409403801073521E-3</v>
      </c>
      <c r="S1117">
        <v>0.44964692640932574</v>
      </c>
      <c r="T1117">
        <v>3.9488897097987308</v>
      </c>
      <c r="U1117">
        <v>0</v>
      </c>
      <c r="V1117">
        <v>1.1304767209823827E-2</v>
      </c>
      <c r="W1117">
        <v>0.18355842385413698</v>
      </c>
      <c r="X1117">
        <v>2.4594879604757942E-2</v>
      </c>
      <c r="Y1117">
        <v>1.000696785219274E-2</v>
      </c>
    </row>
    <row r="1118" spans="1:25" x14ac:dyDescent="0.25">
      <c r="A1118" s="1093"/>
      <c r="B1118" s="1452">
        <v>868</v>
      </c>
      <c r="C1118" s="1097">
        <v>0.98315982843753991</v>
      </c>
      <c r="D1118" s="1097">
        <v>1.0330622756326648</v>
      </c>
      <c r="E1118" s="1097">
        <v>1.0227219180942579</v>
      </c>
      <c r="F1118" s="1097">
        <v>1.0281823264601817</v>
      </c>
      <c r="G1118" s="1097">
        <v>1.0246969701384525</v>
      </c>
      <c r="H1118" s="1097">
        <v>1.0020457402237799</v>
      </c>
      <c r="I1118" s="1097">
        <v>0.99101604936091092</v>
      </c>
      <c r="K1118">
        <v>5.3286685043755897</v>
      </c>
      <c r="L1118">
        <v>0</v>
      </c>
      <c r="M1118">
        <v>3.5653205883832435E-3</v>
      </c>
      <c r="N1118">
        <v>0.33084356575260898</v>
      </c>
      <c r="O1118">
        <v>0.15252733779745517</v>
      </c>
      <c r="P1118">
        <v>2.1232134051254698E-2</v>
      </c>
      <c r="Q1118">
        <v>1.3343240558665816E-3</v>
      </c>
      <c r="R1118">
        <v>3.5595781394051709E-3</v>
      </c>
      <c r="S1118">
        <v>0.47455237767734249</v>
      </c>
      <c r="T1118">
        <v>4.1050110323415128</v>
      </c>
      <c r="U1118">
        <v>0</v>
      </c>
      <c r="V1118">
        <v>1.130476720982382E-2</v>
      </c>
      <c r="W1118">
        <v>0.19408916658527711</v>
      </c>
      <c r="X1118">
        <v>2.7719901770531415E-2</v>
      </c>
      <c r="Y1118">
        <v>1.0059639582893982E-2</v>
      </c>
    </row>
    <row r="1119" spans="1:25" x14ac:dyDescent="0.25">
      <c r="A1119" s="1093"/>
      <c r="B1119" s="1452">
        <v>869</v>
      </c>
      <c r="C1119" s="1097">
        <v>0.9923929652987914</v>
      </c>
      <c r="D1119" s="1097">
        <v>1.0274396254677907</v>
      </c>
      <c r="E1119" s="1097">
        <v>0.99102065619202329</v>
      </c>
      <c r="F1119" s="1097">
        <v>0.9985829372877385</v>
      </c>
      <c r="G1119" s="1097">
        <v>1.0216258715688407</v>
      </c>
      <c r="H1119" s="1097">
        <v>0.98678928514959419</v>
      </c>
      <c r="I1119" s="1097">
        <v>0.98735340307533148</v>
      </c>
      <c r="K1119">
        <v>5.1504323537064938</v>
      </c>
      <c r="L1119">
        <v>0</v>
      </c>
      <c r="M1119">
        <v>3.6197870617213131E-3</v>
      </c>
      <c r="N1119">
        <v>0.30577560997739389</v>
      </c>
      <c r="O1119">
        <v>0.14795726936480699</v>
      </c>
      <c r="P1119">
        <v>2.0133425496780728E-2</v>
      </c>
      <c r="Q1119">
        <v>1.2894416356838527E-3</v>
      </c>
      <c r="R1119">
        <v>3.613691553517805E-3</v>
      </c>
      <c r="S1119">
        <v>0.45468258679746765</v>
      </c>
      <c r="T1119">
        <v>3.9907973332735343</v>
      </c>
      <c r="U1119">
        <v>0</v>
      </c>
      <c r="V1119">
        <v>1.1304767209823817E-2</v>
      </c>
      <c r="W1119">
        <v>0.1832498653322161</v>
      </c>
      <c r="X1119">
        <v>2.5035581904445887E-2</v>
      </c>
      <c r="Y1119">
        <v>1.0212568222540018E-2</v>
      </c>
    </row>
    <row r="1120" spans="1:25" x14ac:dyDescent="0.25">
      <c r="A1120" s="1093"/>
      <c r="B1120" s="1452">
        <v>870</v>
      </c>
      <c r="C1120" s="1097">
        <v>0.99123946718800093</v>
      </c>
      <c r="D1120" s="1097">
        <v>0.99956229532249541</v>
      </c>
      <c r="E1120" s="1097">
        <v>1.0282192005035329</v>
      </c>
      <c r="F1120" s="1097">
        <v>1.001721434804981</v>
      </c>
      <c r="G1120" s="1097">
        <v>1.034760390889035</v>
      </c>
      <c r="H1120" s="1097">
        <v>0.98213671674759784</v>
      </c>
      <c r="I1120" s="1097">
        <v>1.0147862971614396</v>
      </c>
      <c r="K1120">
        <v>5.194581498471055</v>
      </c>
      <c r="L1120">
        <v>0</v>
      </c>
      <c r="M1120">
        <v>3.3822309301685086E-3</v>
      </c>
      <c r="N1120">
        <v>0.31897370385281704</v>
      </c>
      <c r="O1120">
        <v>0.14919236880101094</v>
      </c>
      <c r="P1120">
        <v>2.0805786170622731E-2</v>
      </c>
      <c r="Q1120">
        <v>1.3472457139074986E-3</v>
      </c>
      <c r="R1120">
        <v>3.3765263712952505E-3</v>
      </c>
      <c r="S1120">
        <v>0.47070199775835814</v>
      </c>
      <c r="T1120">
        <v>3.9986830278188781</v>
      </c>
      <c r="U1120">
        <v>0</v>
      </c>
      <c r="V1120">
        <v>1.130476720982382E-2</v>
      </c>
      <c r="W1120">
        <v>0.18644357983306853</v>
      </c>
      <c r="X1120">
        <v>2.7592404560561608E-2</v>
      </c>
      <c r="Y1120">
        <v>9.5423213108739753E-3</v>
      </c>
    </row>
    <row r="1121" spans="1:25" x14ac:dyDescent="0.25">
      <c r="A1121" s="1093"/>
      <c r="B1121" s="1452">
        <v>871</v>
      </c>
      <c r="C1121" s="1097">
        <v>0.97943905838916967</v>
      </c>
      <c r="D1121" s="1097">
        <v>1.0270713615114022</v>
      </c>
      <c r="E1121" s="1097">
        <v>1.0327999852424905</v>
      </c>
      <c r="F1121" s="1097">
        <v>0.98958013847008763</v>
      </c>
      <c r="G1121" s="1097">
        <v>0.98373508819111832</v>
      </c>
      <c r="H1121" s="1097">
        <v>1.0216638658451305</v>
      </c>
      <c r="I1121" s="1097">
        <v>0.96383407141987754</v>
      </c>
      <c r="K1121">
        <v>5.1413838757923163</v>
      </c>
      <c r="L1121">
        <v>0</v>
      </c>
      <c r="M1121">
        <v>3.446101689229797E-3</v>
      </c>
      <c r="N1121">
        <v>0.32944332761423223</v>
      </c>
      <c r="O1121">
        <v>0.14742123724146797</v>
      </c>
      <c r="P1121">
        <v>2.0562513785115307E-2</v>
      </c>
      <c r="Q1121">
        <v>1.3539542252979239E-3</v>
      </c>
      <c r="R1121">
        <v>3.4404458379331108E-3</v>
      </c>
      <c r="S1121">
        <v>0.45264564219894554</v>
      </c>
      <c r="T1121">
        <v>3.949656330162119</v>
      </c>
      <c r="U1121">
        <v>0</v>
      </c>
      <c r="V1121">
        <v>1.1304767209823825E-2</v>
      </c>
      <c r="W1121">
        <v>0.19198005878297783</v>
      </c>
      <c r="X1121">
        <v>2.7298737820017977E-2</v>
      </c>
      <c r="Y1121">
        <v>9.7229626036129876E-3</v>
      </c>
    </row>
    <row r="1122" spans="1:25" x14ac:dyDescent="0.25">
      <c r="A1122" s="1093"/>
      <c r="B1122" s="1452">
        <v>872</v>
      </c>
      <c r="C1122" s="1097">
        <v>1.0218523946125357</v>
      </c>
      <c r="D1122" s="1097">
        <v>0.96577596391799492</v>
      </c>
      <c r="E1122" s="1097">
        <v>1.0139027381694212</v>
      </c>
      <c r="F1122" s="1097">
        <v>1.0327350692210322</v>
      </c>
      <c r="G1122" s="1097">
        <v>1.0077385612813616</v>
      </c>
      <c r="H1122" s="1097">
        <v>1.0050931970705941</v>
      </c>
      <c r="I1122" s="1097">
        <v>1.0178869968783897</v>
      </c>
      <c r="K1122">
        <v>5.3445295091822773</v>
      </c>
      <c r="L1122">
        <v>0</v>
      </c>
      <c r="M1122">
        <v>3.6170759762824797E-3</v>
      </c>
      <c r="N1122">
        <v>0.32700455413014023</v>
      </c>
      <c r="O1122">
        <v>0.1516783444124585</v>
      </c>
      <c r="P1122">
        <v>2.1197512916356499E-2</v>
      </c>
      <c r="Q1122">
        <v>1.309039457975877E-3</v>
      </c>
      <c r="R1122">
        <v>3.6112933955942863E-3</v>
      </c>
      <c r="S1122">
        <v>0.47750193675171348</v>
      </c>
      <c r="T1122">
        <v>4.124321469447791</v>
      </c>
      <c r="U1122">
        <v>0</v>
      </c>
      <c r="V1122">
        <v>1.1304767209823808E-2</v>
      </c>
      <c r="W1122">
        <v>0.19296973288369834</v>
      </c>
      <c r="X1122">
        <v>2.7042143707850887E-2</v>
      </c>
      <c r="Y1122">
        <v>1.0205790845157455E-2</v>
      </c>
    </row>
    <row r="1123" spans="1:25" x14ac:dyDescent="0.25">
      <c r="A1123" s="1093"/>
      <c r="B1123" s="1452">
        <v>873</v>
      </c>
      <c r="C1123" s="1097">
        <v>0.98454279952791535</v>
      </c>
      <c r="D1123" s="1097">
        <v>1.0194257093253638</v>
      </c>
      <c r="E1123" s="1097">
        <v>0.98857382668736549</v>
      </c>
      <c r="F1123" s="1097">
        <v>0.99209562423075182</v>
      </c>
      <c r="G1123" s="1097">
        <v>0.96796327396322646</v>
      </c>
      <c r="H1123" s="1097">
        <v>1.0023069734326111</v>
      </c>
      <c r="I1123" s="1097">
        <v>0.98604556465178694</v>
      </c>
      <c r="K1123">
        <v>5.1387874959033715</v>
      </c>
      <c r="L1123">
        <v>0</v>
      </c>
      <c r="M1123">
        <v>3.712591199950056E-3</v>
      </c>
      <c r="N1123">
        <v>0.3113526913618378</v>
      </c>
      <c r="O1123">
        <v>0.1487010282294868</v>
      </c>
      <c r="P1123">
        <v>1.9999263242699537E-2</v>
      </c>
      <c r="Q1123">
        <v>1.3010512378068113E-3</v>
      </c>
      <c r="R1123">
        <v>3.7063960248066717E-3</v>
      </c>
      <c r="S1123">
        <v>0.4587604429871206</v>
      </c>
      <c r="T1123">
        <v>3.9651772812564028</v>
      </c>
      <c r="U1123">
        <v>0</v>
      </c>
      <c r="V1123">
        <v>1.1304767209823822E-2</v>
      </c>
      <c r="W1123">
        <v>0.18690316553310446</v>
      </c>
      <c r="X1123">
        <v>2.4819441884176025E-2</v>
      </c>
      <c r="Y1123">
        <v>1.0474558136053918E-2</v>
      </c>
    </row>
    <row r="1124" spans="1:25" x14ac:dyDescent="0.25">
      <c r="A1124" s="1093"/>
      <c r="B1124" s="1452">
        <v>874</v>
      </c>
      <c r="C1124" s="1097">
        <v>1.0169740063514892</v>
      </c>
      <c r="D1124" s="1097">
        <v>1.0144225841851158</v>
      </c>
      <c r="E1124" s="1097">
        <v>1.0299362387294082</v>
      </c>
      <c r="F1124" s="1097">
        <v>1.0203418812814964</v>
      </c>
      <c r="G1124" s="1097">
        <v>0.99222464216884065</v>
      </c>
      <c r="H1124" s="1097">
        <v>0.98354926302610035</v>
      </c>
      <c r="I1124" s="1097">
        <v>0.98245701392628759</v>
      </c>
      <c r="K1124">
        <v>5.2407071128920046</v>
      </c>
      <c r="L1124">
        <v>0</v>
      </c>
      <c r="M1124">
        <v>3.3307407690753963E-3</v>
      </c>
      <c r="N1124">
        <v>0.31572690579456708</v>
      </c>
      <c r="O1124">
        <v>0.14720066994744505</v>
      </c>
      <c r="P1124">
        <v>2.1080344179545164E-2</v>
      </c>
      <c r="Q1124">
        <v>1.3073122557093651E-3</v>
      </c>
      <c r="R1124">
        <v>3.325233328052065E-3</v>
      </c>
      <c r="S1124">
        <v>0.45006600012058262</v>
      </c>
      <c r="T1124">
        <v>4.0727953954216032</v>
      </c>
      <c r="U1124">
        <v>0</v>
      </c>
      <c r="V1124">
        <v>1.1304767209823808E-2</v>
      </c>
      <c r="W1124">
        <v>0.18433591380474451</v>
      </c>
      <c r="X1124">
        <v>2.7497948344379814E-2</v>
      </c>
      <c r="Y1124">
        <v>9.3973632546301353E-3</v>
      </c>
    </row>
    <row r="1125" spans="1:25" x14ac:dyDescent="0.25">
      <c r="A1125" s="1093"/>
      <c r="B1125" s="1452">
        <v>875</v>
      </c>
      <c r="C1125" s="1097">
        <v>0.99908923823603013</v>
      </c>
      <c r="D1125" s="1097">
        <v>0.9832047101177861</v>
      </c>
      <c r="E1125" s="1097">
        <v>0.96226903056282154</v>
      </c>
      <c r="F1125" s="1097">
        <v>1.0231524421995948</v>
      </c>
      <c r="G1125" s="1097">
        <v>1.0449621323774294</v>
      </c>
      <c r="H1125" s="1097">
        <v>1.0114324339407605</v>
      </c>
      <c r="I1125" s="1097">
        <v>1.0046129499647602</v>
      </c>
      <c r="K1125">
        <v>5.3030346008508751</v>
      </c>
      <c r="L1125">
        <v>0</v>
      </c>
      <c r="M1125">
        <v>4.0818599324303232E-3</v>
      </c>
      <c r="N1125">
        <v>0.31662938611959179</v>
      </c>
      <c r="O1125">
        <v>0.15408038844053829</v>
      </c>
      <c r="P1125">
        <v>2.0250014452644901E-2</v>
      </c>
      <c r="Q1125">
        <v>1.2713459967581137E-3</v>
      </c>
      <c r="R1125">
        <v>4.0753145704496571E-3</v>
      </c>
      <c r="S1125">
        <v>0.47779460801631124</v>
      </c>
      <c r="T1125">
        <v>4.0927222139569919</v>
      </c>
      <c r="U1125">
        <v>0</v>
      </c>
      <c r="V1125">
        <v>1.1304767209823808E-2</v>
      </c>
      <c r="W1125">
        <v>0.19353826712341421</v>
      </c>
      <c r="X1125">
        <v>2.393300478514691E-2</v>
      </c>
      <c r="Y1125">
        <v>1.1517150111639552E-2</v>
      </c>
    </row>
    <row r="1126" spans="1:25" x14ac:dyDescent="0.25">
      <c r="A1126" s="1093"/>
      <c r="B1126" s="1452">
        <v>876</v>
      </c>
      <c r="C1126" s="1097">
        <v>0.99434703440758188</v>
      </c>
      <c r="D1126" s="1097">
        <v>0.97587218556539868</v>
      </c>
      <c r="E1126" s="1097">
        <v>1.0096360012593613</v>
      </c>
      <c r="F1126" s="1097">
        <v>1.0354679496012713</v>
      </c>
      <c r="G1126" s="1097">
        <v>0.97700838738118567</v>
      </c>
      <c r="H1126" s="1097">
        <v>1.020764384978712</v>
      </c>
      <c r="I1126" s="1097">
        <v>0.99197481663457832</v>
      </c>
      <c r="K1126">
        <v>5.3851591216357937</v>
      </c>
      <c r="L1126">
        <v>0</v>
      </c>
      <c r="M1126">
        <v>3.8034319704290435E-3</v>
      </c>
      <c r="N1126">
        <v>0.33954602830201663</v>
      </c>
      <c r="O1126">
        <v>0.15576263966885109</v>
      </c>
      <c r="P1126">
        <v>2.1201079043876709E-2</v>
      </c>
      <c r="Q1126">
        <v>1.3348118125935009E-3</v>
      </c>
      <c r="R1126">
        <v>3.7974605911962069E-3</v>
      </c>
      <c r="S1126">
        <v>0.4813587965098991</v>
      </c>
      <c r="T1126">
        <v>4.1357871009934168</v>
      </c>
      <c r="U1126">
        <v>0</v>
      </c>
      <c r="V1126">
        <v>1.1304767209823827E-2</v>
      </c>
      <c r="W1126">
        <v>0.20094467955181272</v>
      </c>
      <c r="X1126">
        <v>2.7193276369610379E-2</v>
      </c>
      <c r="Y1126">
        <v>1.0731913553121494E-2</v>
      </c>
    </row>
    <row r="1127" spans="1:25" x14ac:dyDescent="0.25">
      <c r="A1127" s="1093"/>
      <c r="B1127" s="1452">
        <v>877</v>
      </c>
      <c r="C1127" s="1097">
        <v>0.99579747229570847</v>
      </c>
      <c r="D1127" s="1097">
        <v>1.0009138948603344</v>
      </c>
      <c r="E1127" s="1097">
        <v>1.0086648286239674</v>
      </c>
      <c r="F1127" s="1097">
        <v>1.0336549893505813</v>
      </c>
      <c r="G1127" s="1097">
        <v>1.0068528679792383</v>
      </c>
      <c r="H1127" s="1097">
        <v>1.0135043121278793</v>
      </c>
      <c r="I1127" s="1097">
        <v>0.97977878487047876</v>
      </c>
      <c r="K1127">
        <v>5.3530728468491322</v>
      </c>
      <c r="L1127">
        <v>0</v>
      </c>
      <c r="M1127">
        <v>3.7339701443014732E-3</v>
      </c>
      <c r="N1127">
        <v>0.33238306625389596</v>
      </c>
      <c r="O1127">
        <v>0.15372586949282044</v>
      </c>
      <c r="P1127">
        <v>2.1102687655655341E-2</v>
      </c>
      <c r="Q1127">
        <v>1.3183360126795835E-3</v>
      </c>
      <c r="R1127">
        <v>3.7280554870222056E-3</v>
      </c>
      <c r="S1127">
        <v>0.47030731616085059</v>
      </c>
      <c r="T1127">
        <v>4.128671407461721</v>
      </c>
      <c r="U1127">
        <v>0</v>
      </c>
      <c r="V1127">
        <v>1.1304767209823806E-2</v>
      </c>
      <c r="W1127">
        <v>0.19683396966435657</v>
      </c>
      <c r="X1127">
        <v>2.6895572164716317E-2</v>
      </c>
      <c r="Y1127">
        <v>1.0535769429896735E-2</v>
      </c>
    </row>
    <row r="1128" spans="1:25" x14ac:dyDescent="0.25">
      <c r="A1128" s="1093"/>
      <c r="B1128" s="1452">
        <v>878</v>
      </c>
      <c r="C1128" s="1097">
        <v>0.99780994518382304</v>
      </c>
      <c r="D1128" s="1097">
        <v>1.0082315219777731</v>
      </c>
      <c r="E1128" s="1097">
        <v>1.0072464315929999</v>
      </c>
      <c r="F1128" s="1097">
        <v>1.0118542991104984</v>
      </c>
      <c r="G1128" s="1097">
        <v>1.0283262546482075</v>
      </c>
      <c r="H1128" s="1097">
        <v>0.99114071756478761</v>
      </c>
      <c r="I1128" s="1097">
        <v>0.97711125801006204</v>
      </c>
      <c r="K1128">
        <v>5.2198035164107965</v>
      </c>
      <c r="L1128">
        <v>0</v>
      </c>
      <c r="M1128">
        <v>3.567751298178734E-3</v>
      </c>
      <c r="N1128">
        <v>0.31623344737635867</v>
      </c>
      <c r="O1128">
        <v>0.14978310885662313</v>
      </c>
      <c r="P1128">
        <v>2.0613027705349035E-2</v>
      </c>
      <c r="Q1128">
        <v>1.3102634204003726E-3</v>
      </c>
      <c r="R1128">
        <v>3.56184811578755E-3</v>
      </c>
      <c r="S1128">
        <v>0.45496220341679094</v>
      </c>
      <c r="T1128">
        <v>4.0417736264927067</v>
      </c>
      <c r="U1128">
        <v>0</v>
      </c>
      <c r="V1128">
        <v>1.1304767209823803E-2</v>
      </c>
      <c r="W1128">
        <v>0.18744897266710192</v>
      </c>
      <c r="X1128">
        <v>2.6313947738581766E-2</v>
      </c>
      <c r="Y1128">
        <v>1.0066054709455086E-2</v>
      </c>
    </row>
    <row r="1129" spans="1:25" x14ac:dyDescent="0.25">
      <c r="A1129" s="1093"/>
      <c r="B1129" s="1452">
        <v>879</v>
      </c>
      <c r="C1129" s="1097">
        <v>1.034393877145567</v>
      </c>
      <c r="D1129" s="1097">
        <v>1.0296695975624295</v>
      </c>
      <c r="E1129" s="1097">
        <v>0.98229857765877793</v>
      </c>
      <c r="F1129" s="1097">
        <v>0.99770876645311912</v>
      </c>
      <c r="G1129" s="1097">
        <v>0.99235065323983274</v>
      </c>
      <c r="H1129" s="1097">
        <v>1.0155588587901114</v>
      </c>
      <c r="I1129" s="1097">
        <v>0.99626849549083651</v>
      </c>
      <c r="K1129">
        <v>5.1208527978839085</v>
      </c>
      <c r="L1129">
        <v>0</v>
      </c>
      <c r="M1129">
        <v>3.6338385755390794E-3</v>
      </c>
      <c r="N1129">
        <v>0.2991375405779288</v>
      </c>
      <c r="O1129">
        <v>0.14193372448670055</v>
      </c>
      <c r="P1129">
        <v>1.9946114819664056E-2</v>
      </c>
      <c r="Q1129">
        <v>1.2267291468475248E-3</v>
      </c>
      <c r="R1129">
        <v>3.627887553284232E-3</v>
      </c>
      <c r="S1129">
        <v>0.44477251265379458</v>
      </c>
      <c r="T1129">
        <v>3.9884031586189792</v>
      </c>
      <c r="U1129">
        <v>0</v>
      </c>
      <c r="V1129">
        <v>1.1304767209823822E-2</v>
      </c>
      <c r="W1129">
        <v>0.1803413196107323</v>
      </c>
      <c r="X1129">
        <v>2.3540194579998782E-2</v>
      </c>
      <c r="Y1129">
        <v>1.0252687201693251E-2</v>
      </c>
    </row>
    <row r="1130" spans="1:25" x14ac:dyDescent="0.25">
      <c r="A1130" s="1093"/>
      <c r="B1130" s="1452">
        <v>880</v>
      </c>
      <c r="C1130" s="1097">
        <v>1.0017476128020539</v>
      </c>
      <c r="D1130" s="1097">
        <v>0.99606874675963208</v>
      </c>
      <c r="E1130" s="1097">
        <v>1.001998437081818</v>
      </c>
      <c r="F1130" s="1097">
        <v>1.0198822492053179</v>
      </c>
      <c r="G1130" s="1097">
        <v>0.9991848677506272</v>
      </c>
      <c r="H1130" s="1097">
        <v>1.0188204775994314</v>
      </c>
      <c r="I1130" s="1097">
        <v>0.98965513219810686</v>
      </c>
      <c r="K1130">
        <v>5.2847757316070014</v>
      </c>
      <c r="L1130">
        <v>0</v>
      </c>
      <c r="M1130">
        <v>3.7409721093389862E-3</v>
      </c>
      <c r="N1130">
        <v>0.32649155868364688</v>
      </c>
      <c r="O1130">
        <v>0.15125882271549299</v>
      </c>
      <c r="P1130">
        <v>2.0743054711977613E-2</v>
      </c>
      <c r="Q1130">
        <v>1.3055963318896553E-3</v>
      </c>
      <c r="R1130">
        <v>3.7349978054958704E-3</v>
      </c>
      <c r="S1130">
        <v>0.46837006517239194</v>
      </c>
      <c r="T1130">
        <v>4.0745111908685105</v>
      </c>
      <c r="U1130">
        <v>0</v>
      </c>
      <c r="V1130">
        <v>1.1304767209823804E-2</v>
      </c>
      <c r="W1130">
        <v>0.19421502945846239</v>
      </c>
      <c r="X1130">
        <v>2.6026231806727505E-2</v>
      </c>
      <c r="Y1130">
        <v>1.055538895192425E-2</v>
      </c>
    </row>
    <row r="1131" spans="1:25" x14ac:dyDescent="0.25">
      <c r="A1131" s="1093"/>
      <c r="B1131" s="1452">
        <v>881</v>
      </c>
      <c r="C1131" s="1097">
        <v>1.0192293066027931</v>
      </c>
      <c r="D1131" s="1097">
        <v>1.0123749719570823</v>
      </c>
      <c r="E1131" s="1097">
        <v>1.0462912994385005</v>
      </c>
      <c r="F1131" s="1097">
        <v>0.97113070315255501</v>
      </c>
      <c r="G1131" s="1097">
        <v>1.0287117800442072</v>
      </c>
      <c r="H1131" s="1097">
        <v>1.0069730113601101</v>
      </c>
      <c r="I1131" s="1097">
        <v>1.012588999163798</v>
      </c>
      <c r="K1131">
        <v>5.0225660115665747</v>
      </c>
      <c r="L1131">
        <v>0</v>
      </c>
      <c r="M1131">
        <v>3.1309418133944997E-3</v>
      </c>
      <c r="N1131">
        <v>0.31146795200795924</v>
      </c>
      <c r="O1131">
        <v>0.1394724433149189</v>
      </c>
      <c r="P1131">
        <v>2.0389541660312954E-2</v>
      </c>
      <c r="Q1131">
        <v>1.3234588460244261E-3</v>
      </c>
      <c r="R1131">
        <v>3.1256293672070113E-3</v>
      </c>
      <c r="S1131">
        <v>0.4484632311593349</v>
      </c>
      <c r="T1131">
        <v>3.8744059280435059</v>
      </c>
      <c r="U1131">
        <v>0</v>
      </c>
      <c r="V1131">
        <v>1.1304767209823808E-2</v>
      </c>
      <c r="W1131">
        <v>0.17990076020872636</v>
      </c>
      <c r="X1131">
        <v>2.7009974339914793E-2</v>
      </c>
      <c r="Y1131">
        <v>8.8332672222405009E-3</v>
      </c>
    </row>
    <row r="1132" spans="1:25" x14ac:dyDescent="0.25">
      <c r="A1132" s="1093"/>
      <c r="B1132" s="1452">
        <v>882</v>
      </c>
      <c r="C1132" s="1097">
        <v>1.0288119869863157</v>
      </c>
      <c r="D1132" s="1097">
        <v>0.99914530370596877</v>
      </c>
      <c r="E1132" s="1097">
        <v>1.0095494855628291</v>
      </c>
      <c r="F1132" s="1097">
        <v>1.0009814379157056</v>
      </c>
      <c r="G1132" s="1097">
        <v>0.98166587998439592</v>
      </c>
      <c r="H1132" s="1097">
        <v>1.0145965298815522</v>
      </c>
      <c r="I1132" s="1097">
        <v>1.0365878312950403</v>
      </c>
      <c r="K1132">
        <v>5.1770537353521906</v>
      </c>
      <c r="L1132">
        <v>0</v>
      </c>
      <c r="M1132">
        <v>3.4998044901132278E-3</v>
      </c>
      <c r="N1132">
        <v>0.31234010540270785</v>
      </c>
      <c r="O1132">
        <v>0.14416751273132231</v>
      </c>
      <c r="P1132">
        <v>2.0512914827514113E-2</v>
      </c>
      <c r="Q1132">
        <v>1.2778966102854877E-3</v>
      </c>
      <c r="R1132">
        <v>3.4940862606431256E-3</v>
      </c>
      <c r="S1132">
        <v>0.46914201837402308</v>
      </c>
      <c r="T1132">
        <v>3.9980545304046733</v>
      </c>
      <c r="U1132">
        <v>0</v>
      </c>
      <c r="V1132">
        <v>1.1304767209823822E-2</v>
      </c>
      <c r="W1132">
        <v>0.18485484581055667</v>
      </c>
      <c r="X1132">
        <v>2.553030767730953E-2</v>
      </c>
      <c r="Y1132">
        <v>9.8745545334440379E-3</v>
      </c>
    </row>
    <row r="1133" spans="1:25" x14ac:dyDescent="0.25">
      <c r="A1133" s="1093"/>
      <c r="B1133" s="1452">
        <v>883</v>
      </c>
      <c r="C1133" s="1097">
        <v>0.98916285616204358</v>
      </c>
      <c r="D1133" s="1097">
        <v>1.0006672958237486</v>
      </c>
      <c r="E1133" s="1097">
        <v>1.0171600653600044</v>
      </c>
      <c r="F1133" s="1097">
        <v>1.0043615066980538</v>
      </c>
      <c r="G1133" s="1097">
        <v>1.0210748971264125</v>
      </c>
      <c r="H1133" s="1097">
        <v>1.0254078792460226</v>
      </c>
      <c r="I1133" s="1097">
        <v>0.96005723434650492</v>
      </c>
      <c r="K1133">
        <v>5.2124885637472351</v>
      </c>
      <c r="L1133">
        <v>0</v>
      </c>
      <c r="M1133">
        <v>3.6302590478998211E-3</v>
      </c>
      <c r="N1133">
        <v>0.33137141761847955</v>
      </c>
      <c r="O1133">
        <v>0.1501459309342163</v>
      </c>
      <c r="P1133">
        <v>2.0621071937355299E-2</v>
      </c>
      <c r="Q1133">
        <v>1.3369287563122637E-3</v>
      </c>
      <c r="R1133">
        <v>3.6244099280303144E-3</v>
      </c>
      <c r="S1133">
        <v>0.45504021355953911</v>
      </c>
      <c r="T1133">
        <v>4.0106013230986024</v>
      </c>
      <c r="U1133">
        <v>0</v>
      </c>
      <c r="V1133">
        <v>1.1304767209823817E-2</v>
      </c>
      <c r="W1133">
        <v>0.19512114035648118</v>
      </c>
      <c r="X1133">
        <v>2.6708760229073491E-2</v>
      </c>
      <c r="Y1133">
        <v>1.0242859167221553E-2</v>
      </c>
    </row>
    <row r="1134" spans="1:25" x14ac:dyDescent="0.25">
      <c r="A1134" s="1093"/>
      <c r="B1134" s="1452">
        <v>884</v>
      </c>
      <c r="C1134" s="1097">
        <v>0.96480013710103585</v>
      </c>
      <c r="D1134" s="1097">
        <v>0.9941731369883251</v>
      </c>
      <c r="E1134" s="1097">
        <v>0.97066660266971883</v>
      </c>
      <c r="F1134" s="1097">
        <v>1.0306223463273154</v>
      </c>
      <c r="G1134" s="1097">
        <v>0.96887638217073058</v>
      </c>
      <c r="H1134" s="1097">
        <v>0.96752772441835388</v>
      </c>
      <c r="I1134" s="1097">
        <v>0.99996704329024899</v>
      </c>
      <c r="K1134">
        <v>5.3462443569047267</v>
      </c>
      <c r="L1134">
        <v>0</v>
      </c>
      <c r="M1134">
        <v>3.9841786018984301E-3</v>
      </c>
      <c r="N1134">
        <v>0.31683885396192846</v>
      </c>
      <c r="O1134">
        <v>0.15975966024889388</v>
      </c>
      <c r="P1134">
        <v>2.0543984086346802E-2</v>
      </c>
      <c r="Q1134">
        <v>1.3203732115984587E-3</v>
      </c>
      <c r="R1134">
        <v>3.9775482935899345E-3</v>
      </c>
      <c r="S1134">
        <v>0.48562358513528137</v>
      </c>
      <c r="T1134">
        <v>4.1214989854607591</v>
      </c>
      <c r="U1134">
        <v>0</v>
      </c>
      <c r="V1134">
        <v>1.1304767209823818E-2</v>
      </c>
      <c r="W1134">
        <v>0.19254496555473533</v>
      </c>
      <c r="X1134">
        <v>2.557495719453123E-2</v>
      </c>
      <c r="Y1134">
        <v>1.1240855149131831E-2</v>
      </c>
    </row>
    <row r="1135" spans="1:25" x14ac:dyDescent="0.25">
      <c r="A1135" s="1093"/>
      <c r="B1135" s="1452">
        <v>885</v>
      </c>
      <c r="C1135" s="1097">
        <v>1.0146965402347035</v>
      </c>
      <c r="D1135" s="1097">
        <v>1.0068617803927031</v>
      </c>
      <c r="E1135" s="1097">
        <v>1.0201049147650394</v>
      </c>
      <c r="F1135" s="1097">
        <v>0.98526125079490134</v>
      </c>
      <c r="G1135" s="1097">
        <v>0.97066956072547406</v>
      </c>
      <c r="H1135" s="1097">
        <v>1.0207665119666924</v>
      </c>
      <c r="I1135" s="1097">
        <v>0.98972795271996372</v>
      </c>
      <c r="K1135">
        <v>5.0950144067289731</v>
      </c>
      <c r="L1135">
        <v>0</v>
      </c>
      <c r="M1135">
        <v>3.4261090230092925E-3</v>
      </c>
      <c r="N1135">
        <v>0.31546123532096554</v>
      </c>
      <c r="O1135">
        <v>0.14315076421426792</v>
      </c>
      <c r="P1135">
        <v>2.0282217449902298E-2</v>
      </c>
      <c r="Q1135">
        <v>1.303319866298139E-3</v>
      </c>
      <c r="R1135">
        <v>3.4204564124251926E-3</v>
      </c>
      <c r="S1135">
        <v>0.44860556129816964</v>
      </c>
      <c r="T1135">
        <v>3.9339693842266206</v>
      </c>
      <c r="U1135">
        <v>0</v>
      </c>
      <c r="V1135">
        <v>1.130476720982382E-2</v>
      </c>
      <c r="W1135">
        <v>0.18538804142971638</v>
      </c>
      <c r="X1135">
        <v>2.5888297362781847E-2</v>
      </c>
      <c r="Y1135">
        <v>9.6664709610071713E-3</v>
      </c>
    </row>
    <row r="1136" spans="1:25" x14ac:dyDescent="0.25">
      <c r="A1136" s="1093"/>
      <c r="B1136" s="1452">
        <v>886</v>
      </c>
      <c r="C1136" s="1097">
        <v>0.97918959707374154</v>
      </c>
      <c r="D1136" s="1097">
        <v>0.99490450753132642</v>
      </c>
      <c r="E1136" s="1097">
        <v>1.008164585083656</v>
      </c>
      <c r="F1136" s="1097">
        <v>0.98939572213405469</v>
      </c>
      <c r="G1136" s="1097">
        <v>1.0033702486287959</v>
      </c>
      <c r="H1136" s="1097">
        <v>0.99530333857575715</v>
      </c>
      <c r="I1136" s="1097">
        <v>1.0070251997419442</v>
      </c>
      <c r="K1136">
        <v>5.1491421811617561</v>
      </c>
      <c r="L1136">
        <v>0</v>
      </c>
      <c r="M1136">
        <v>3.5820758788181594E-3</v>
      </c>
      <c r="N1136">
        <v>0.31835786444655362</v>
      </c>
      <c r="O1136">
        <v>0.15001426539179463</v>
      </c>
      <c r="P1136">
        <v>2.0289130109101976E-2</v>
      </c>
      <c r="Q1136">
        <v>1.3433564757805354E-3</v>
      </c>
      <c r="R1136">
        <v>3.5760400341615273E-3</v>
      </c>
      <c r="S1136">
        <v>0.47092554422816263</v>
      </c>
      <c r="T1136">
        <v>3.9519509396702821</v>
      </c>
      <c r="U1136">
        <v>0</v>
      </c>
      <c r="V1136">
        <v>1.1304767209823808E-2</v>
      </c>
      <c r="W1136">
        <v>0.18859177355519269</v>
      </c>
      <c r="X1136">
        <v>2.6264413765437269E-2</v>
      </c>
      <c r="Y1136">
        <v>1.0106162154281657E-2</v>
      </c>
    </row>
    <row r="1137" spans="1:25" x14ac:dyDescent="0.25">
      <c r="A1137" s="1093"/>
      <c r="B1137" s="1452">
        <v>887</v>
      </c>
      <c r="C1137" s="1097">
        <v>0.99466809984059479</v>
      </c>
      <c r="D1137" s="1097">
        <v>0.98912551336751009</v>
      </c>
      <c r="E1137" s="1097">
        <v>0.9696170044686826</v>
      </c>
      <c r="F1137" s="1097">
        <v>0.9836863306835556</v>
      </c>
      <c r="G1137" s="1097">
        <v>1.0094419088944337</v>
      </c>
      <c r="H1137" s="1097">
        <v>0.99529603045029791</v>
      </c>
      <c r="I1137" s="1097">
        <v>0.99073913221757626</v>
      </c>
      <c r="K1137">
        <v>5.0889158951743827</v>
      </c>
      <c r="L1137">
        <v>0</v>
      </c>
      <c r="M1137">
        <v>3.8108069361065186E-3</v>
      </c>
      <c r="N1137">
        <v>0.30209924667704929</v>
      </c>
      <c r="O1137">
        <v>0.14823562200461168</v>
      </c>
      <c r="P1137">
        <v>1.9555111234481764E-2</v>
      </c>
      <c r="Q1137">
        <v>1.2821591582629892E-3</v>
      </c>
      <c r="R1137">
        <v>3.804348422588331E-3</v>
      </c>
      <c r="S1137">
        <v>0.45442455242183716</v>
      </c>
      <c r="T1137">
        <v>3.9339314688037974</v>
      </c>
      <c r="U1137">
        <v>0</v>
      </c>
      <c r="V1137">
        <v>1.130476720982382E-2</v>
      </c>
      <c r="W1137">
        <v>0.18372057336909739</v>
      </c>
      <c r="X1137">
        <v>2.3617473718437646E-2</v>
      </c>
      <c r="Y1137">
        <v>1.075137909049669E-2</v>
      </c>
    </row>
    <row r="1138" spans="1:25" x14ac:dyDescent="0.25">
      <c r="A1138" s="1093"/>
      <c r="B1138" s="1452">
        <v>888</v>
      </c>
      <c r="C1138" s="1097">
        <v>1.0092292010918014</v>
      </c>
      <c r="D1138" s="1097">
        <v>1.0128447270046665</v>
      </c>
      <c r="E1138" s="1097">
        <v>0.96965913072360876</v>
      </c>
      <c r="F1138" s="1097">
        <v>1.0269099286941383</v>
      </c>
      <c r="G1138" s="1097">
        <v>1.0089339664363328</v>
      </c>
      <c r="H1138" s="1097">
        <v>0.95274367124142012</v>
      </c>
      <c r="I1138" s="1097">
        <v>0.99367266135009913</v>
      </c>
      <c r="K1138">
        <v>5.2552598802194295</v>
      </c>
      <c r="L1138">
        <v>0</v>
      </c>
      <c r="M1138">
        <v>3.7172269685472165E-3</v>
      </c>
      <c r="N1138">
        <v>0.29471724047258518</v>
      </c>
      <c r="O1138">
        <v>0.15107641898962038</v>
      </c>
      <c r="P1138">
        <v>2.032884792438731E-2</v>
      </c>
      <c r="Q1138">
        <v>1.251784933738458E-3</v>
      </c>
      <c r="R1138">
        <v>3.7109222453494094E-3</v>
      </c>
      <c r="S1138">
        <v>0.45551113371283763</v>
      </c>
      <c r="T1138">
        <v>4.1067845911845193</v>
      </c>
      <c r="U1138">
        <v>0</v>
      </c>
      <c r="V1138">
        <v>1.1304767209823811E-2</v>
      </c>
      <c r="W1138">
        <v>0.1792260231422125</v>
      </c>
      <c r="X1138">
        <v>2.4578027792033972E-2</v>
      </c>
      <c r="Y1138">
        <v>1.0487349580868287E-2</v>
      </c>
    </row>
    <row r="1139" spans="1:25" x14ac:dyDescent="0.25">
      <c r="A1139" s="1093"/>
      <c r="B1139" s="1452">
        <v>889</v>
      </c>
      <c r="C1139" s="1097">
        <v>1.0200340617857737</v>
      </c>
      <c r="D1139" s="1097">
        <v>1.0123482015796978</v>
      </c>
      <c r="E1139" s="1097">
        <v>0.98632615594611373</v>
      </c>
      <c r="F1139" s="1097">
        <v>0.98848492269671795</v>
      </c>
      <c r="G1139" s="1097">
        <v>0.9943833990684221</v>
      </c>
      <c r="H1139" s="1097">
        <v>0.98530907615374519</v>
      </c>
      <c r="I1139" s="1097">
        <v>0.98979698575992214</v>
      </c>
      <c r="K1139">
        <v>5.0733740836535306</v>
      </c>
      <c r="L1139">
        <v>0</v>
      </c>
      <c r="M1139">
        <v>3.5363065538278294E-3</v>
      </c>
      <c r="N1139">
        <v>0.29458809535269925</v>
      </c>
      <c r="O1139">
        <v>0.14346412065833206</v>
      </c>
      <c r="P1139">
        <v>1.9820331532085324E-2</v>
      </c>
      <c r="Q1139">
        <v>1.256843735175631E-3</v>
      </c>
      <c r="R1139">
        <v>3.5302818533043171E-3</v>
      </c>
      <c r="S1139">
        <v>0.44069053357163113</v>
      </c>
      <c r="T1139">
        <v>3.951026736025069</v>
      </c>
      <c r="U1139">
        <v>0</v>
      </c>
      <c r="V1139">
        <v>1.1304767209823815E-2</v>
      </c>
      <c r="W1139">
        <v>0.17711063156341508</v>
      </c>
      <c r="X1139">
        <v>2.4141202664115343E-2</v>
      </c>
      <c r="Y1139">
        <v>9.9768460417073348E-3</v>
      </c>
    </row>
    <row r="1140" spans="1:25" x14ac:dyDescent="0.25">
      <c r="A1140" s="1093"/>
      <c r="B1140" s="1452">
        <v>890</v>
      </c>
      <c r="C1140" s="1097">
        <v>1.0279976551433117</v>
      </c>
      <c r="D1140" s="1097">
        <v>0.99734539685649137</v>
      </c>
      <c r="E1140" s="1097">
        <v>1.0395336219309641</v>
      </c>
      <c r="F1140" s="1097">
        <v>0.9867594441176416</v>
      </c>
      <c r="G1140" s="1097">
        <v>0.97551239181437854</v>
      </c>
      <c r="H1140" s="1097">
        <v>0.97660766664299126</v>
      </c>
      <c r="I1140" s="1097">
        <v>1.0111765123420711</v>
      </c>
      <c r="K1140">
        <v>5.0750467188161092</v>
      </c>
      <c r="L1140">
        <v>0</v>
      </c>
      <c r="M1140">
        <v>3.1217469019520503E-3</v>
      </c>
      <c r="N1140">
        <v>0.30440860703172051</v>
      </c>
      <c r="O1140">
        <v>0.14153219105284384</v>
      </c>
      <c r="P1140">
        <v>2.0574097505508687E-2</v>
      </c>
      <c r="Q1140">
        <v>1.3126252856037568E-3</v>
      </c>
      <c r="R1140">
        <v>3.1163717210591188E-3</v>
      </c>
      <c r="S1140">
        <v>0.44579145210251153</v>
      </c>
      <c r="T1140">
        <v>3.9375782840630738</v>
      </c>
      <c r="U1140">
        <v>0</v>
      </c>
      <c r="V1140">
        <v>1.1304767209823825E-2</v>
      </c>
      <c r="W1140">
        <v>0.17660521070146595</v>
      </c>
      <c r="X1140">
        <v>2.7137754637010427E-2</v>
      </c>
      <c r="Y1140">
        <v>8.8071044074387057E-3</v>
      </c>
    </row>
    <row r="1141" spans="1:25" x14ac:dyDescent="0.25">
      <c r="A1141" s="1093"/>
      <c r="B1141" s="1452">
        <v>891</v>
      </c>
      <c r="C1141" s="1097">
        <v>0.98514402762281517</v>
      </c>
      <c r="D1141" s="1097">
        <v>1.0236340115503315</v>
      </c>
      <c r="E1141" s="1097">
        <v>1.0131459012860753</v>
      </c>
      <c r="F1141" s="1097">
        <v>0.96475207136137442</v>
      </c>
      <c r="G1141" s="1097">
        <v>1.0010808480462894</v>
      </c>
      <c r="H1141" s="1097">
        <v>0.98530173013922229</v>
      </c>
      <c r="I1141" s="1097">
        <v>1.0301285638709885</v>
      </c>
      <c r="K1141">
        <v>5.0108461890212048</v>
      </c>
      <c r="L1141">
        <v>0</v>
      </c>
      <c r="M1141">
        <v>3.3625694006953317E-3</v>
      </c>
      <c r="N1141">
        <v>0.30327082269740929</v>
      </c>
      <c r="O1141">
        <v>0.1436128533080451</v>
      </c>
      <c r="P1141">
        <v>1.9878863920216098E-2</v>
      </c>
      <c r="Q1141">
        <v>1.3257284086663141E-3</v>
      </c>
      <c r="R1141">
        <v>3.3566999636534109E-3</v>
      </c>
      <c r="S1141">
        <v>0.46434195907205222</v>
      </c>
      <c r="T1141">
        <v>3.8529162709094704</v>
      </c>
      <c r="U1141">
        <v>0</v>
      </c>
      <c r="V1141">
        <v>1.1304767209823808E-2</v>
      </c>
      <c r="W1141">
        <v>0.1790548756667073</v>
      </c>
      <c r="X1141">
        <v>2.5659626896654023E-2</v>
      </c>
      <c r="Y1141">
        <v>9.4862903692035181E-3</v>
      </c>
    </row>
    <row r="1142" spans="1:25" x14ac:dyDescent="0.25">
      <c r="A1142" s="1093"/>
      <c r="B1142" s="1452">
        <v>892</v>
      </c>
      <c r="C1142" s="1097">
        <v>1.04075709517611</v>
      </c>
      <c r="D1142" s="1097">
        <v>0.9864191232589995</v>
      </c>
      <c r="E1142" s="1097">
        <v>1.0280234282861245</v>
      </c>
      <c r="F1142" s="1097">
        <v>1.0160595649725608</v>
      </c>
      <c r="G1142" s="1097">
        <v>0.97506799608658323</v>
      </c>
      <c r="H1142" s="1097">
        <v>0.99267631533645939</v>
      </c>
      <c r="I1142" s="1097">
        <v>1.00138746694859</v>
      </c>
      <c r="K1142">
        <v>5.2176120628437523</v>
      </c>
      <c r="L1142">
        <v>0</v>
      </c>
      <c r="M1142">
        <v>3.3213098589142047E-3</v>
      </c>
      <c r="N1142">
        <v>0.31306004313716163</v>
      </c>
      <c r="O1142">
        <v>0.14489833899305396</v>
      </c>
      <c r="P1142">
        <v>2.0976148963456388E-2</v>
      </c>
      <c r="Q1142">
        <v>1.2897448143058172E-3</v>
      </c>
      <c r="R1142">
        <v>3.3158456104100398E-3</v>
      </c>
      <c r="S1142">
        <v>0.45078196843570667</v>
      </c>
      <c r="T1142">
        <v>4.055942781808489</v>
      </c>
      <c r="U1142">
        <v>0</v>
      </c>
      <c r="V1142">
        <v>1.1304767209823825E-2</v>
      </c>
      <c r="W1142">
        <v>0.18301073907823867</v>
      </c>
      <c r="X1142">
        <v>2.6982161804158376E-2</v>
      </c>
      <c r="Y1142">
        <v>9.3708328478554308E-3</v>
      </c>
    </row>
    <row r="1143" spans="1:25" x14ac:dyDescent="0.25">
      <c r="A1143" s="1093"/>
      <c r="B1143" s="1452">
        <v>893</v>
      </c>
      <c r="C1143" s="1097">
        <v>0.98717738374483144</v>
      </c>
      <c r="D1143" s="1097">
        <v>1.0019981951994454</v>
      </c>
      <c r="E1143" s="1097">
        <v>0.97579435321326313</v>
      </c>
      <c r="F1143" s="1097">
        <v>0.98276648482393225</v>
      </c>
      <c r="G1143" s="1097">
        <v>1.0372336942874862</v>
      </c>
      <c r="H1143" s="1097">
        <v>0.99819823412694197</v>
      </c>
      <c r="I1143" s="1097">
        <v>0.9955943090078031</v>
      </c>
      <c r="K1143">
        <v>5.0935443968418062</v>
      </c>
      <c r="L1143">
        <v>0</v>
      </c>
      <c r="M1143">
        <v>3.7782192674643018E-3</v>
      </c>
      <c r="N1143">
        <v>0.3050608087639316</v>
      </c>
      <c r="O1143">
        <v>0.14828006666271798</v>
      </c>
      <c r="P1143">
        <v>1.9648747102543378E-2</v>
      </c>
      <c r="Q1143">
        <v>1.2921661063779945E-3</v>
      </c>
      <c r="R1143">
        <v>3.7718286345405022E-3</v>
      </c>
      <c r="S1143">
        <v>0.45911903447144364</v>
      </c>
      <c r="T1143">
        <v>3.9294808875259544</v>
      </c>
      <c r="U1143">
        <v>0</v>
      </c>
      <c r="V1143">
        <v>1.1304767209823808E-2</v>
      </c>
      <c r="W1143">
        <v>0.18473421019561112</v>
      </c>
      <c r="X1143">
        <v>2.3970623749623179E-2</v>
      </c>
      <c r="Y1143">
        <v>1.0659475686705158E-2</v>
      </c>
    </row>
    <row r="1144" spans="1:25" x14ac:dyDescent="0.25">
      <c r="A1144" s="1093"/>
      <c r="B1144" s="1452">
        <v>894</v>
      </c>
      <c r="C1144" s="1097">
        <v>0.97229502837043069</v>
      </c>
      <c r="D1144" s="1097">
        <v>1.009405276132803</v>
      </c>
      <c r="E1144" s="1097">
        <v>0.98297185508720941</v>
      </c>
      <c r="F1144" s="1097">
        <v>1.0152591429169537</v>
      </c>
      <c r="G1144" s="1097">
        <v>0.99316566184619826</v>
      </c>
      <c r="H1144" s="1097">
        <v>0.97645591999813386</v>
      </c>
      <c r="I1144" s="1097">
        <v>0.98996745327138413</v>
      </c>
      <c r="K1144">
        <v>5.2573530318802186</v>
      </c>
      <c r="L1144">
        <v>0</v>
      </c>
      <c r="M1144">
        <v>3.80715458285243E-3</v>
      </c>
      <c r="N1144">
        <v>0.31402017064963234</v>
      </c>
      <c r="O1144">
        <v>0.15486200496281863</v>
      </c>
      <c r="P1144">
        <v>2.039069203819871E-2</v>
      </c>
      <c r="Q1144">
        <v>1.3162636067252033E-3</v>
      </c>
      <c r="R1144">
        <v>3.8007819591326804E-3</v>
      </c>
      <c r="S1144">
        <v>0.47144096356162057</v>
      </c>
      <c r="T1144">
        <v>4.0584753646917049</v>
      </c>
      <c r="U1144">
        <v>0</v>
      </c>
      <c r="V1144">
        <v>1.1304767209823834E-2</v>
      </c>
      <c r="W1144">
        <v>0.18922647375063048</v>
      </c>
      <c r="X1144">
        <v>2.5581404040292851E-2</v>
      </c>
      <c r="Y1144">
        <v>1.0741299992484417E-2</v>
      </c>
    </row>
    <row r="1145" spans="1:25" x14ac:dyDescent="0.25">
      <c r="A1145" s="1093"/>
      <c r="B1145" s="1452">
        <v>895</v>
      </c>
      <c r="C1145" s="1097">
        <v>1.0061422045575634</v>
      </c>
      <c r="D1145" s="1097">
        <v>1.0195438028590331</v>
      </c>
      <c r="E1145" s="1097">
        <v>1.0302322377802622</v>
      </c>
      <c r="F1145" s="1097">
        <v>1.028936709529336</v>
      </c>
      <c r="G1145" s="1097">
        <v>1.028999889008843</v>
      </c>
      <c r="H1145" s="1097">
        <v>0.99823436635279217</v>
      </c>
      <c r="I1145" s="1097">
        <v>0.98885829267118985</v>
      </c>
      <c r="K1145">
        <v>5.3080728677967057</v>
      </c>
      <c r="L1145">
        <v>0</v>
      </c>
      <c r="M1145">
        <v>3.4365132352659478E-3</v>
      </c>
      <c r="N1145">
        <v>0.32605083553056796</v>
      </c>
      <c r="O1145">
        <v>0.14972839597788834</v>
      </c>
      <c r="P1145">
        <v>2.1306426915194368E-2</v>
      </c>
      <c r="Q1145">
        <v>1.3190556421094504E-3</v>
      </c>
      <c r="R1145">
        <v>3.4309611823805596E-3</v>
      </c>
      <c r="S1145">
        <v>0.46343733726302283</v>
      </c>
      <c r="T1145">
        <v>4.107064805901028</v>
      </c>
      <c r="U1145">
        <v>0</v>
      </c>
      <c r="V1145">
        <v>1.130476720982381E-2</v>
      </c>
      <c r="W1145">
        <v>0.19032618614994998</v>
      </c>
      <c r="X1145">
        <v>2.7844451017101736E-2</v>
      </c>
      <c r="Y1145">
        <v>9.6961582429022832E-3</v>
      </c>
    </row>
    <row r="1146" spans="1:25" x14ac:dyDescent="0.25">
      <c r="A1146" s="1093"/>
      <c r="B1146" s="1452">
        <v>896</v>
      </c>
      <c r="C1146" s="1097">
        <v>1.0239565379611992</v>
      </c>
      <c r="D1146" s="1097">
        <v>1.0387790243351949</v>
      </c>
      <c r="E1146" s="1097">
        <v>1.0000554523049339</v>
      </c>
      <c r="F1146" s="1097">
        <v>0.99700891231243738</v>
      </c>
      <c r="G1146" s="1097">
        <v>1.0025411793933758</v>
      </c>
      <c r="H1146" s="1097">
        <v>1.0204959483375158</v>
      </c>
      <c r="I1146" s="1097">
        <v>1.015994416467392</v>
      </c>
      <c r="K1146">
        <v>5.1410728478659076</v>
      </c>
      <c r="L1146">
        <v>0</v>
      </c>
      <c r="M1146">
        <v>3.5385381589862828E-3</v>
      </c>
      <c r="N1146">
        <v>0.30704115161425322</v>
      </c>
      <c r="O1146">
        <v>0.14230209369483734</v>
      </c>
      <c r="P1146">
        <v>2.0251626707996209E-2</v>
      </c>
      <c r="Q1146">
        <v>1.2539189242707315E-3</v>
      </c>
      <c r="R1146">
        <v>3.532767201411895E-3</v>
      </c>
      <c r="S1146">
        <v>0.45805335502525446</v>
      </c>
      <c r="T1146">
        <v>3.9833734801758309</v>
      </c>
      <c r="U1146">
        <v>0</v>
      </c>
      <c r="V1146">
        <v>1.1304767209823825E-2</v>
      </c>
      <c r="W1146">
        <v>0.18288470590294745</v>
      </c>
      <c r="X1146">
        <v>2.4629649743052536E-2</v>
      </c>
      <c r="Y1146">
        <v>9.9838698252066992E-3</v>
      </c>
    </row>
    <row r="1147" spans="1:25" x14ac:dyDescent="0.25">
      <c r="A1147" s="1093"/>
      <c r="B1147" s="1452">
        <v>897</v>
      </c>
      <c r="C1147" s="1097">
        <v>1.0334037320259701</v>
      </c>
      <c r="D1147" s="1097">
        <v>0.98229848652777096</v>
      </c>
      <c r="E1147" s="1097">
        <v>1.0274772622215145</v>
      </c>
      <c r="F1147" s="1097">
        <v>0.96707560941112014</v>
      </c>
      <c r="G1147" s="1097">
        <v>0.99423506459027566</v>
      </c>
      <c r="H1147" s="1097">
        <v>0.99537090202398659</v>
      </c>
      <c r="I1147" s="1097">
        <v>1.0270959450725621</v>
      </c>
      <c r="K1147">
        <v>4.9922854881902543</v>
      </c>
      <c r="L1147">
        <v>0</v>
      </c>
      <c r="M1147">
        <v>3.2016366749906744E-3</v>
      </c>
      <c r="N1147">
        <v>0.30126922768747683</v>
      </c>
      <c r="O1147">
        <v>0.13914127068486501</v>
      </c>
      <c r="P1147">
        <v>2.0046330135326609E-2</v>
      </c>
      <c r="Q1147">
        <v>1.3005007632036888E-3</v>
      </c>
      <c r="R1147">
        <v>3.1961179515986463E-3</v>
      </c>
      <c r="S1147">
        <v>0.44769008582530145</v>
      </c>
      <c r="T1147">
        <v>3.8604723280677269</v>
      </c>
      <c r="U1147">
        <v>0</v>
      </c>
      <c r="V1147">
        <v>1.1304767209823829E-2</v>
      </c>
      <c r="W1147">
        <v>0.17618180032547873</v>
      </c>
      <c r="X1147">
        <v>2.5852222871159403E-2</v>
      </c>
      <c r="Y1147">
        <v>9.0324733432800997E-3</v>
      </c>
    </row>
    <row r="1148" spans="1:25" x14ac:dyDescent="0.25">
      <c r="A1148" s="1093"/>
      <c r="B1148" s="1452">
        <v>898</v>
      </c>
      <c r="C1148" s="1097">
        <v>0.99923717509641519</v>
      </c>
      <c r="D1148" s="1097">
        <v>1.0010277483188297</v>
      </c>
      <c r="E1148" s="1097">
        <v>1.0449624546471801</v>
      </c>
      <c r="F1148" s="1097">
        <v>1.0338600993652187</v>
      </c>
      <c r="G1148" s="1097">
        <v>0.98208705144224828</v>
      </c>
      <c r="H1148" s="1097">
        <v>1.0005967361533081</v>
      </c>
      <c r="I1148" s="1097">
        <v>0.97421274532332747</v>
      </c>
      <c r="K1148">
        <v>5.3458859475515128</v>
      </c>
      <c r="L1148">
        <v>0</v>
      </c>
      <c r="M1148">
        <v>3.4028313717353806E-3</v>
      </c>
      <c r="N1148">
        <v>0.33722122160022933</v>
      </c>
      <c r="O1148">
        <v>0.15217494164935075</v>
      </c>
      <c r="P1148">
        <v>2.1618544126149889E-2</v>
      </c>
      <c r="Q1148">
        <v>1.354538524125182E-3</v>
      </c>
      <c r="R1148">
        <v>3.3973727919867822E-3</v>
      </c>
      <c r="S1148">
        <v>0.46365694884096764</v>
      </c>
      <c r="T1148">
        <v>4.1248387840352185</v>
      </c>
      <c r="U1148">
        <v>0</v>
      </c>
      <c r="V1148">
        <v>1.1304767209823815E-2</v>
      </c>
      <c r="W1148">
        <v>0.19494529560662768</v>
      </c>
      <c r="X1148">
        <v>2.9175129651471534E-2</v>
      </c>
      <c r="Y1148">
        <v>9.6012348872971734E-3</v>
      </c>
    </row>
    <row r="1149" spans="1:25" x14ac:dyDescent="0.25">
      <c r="A1149" s="1093"/>
      <c r="B1149" s="1452">
        <v>899</v>
      </c>
      <c r="C1149" s="1097">
        <v>0.97323121946355384</v>
      </c>
      <c r="D1149" s="1097">
        <v>0.99652365196856718</v>
      </c>
      <c r="E1149" s="1097">
        <v>1.0123676313000118</v>
      </c>
      <c r="F1149" s="1097">
        <v>0.99624654666522239</v>
      </c>
      <c r="G1149" s="1097">
        <v>1.0253011591063432</v>
      </c>
      <c r="H1149" s="1097">
        <v>1.0020361587929552</v>
      </c>
      <c r="I1149" s="1097">
        <v>1.0243901145438032</v>
      </c>
      <c r="K1149">
        <v>5.2047082012798498</v>
      </c>
      <c r="L1149">
        <v>0</v>
      </c>
      <c r="M1149">
        <v>3.6188670738948161E-3</v>
      </c>
      <c r="N1149">
        <v>0.32566247575072471</v>
      </c>
      <c r="O1149">
        <v>0.15175902267261135</v>
      </c>
      <c r="P1149">
        <v>2.054434105512724E-2</v>
      </c>
      <c r="Q1149">
        <v>1.3555444466695783E-3</v>
      </c>
      <c r="R1149">
        <v>3.6128517893050365E-3</v>
      </c>
      <c r="S1149">
        <v>0.48593718009882841</v>
      </c>
      <c r="T1149">
        <v>3.9787920594305746</v>
      </c>
      <c r="U1149">
        <v>0</v>
      </c>
      <c r="V1149">
        <v>1.1304767209823808E-2</v>
      </c>
      <c r="W1149">
        <v>0.19237548192490209</v>
      </c>
      <c r="X1149">
        <v>2.6773148990416211E-2</v>
      </c>
      <c r="Y1149">
        <v>1.0210194984761769E-2</v>
      </c>
    </row>
    <row r="1150" spans="1:25" x14ac:dyDescent="0.25">
      <c r="A1150" s="1093"/>
      <c r="B1150" s="1452">
        <v>900</v>
      </c>
      <c r="C1150" s="1097">
        <v>1.0289067220007493</v>
      </c>
      <c r="D1150" s="1097">
        <v>1.021225632475379</v>
      </c>
      <c r="E1150" s="1097">
        <v>0.97830370246443232</v>
      </c>
      <c r="F1150" s="1097">
        <v>1.0172300411944095</v>
      </c>
      <c r="G1150" s="1097">
        <v>0.96154833840574827</v>
      </c>
      <c r="H1150" s="1097">
        <v>1.0111965682519257</v>
      </c>
      <c r="I1150" s="1097">
        <v>0.99889682939461044</v>
      </c>
      <c r="K1150">
        <v>5.2257791504152218</v>
      </c>
      <c r="L1150">
        <v>0</v>
      </c>
      <c r="M1150">
        <v>3.7521523724062503E-3</v>
      </c>
      <c r="N1150">
        <v>0.30524480225431627</v>
      </c>
      <c r="O1150">
        <v>0.14607149574996778</v>
      </c>
      <c r="P1150">
        <v>2.0285760507031288E-2</v>
      </c>
      <c r="Q1150">
        <v>1.2330576801123222E-3</v>
      </c>
      <c r="R1150">
        <v>3.7460993205559829E-3</v>
      </c>
      <c r="S1150">
        <v>0.45562681398701987</v>
      </c>
      <c r="T1150">
        <v>4.0669555973052498</v>
      </c>
      <c r="U1150">
        <v>0</v>
      </c>
      <c r="V1150">
        <v>1.1304767209823829E-2</v>
      </c>
      <c r="W1150">
        <v>0.18452747089377891</v>
      </c>
      <c r="X1150">
        <v>2.3948675198723263E-2</v>
      </c>
      <c r="Y1150">
        <v>1.0586762681044708E-2</v>
      </c>
    </row>
    <row r="1151" spans="1:25" x14ac:dyDescent="0.25">
      <c r="A1151" s="1093"/>
      <c r="B1151" s="1452">
        <v>901</v>
      </c>
      <c r="C1151" s="1097">
        <v>0.99844228124233014</v>
      </c>
      <c r="D1151" s="1097">
        <v>1.0011689186402009</v>
      </c>
      <c r="E1151" s="1097">
        <v>1.0285356270030952</v>
      </c>
      <c r="F1151" s="1097">
        <v>1.0294255524699751</v>
      </c>
      <c r="G1151" s="1097">
        <v>0.98758373954058876</v>
      </c>
      <c r="H1151" s="1097">
        <v>0.989395560964479</v>
      </c>
      <c r="I1151" s="1097">
        <v>1.0012538396120698</v>
      </c>
      <c r="K1151">
        <v>5.3254713347658988</v>
      </c>
      <c r="L1151">
        <v>0</v>
      </c>
      <c r="M1151">
        <v>3.4714895172934632E-3</v>
      </c>
      <c r="N1151">
        <v>0.32771683958409137</v>
      </c>
      <c r="O1151">
        <v>0.15210562975511699</v>
      </c>
      <c r="P1151">
        <v>2.1334697710094851E-2</v>
      </c>
      <c r="Q1151">
        <v>1.3370237098098091E-3</v>
      </c>
      <c r="R1151">
        <v>3.4658335349931073E-3</v>
      </c>
      <c r="S1151">
        <v>0.47300424584476691</v>
      </c>
      <c r="T1151">
        <v>4.1092322910724288</v>
      </c>
      <c r="U1151">
        <v>0</v>
      </c>
      <c r="V1151">
        <v>1.1304767209823817E-2</v>
      </c>
      <c r="W1151">
        <v>0.19151385332354573</v>
      </c>
      <c r="X1151">
        <v>2.813293236476001E-2</v>
      </c>
      <c r="Y1151">
        <v>9.7947101737635191E-3</v>
      </c>
    </row>
    <row r="1152" spans="1:25" x14ac:dyDescent="0.25">
      <c r="A1152" s="1093"/>
      <c r="B1152" s="1452">
        <v>902</v>
      </c>
      <c r="C1152" s="1097">
        <v>1.007595123507806</v>
      </c>
      <c r="D1152" s="1097">
        <v>1.0258269303653296</v>
      </c>
      <c r="E1152" s="1097">
        <v>0.99078405756724053</v>
      </c>
      <c r="F1152" s="1097">
        <v>1.0144026584680854</v>
      </c>
      <c r="G1152" s="1097">
        <v>0.98827256523847584</v>
      </c>
      <c r="H1152" s="1097">
        <v>0.97157894866620564</v>
      </c>
      <c r="I1152" s="1097">
        <v>1.0386225791221633</v>
      </c>
      <c r="K1152">
        <v>5.2271067394667661</v>
      </c>
      <c r="L1152">
        <v>0</v>
      </c>
      <c r="M1152">
        <v>3.5697538378331108E-3</v>
      </c>
      <c r="N1152">
        <v>0.3013377510553516</v>
      </c>
      <c r="O1152">
        <v>0.14813316054803116</v>
      </c>
      <c r="P1152">
        <v>2.0505212571287606E-2</v>
      </c>
      <c r="Q1152">
        <v>1.270526187055141E-3</v>
      </c>
      <c r="R1152">
        <v>3.5637435328294393E-3</v>
      </c>
      <c r="S1152">
        <v>0.47453272512305966</v>
      </c>
      <c r="T1152">
        <v>4.054050487450847</v>
      </c>
      <c r="U1152">
        <v>0</v>
      </c>
      <c r="V1152">
        <v>1.1304767209823815E-2</v>
      </c>
      <c r="W1152">
        <v>0.18061933735111899</v>
      </c>
      <c r="X1152">
        <v>2.5287370972473175E-2</v>
      </c>
      <c r="Y1152">
        <v>1.007141130272371E-2</v>
      </c>
    </row>
    <row r="1153" spans="1:25" x14ac:dyDescent="0.25">
      <c r="A1153" s="1093"/>
      <c r="B1153" s="1452">
        <v>903</v>
      </c>
      <c r="C1153" s="1097">
        <v>0.994315808952841</v>
      </c>
      <c r="D1153" s="1097">
        <v>1.0186721632929252</v>
      </c>
      <c r="E1153" s="1097">
        <v>0.98632822375307649</v>
      </c>
      <c r="F1153" s="1097">
        <v>1.0017834697112062</v>
      </c>
      <c r="G1153" s="1097">
        <v>0.99154162524607792</v>
      </c>
      <c r="H1153" s="1097">
        <v>0.98816494150081668</v>
      </c>
      <c r="I1153" s="1097">
        <v>1.0346682158153355</v>
      </c>
      <c r="K1153">
        <v>5.1895391741854917</v>
      </c>
      <c r="L1153">
        <v>0</v>
      </c>
      <c r="M1153">
        <v>3.6779653361470061E-3</v>
      </c>
      <c r="N1153">
        <v>0.30639912299583516</v>
      </c>
      <c r="O1153">
        <v>0.14878373786328983</v>
      </c>
      <c r="P1153">
        <v>2.0227100451348266E-2</v>
      </c>
      <c r="Q1153">
        <v>1.2861469192199228E-3</v>
      </c>
      <c r="R1153">
        <v>3.6718002081537744E-3</v>
      </c>
      <c r="S1153">
        <v>0.47788165176267705</v>
      </c>
      <c r="T1153">
        <v>4.0041814729975824</v>
      </c>
      <c r="U1153">
        <v>0</v>
      </c>
      <c r="V1153">
        <v>1.1304767209823829E-2</v>
      </c>
      <c r="W1153">
        <v>0.18421133267304854</v>
      </c>
      <c r="X1153">
        <v>2.489321872372886E-2</v>
      </c>
      <c r="Y1153">
        <v>1.0376787716927178E-2</v>
      </c>
    </row>
    <row r="1154" spans="1:25" x14ac:dyDescent="0.25">
      <c r="A1154" s="1093"/>
      <c r="B1154" s="1452">
        <v>904</v>
      </c>
      <c r="C1154" s="1097">
        <v>0.99074379089695652</v>
      </c>
      <c r="D1154" s="1097">
        <v>1.01909124227564</v>
      </c>
      <c r="E1154" s="1097">
        <v>1.0042681406370173</v>
      </c>
      <c r="F1154" s="1097">
        <v>0.99165007174325914</v>
      </c>
      <c r="G1154" s="1097">
        <v>1.0255413333892114</v>
      </c>
      <c r="H1154" s="1097">
        <v>1.0214586605948446</v>
      </c>
      <c r="I1154" s="1097">
        <v>0.97204992055287753</v>
      </c>
      <c r="K1154">
        <v>5.1392687277303155</v>
      </c>
      <c r="L1154">
        <v>0</v>
      </c>
      <c r="M1154">
        <v>3.6365262181581176E-3</v>
      </c>
      <c r="N1154">
        <v>0.31950398839425226</v>
      </c>
      <c r="O1154">
        <v>0.14728942495826453</v>
      </c>
      <c r="P1154">
        <v>2.019090522665053E-2</v>
      </c>
      <c r="Q1154">
        <v>1.3106281337507064E-3</v>
      </c>
      <c r="R1154">
        <v>3.6305690769059757E-3</v>
      </c>
      <c r="S1154">
        <v>0.45274269173629378</v>
      </c>
      <c r="T1154">
        <v>3.9614392110184693</v>
      </c>
      <c r="U1154">
        <v>0</v>
      </c>
      <c r="V1154">
        <v>1.1304767209823825E-2</v>
      </c>
      <c r="W1154">
        <v>0.18976772595271868</v>
      </c>
      <c r="X1154">
        <v>2.5465076849164912E-2</v>
      </c>
      <c r="Y1154">
        <v>1.0260265392172941E-2</v>
      </c>
    </row>
    <row r="1155" spans="1:25" x14ac:dyDescent="0.25">
      <c r="A1155" s="1093"/>
      <c r="B1155" s="1452">
        <v>905</v>
      </c>
      <c r="C1155" s="1097">
        <v>1.0080990961051983</v>
      </c>
      <c r="D1155" s="1097">
        <v>0.99883493888993746</v>
      </c>
      <c r="E1155" s="1097">
        <v>1.0115666993927361</v>
      </c>
      <c r="F1155" s="1097">
        <v>1.0027135285251358</v>
      </c>
      <c r="G1155" s="1097">
        <v>0.99208009105102701</v>
      </c>
      <c r="H1155" s="1097">
        <v>1.0231109339766113</v>
      </c>
      <c r="I1155" s="1097">
        <v>1.0350393303075702</v>
      </c>
      <c r="K1155">
        <v>5.2151483591315069</v>
      </c>
      <c r="L1155">
        <v>0</v>
      </c>
      <c r="M1155">
        <v>3.5930360821823885E-3</v>
      </c>
      <c r="N1155">
        <v>0.32258665447746615</v>
      </c>
      <c r="O1155">
        <v>0.14734667263603368</v>
      </c>
      <c r="P1155">
        <v>2.0625879620905535E-2</v>
      </c>
      <c r="Q1155">
        <v>1.3065567311251972E-3</v>
      </c>
      <c r="R1155">
        <v>3.5872244193053959E-3</v>
      </c>
      <c r="S1155">
        <v>0.48043245350041047</v>
      </c>
      <c r="T1155">
        <v>4.0047200422213418</v>
      </c>
      <c r="U1155">
        <v>0</v>
      </c>
      <c r="V1155">
        <v>1.1304767209823829E-2</v>
      </c>
      <c r="W1155">
        <v>0.19066088082580873</v>
      </c>
      <c r="X1155">
        <v>2.6032493490877155E-2</v>
      </c>
      <c r="Y1155">
        <v>1.013777008058564E-2</v>
      </c>
    </row>
    <row r="1156" spans="1:25" x14ac:dyDescent="0.25">
      <c r="A1156" s="1093"/>
      <c r="B1156" s="1452">
        <v>906</v>
      </c>
      <c r="C1156" s="1097">
        <v>0.98032086679872787</v>
      </c>
      <c r="D1156" s="1097">
        <v>1.0161161645412771</v>
      </c>
      <c r="E1156" s="1097">
        <v>0.97622279194637807</v>
      </c>
      <c r="F1156" s="1097">
        <v>1.0080544637152515</v>
      </c>
      <c r="G1156" s="1097">
        <v>1.0147650110200512</v>
      </c>
      <c r="H1156" s="1097">
        <v>1.0125012804562017</v>
      </c>
      <c r="I1156" s="1097">
        <v>1.0278894592016967</v>
      </c>
      <c r="K1156">
        <v>5.2508075889021715</v>
      </c>
      <c r="L1156">
        <v>0</v>
      </c>
      <c r="M1156">
        <v>3.9326674049988868E-3</v>
      </c>
      <c r="N1156">
        <v>0.31795622730924072</v>
      </c>
      <c r="O1156">
        <v>0.15229235074130784</v>
      </c>
      <c r="P1156">
        <v>2.0240464708410903E-2</v>
      </c>
      <c r="Q1156">
        <v>1.2944242861782495E-3</v>
      </c>
      <c r="R1156">
        <v>3.926273739900869E-3</v>
      </c>
      <c r="S1156">
        <v>0.48907999001503039</v>
      </c>
      <c r="T1156">
        <v>4.0305371829616883</v>
      </c>
      <c r="U1156">
        <v>0</v>
      </c>
      <c r="V1156">
        <v>1.1304767209823825E-2</v>
      </c>
      <c r="W1156">
        <v>0.19248656259269059</v>
      </c>
      <c r="X1156">
        <v>2.4526063397120202E-2</v>
      </c>
      <c r="Y1156">
        <v>1.1095949345779545E-2</v>
      </c>
    </row>
    <row r="1157" spans="1:25" x14ac:dyDescent="0.25">
      <c r="A1157" s="1093"/>
      <c r="B1157" s="1452">
        <v>907</v>
      </c>
      <c r="C1157" s="1097">
        <v>1.0058462830871455</v>
      </c>
      <c r="D1157" s="1097">
        <v>0.98729184646875812</v>
      </c>
      <c r="E1157" s="1097">
        <v>1.0320761932135645</v>
      </c>
      <c r="F1157" s="1097">
        <v>0.99380948843977901</v>
      </c>
      <c r="G1157" s="1097">
        <v>0.97834023439981233</v>
      </c>
      <c r="H1157" s="1097">
        <v>0.97831098552213014</v>
      </c>
      <c r="I1157" s="1097">
        <v>0.99760142832788035</v>
      </c>
      <c r="K1157">
        <v>5.1322337083408263</v>
      </c>
      <c r="L1157">
        <v>0</v>
      </c>
      <c r="M1157">
        <v>3.2833646317338449E-3</v>
      </c>
      <c r="N1157">
        <v>0.31319450219814782</v>
      </c>
      <c r="O1157">
        <v>0.14648035806356327</v>
      </c>
      <c r="P1157">
        <v>2.0634202820223879E-2</v>
      </c>
      <c r="Q1157">
        <v>1.3385909997085798E-3</v>
      </c>
      <c r="R1157">
        <v>3.2777609811999609E-3</v>
      </c>
      <c r="S1157">
        <v>0.45338721266585058</v>
      </c>
      <c r="T1157">
        <v>3.9666256270987565</v>
      </c>
      <c r="U1157">
        <v>0</v>
      </c>
      <c r="V1157">
        <v>1.1304767209823827E-2</v>
      </c>
      <c r="W1157">
        <v>0.18259857394019058</v>
      </c>
      <c r="X1157">
        <v>2.741227421700429E-2</v>
      </c>
      <c r="Y1157">
        <v>9.2632027780838611E-3</v>
      </c>
    </row>
    <row r="1158" spans="1:25" x14ac:dyDescent="0.25">
      <c r="A1158" s="1093"/>
      <c r="B1158" s="1452">
        <v>908</v>
      </c>
      <c r="C1158" s="1097">
        <v>0.99992361278526321</v>
      </c>
      <c r="D1158" s="1097">
        <v>1.0069537713935675</v>
      </c>
      <c r="E1158" s="1097">
        <v>0.98565345228289758</v>
      </c>
      <c r="F1158" s="1097">
        <v>0.99745595327153058</v>
      </c>
      <c r="G1158" s="1097">
        <v>1.0080144575172385</v>
      </c>
      <c r="H1158" s="1097">
        <v>1.0098570969509113</v>
      </c>
      <c r="I1158" s="1097">
        <v>0.98984447444065882</v>
      </c>
      <c r="K1158">
        <v>5.1592207913362023</v>
      </c>
      <c r="L1158">
        <v>0</v>
      </c>
      <c r="M1158">
        <v>3.7440735649213516E-3</v>
      </c>
      <c r="N1158">
        <v>0.31129176746373222</v>
      </c>
      <c r="O1158">
        <v>0.14801223643291894</v>
      </c>
      <c r="P1158">
        <v>2.0049820514501809E-2</v>
      </c>
      <c r="Q1158">
        <v>1.2841171899367248E-3</v>
      </c>
      <c r="R1158">
        <v>3.7379058346588296E-3</v>
      </c>
      <c r="S1158">
        <v>0.45798714982579153</v>
      </c>
      <c r="T1158">
        <v>3.9869692207133345</v>
      </c>
      <c r="U1158">
        <v>0</v>
      </c>
      <c r="V1158">
        <v>1.1304767209823818E-2</v>
      </c>
      <c r="W1158">
        <v>0.18723904679339134</v>
      </c>
      <c r="X1158">
        <v>2.4525225658674765E-2</v>
      </c>
      <c r="Y1158">
        <v>1.0563607264356295E-2</v>
      </c>
    </row>
    <row r="1159" spans="1:25" x14ac:dyDescent="0.25">
      <c r="A1159" s="1093"/>
      <c r="B1159" s="1452">
        <v>909</v>
      </c>
      <c r="C1159" s="1097">
        <v>0.98966629363612779</v>
      </c>
      <c r="D1159" s="1097">
        <v>1.0061076434243912</v>
      </c>
      <c r="E1159" s="1097">
        <v>0.97157682995049477</v>
      </c>
      <c r="F1159" s="1097">
        <v>0.99613935001684251</v>
      </c>
      <c r="G1159" s="1097">
        <v>0.97714852470163971</v>
      </c>
      <c r="H1159" s="1097">
        <v>0.99141917590304929</v>
      </c>
      <c r="I1159" s="1097">
        <v>0.9795564634178725</v>
      </c>
      <c r="K1159">
        <v>5.1443287717102475</v>
      </c>
      <c r="L1159">
        <v>0</v>
      </c>
      <c r="M1159">
        <v>3.8214162937894791E-3</v>
      </c>
      <c r="N1159">
        <v>0.30471287581371825</v>
      </c>
      <c r="O1159">
        <v>0.14979233355180874</v>
      </c>
      <c r="P1159">
        <v>1.9803585225164583E-2</v>
      </c>
      <c r="Q1159">
        <v>1.2820867258794863E-3</v>
      </c>
      <c r="R1159">
        <v>3.8149956195989137E-3</v>
      </c>
      <c r="S1159">
        <v>0.45409534838676213</v>
      </c>
      <c r="T1159">
        <v>3.9834847581147454</v>
      </c>
      <c r="U1159">
        <v>0</v>
      </c>
      <c r="V1159">
        <v>1.1304767209823818E-2</v>
      </c>
      <c r="W1159">
        <v>0.18505978628738934</v>
      </c>
      <c r="X1159">
        <v>2.4018182187023212E-2</v>
      </c>
      <c r="Y1159">
        <v>1.0781468882123632E-2</v>
      </c>
    </row>
    <row r="1160" spans="1:25" x14ac:dyDescent="0.25">
      <c r="A1160" s="1093"/>
      <c r="B1160" s="1452">
        <v>910</v>
      </c>
      <c r="C1160" s="1097">
        <v>0.95793888585128484</v>
      </c>
      <c r="D1160" s="1097">
        <v>0.96493586503114193</v>
      </c>
      <c r="E1160" s="1097">
        <v>0.98243440587279496</v>
      </c>
      <c r="F1160" s="1097">
        <v>0.98846337678908902</v>
      </c>
      <c r="G1160" s="1097">
        <v>1.0033379739343156</v>
      </c>
      <c r="H1160" s="1097">
        <v>1.017870466766813</v>
      </c>
      <c r="I1160" s="1097">
        <v>0.97419515249447264</v>
      </c>
      <c r="K1160">
        <v>5.1764186753757961</v>
      </c>
      <c r="L1160">
        <v>0</v>
      </c>
      <c r="M1160">
        <v>3.9977959712044269E-3</v>
      </c>
      <c r="N1160">
        <v>0.32922735034699568</v>
      </c>
      <c r="O1160">
        <v>0.15583294737327852</v>
      </c>
      <c r="P1160">
        <v>1.990659989316973E-2</v>
      </c>
      <c r="Q1160">
        <v>1.3596518751738131E-3</v>
      </c>
      <c r="R1160">
        <v>3.9912027810096512E-3</v>
      </c>
      <c r="S1160">
        <v>0.47247741250180875</v>
      </c>
      <c r="T1160">
        <v>3.9514271392160927</v>
      </c>
      <c r="U1160">
        <v>0</v>
      </c>
      <c r="V1160">
        <v>1.1304767209823817E-2</v>
      </c>
      <c r="W1160">
        <v>0.1984631503251742</v>
      </c>
      <c r="X1160">
        <v>2.5146806051421566E-2</v>
      </c>
      <c r="Y1160">
        <v>1.1279443773050755E-2</v>
      </c>
    </row>
    <row r="1161" spans="1:25" x14ac:dyDescent="0.25">
      <c r="A1161" s="1093"/>
      <c r="B1161" s="1452">
        <v>911</v>
      </c>
      <c r="C1161" s="1097">
        <v>0.97672903388473842</v>
      </c>
      <c r="D1161" s="1097">
        <v>1.0289440823127993</v>
      </c>
      <c r="E1161" s="1097">
        <v>1.0024096721797906</v>
      </c>
      <c r="F1161" s="1097">
        <v>1.0017692901506658</v>
      </c>
      <c r="G1161" s="1097">
        <v>1.0130229807575233</v>
      </c>
      <c r="H1161" s="1097">
        <v>0.98976062425926092</v>
      </c>
      <c r="I1161" s="1097">
        <v>1.0321490408407532</v>
      </c>
      <c r="K1161">
        <v>5.2096822365288107</v>
      </c>
      <c r="L1161">
        <v>0</v>
      </c>
      <c r="M1161">
        <v>3.6108914030480018E-3</v>
      </c>
      <c r="N1161">
        <v>0.3154987910976097</v>
      </c>
      <c r="O1161">
        <v>0.1504000966068868</v>
      </c>
      <c r="P1161">
        <v>2.0493791773259041E-2</v>
      </c>
      <c r="Q1161">
        <v>1.3222239047192082E-3</v>
      </c>
      <c r="R1161">
        <v>3.6048483793223694E-3</v>
      </c>
      <c r="S1161">
        <v>0.48467418393384831</v>
      </c>
      <c r="T1161">
        <v>4.0020968006387019</v>
      </c>
      <c r="U1161">
        <v>0</v>
      </c>
      <c r="V1161">
        <v>1.1304767209823824E-2</v>
      </c>
      <c r="W1161">
        <v>0.18762385219474537</v>
      </c>
      <c r="X1161">
        <v>2.6086195455820332E-2</v>
      </c>
      <c r="Y1161">
        <v>1.0187576737119302E-2</v>
      </c>
    </row>
    <row r="1162" spans="1:25" x14ac:dyDescent="0.25">
      <c r="A1162" s="1093"/>
      <c r="B1162" s="1452">
        <v>912</v>
      </c>
      <c r="C1162" s="1097">
        <v>1.0088273876333882</v>
      </c>
      <c r="D1162" s="1097">
        <v>0.98034020337819561</v>
      </c>
      <c r="E1162" s="1097">
        <v>1.0320352624387135</v>
      </c>
      <c r="F1162" s="1097">
        <v>0.9619955990107254</v>
      </c>
      <c r="G1162" s="1097">
        <v>0.98792377376854434</v>
      </c>
      <c r="H1162" s="1097">
        <v>1.0336110933387825</v>
      </c>
      <c r="I1162" s="1097">
        <v>1.0211627101628007</v>
      </c>
      <c r="K1162">
        <v>5.0180604098011585</v>
      </c>
      <c r="L1162">
        <v>0</v>
      </c>
      <c r="M1162">
        <v>3.357941582364321E-3</v>
      </c>
      <c r="N1162">
        <v>0.32028170275414475</v>
      </c>
      <c r="O1162">
        <v>0.1417734608447169</v>
      </c>
      <c r="P1162">
        <v>2.0078634277121296E-2</v>
      </c>
      <c r="Q1162">
        <v>1.3383669976029643E-3</v>
      </c>
      <c r="R1162">
        <v>3.3523381916468094E-3</v>
      </c>
      <c r="S1162">
        <v>0.46117207006186611</v>
      </c>
      <c r="T1162">
        <v>3.839650636477185</v>
      </c>
      <c r="U1162">
        <v>0</v>
      </c>
      <c r="V1162">
        <v>1.1304767209823829E-2</v>
      </c>
      <c r="W1162">
        <v>0.18673560678404752</v>
      </c>
      <c r="X1162">
        <v>2.6256804116855298E-2</v>
      </c>
      <c r="Y1162">
        <v>9.4739636685073209E-3</v>
      </c>
    </row>
    <row r="1163" spans="1:25" x14ac:dyDescent="0.25">
      <c r="A1163" s="1093"/>
      <c r="B1163" s="1452">
        <v>913</v>
      </c>
      <c r="C1163" s="1097">
        <v>0.96115525334799479</v>
      </c>
      <c r="D1163" s="1097">
        <v>1.0187654834880675</v>
      </c>
      <c r="E1163" s="1097">
        <v>0.96103778135308471</v>
      </c>
      <c r="F1163" s="1097">
        <v>0.98537518985836114</v>
      </c>
      <c r="G1163" s="1097">
        <v>1.0103819578272613</v>
      </c>
      <c r="H1163" s="1097">
        <v>0.98730812108661659</v>
      </c>
      <c r="I1163" s="1097">
        <v>0.97521050707308732</v>
      </c>
      <c r="K1163">
        <v>5.111206856874726</v>
      </c>
      <c r="L1163">
        <v>0</v>
      </c>
      <c r="M1163">
        <v>3.9429392332053234E-3</v>
      </c>
      <c r="N1163">
        <v>0.30470524332826565</v>
      </c>
      <c r="O1163">
        <v>0.15210613698771894</v>
      </c>
      <c r="P1163">
        <v>1.9482957303580108E-2</v>
      </c>
      <c r="Q1163">
        <v>1.3014657662481642E-3</v>
      </c>
      <c r="R1163">
        <v>3.9362142447775042E-3</v>
      </c>
      <c r="S1163">
        <v>0.45938893782359969</v>
      </c>
      <c r="T1163">
        <v>3.9417641081989703</v>
      </c>
      <c r="U1163">
        <v>0</v>
      </c>
      <c r="V1163">
        <v>1.1304767209823817E-2</v>
      </c>
      <c r="W1163">
        <v>0.18640885388050646</v>
      </c>
      <c r="X1163">
        <v>2.3627069392957601E-2</v>
      </c>
      <c r="Y1163">
        <v>1.1124041971482562E-2</v>
      </c>
    </row>
    <row r="1164" spans="1:25" x14ac:dyDescent="0.25">
      <c r="A1164" s="1093"/>
      <c r="B1164" s="1452">
        <v>914</v>
      </c>
      <c r="C1164" s="1097">
        <v>1.0428164977150745</v>
      </c>
      <c r="D1164" s="1097">
        <v>1.0218730783515562</v>
      </c>
      <c r="E1164" s="1097">
        <v>0.9734773541640982</v>
      </c>
      <c r="F1164" s="1097">
        <v>1.0390620610169801</v>
      </c>
      <c r="G1164" s="1097">
        <v>1.0123205560015498</v>
      </c>
      <c r="H1164" s="1097">
        <v>1.0035321122616796</v>
      </c>
      <c r="I1164" s="1097">
        <v>1.0068054905707906</v>
      </c>
      <c r="K1164">
        <v>5.3181302548398151</v>
      </c>
      <c r="L1164">
        <v>0</v>
      </c>
      <c r="M1164">
        <v>3.78999827527926E-3</v>
      </c>
      <c r="N1164">
        <v>0.30394475141002014</v>
      </c>
      <c r="O1164">
        <v>0.147311600506428</v>
      </c>
      <c r="P1164">
        <v>2.0621918646553654E-2</v>
      </c>
      <c r="Q1164">
        <v>1.2112036696259856E-3</v>
      </c>
      <c r="R1164">
        <v>3.7839667128363253E-3</v>
      </c>
      <c r="S1164">
        <v>0.45982012942830547</v>
      </c>
      <c r="T1164">
        <v>4.1548782565699982</v>
      </c>
      <c r="U1164">
        <v>0</v>
      </c>
      <c r="V1164">
        <v>1.1304767209823818E-2</v>
      </c>
      <c r="W1164">
        <v>0.18435185328778081</v>
      </c>
      <c r="X1164">
        <v>2.3998026851054059E-2</v>
      </c>
      <c r="Y1164">
        <v>1.0693778822667595E-2</v>
      </c>
    </row>
    <row r="1165" spans="1:25" x14ac:dyDescent="0.25">
      <c r="A1165" s="1093"/>
      <c r="B1165" s="1452">
        <v>915</v>
      </c>
      <c r="C1165" s="1097">
        <v>1.0028482063648103</v>
      </c>
      <c r="D1165" s="1097">
        <v>1.0234746836833766</v>
      </c>
      <c r="E1165" s="1097">
        <v>0.98529198246949812</v>
      </c>
      <c r="F1165" s="1097">
        <v>1.0254278598098501</v>
      </c>
      <c r="G1165" s="1097">
        <v>0.99521904371597458</v>
      </c>
      <c r="H1165" s="1097">
        <v>1.0050399620370079</v>
      </c>
      <c r="I1165" s="1097">
        <v>0.99749286838800921</v>
      </c>
      <c r="K1165">
        <v>5.2922739506142955</v>
      </c>
      <c r="L1165">
        <v>0</v>
      </c>
      <c r="M1165">
        <v>3.7974660572260631E-3</v>
      </c>
      <c r="N1165">
        <v>0.31540436367422037</v>
      </c>
      <c r="O1165">
        <v>0.15074501407601693</v>
      </c>
      <c r="P1165">
        <v>2.0595271142302328E-2</v>
      </c>
      <c r="Q1165">
        <v>1.2716671755494122E-3</v>
      </c>
      <c r="R1165">
        <v>3.7913515732151751E-3</v>
      </c>
      <c r="S1165">
        <v>0.46861512734373267</v>
      </c>
      <c r="T1165">
        <v>4.098823649703033</v>
      </c>
      <c r="U1165">
        <v>0</v>
      </c>
      <c r="V1165">
        <v>1.1304767209823815E-2</v>
      </c>
      <c r="W1165">
        <v>0.1897595485164951</v>
      </c>
      <c r="X1165">
        <v>2.5046007255225895E-2</v>
      </c>
      <c r="Y1165">
        <v>1.0714649001905642E-2</v>
      </c>
    </row>
    <row r="1166" spans="1:25" x14ac:dyDescent="0.25">
      <c r="A1166" s="1093"/>
      <c r="B1166" s="1452">
        <v>916</v>
      </c>
      <c r="C1166" s="1097">
        <v>0.99992094324972802</v>
      </c>
      <c r="D1166" s="1097">
        <v>0.97040474446789349</v>
      </c>
      <c r="E1166" s="1097">
        <v>0.97911371372250278</v>
      </c>
      <c r="F1166" s="1097">
        <v>1.0309316189150881</v>
      </c>
      <c r="G1166" s="1097">
        <v>0.98046956593780032</v>
      </c>
      <c r="H1166" s="1097">
        <v>0.98328850315072092</v>
      </c>
      <c r="I1166" s="1097">
        <v>1.0154294096915584</v>
      </c>
      <c r="K1166">
        <v>5.335151440519085</v>
      </c>
      <c r="L1166">
        <v>0</v>
      </c>
      <c r="M1166">
        <v>3.8767394008440174E-3</v>
      </c>
      <c r="N1166">
        <v>0.31613169899200155</v>
      </c>
      <c r="O1166">
        <v>0.15544914181937178</v>
      </c>
      <c r="P1166">
        <v>2.06579667281587E-2</v>
      </c>
      <c r="Q1166">
        <v>1.2958861886456503E-3</v>
      </c>
      <c r="R1166">
        <v>3.8703931987934962E-3</v>
      </c>
      <c r="S1166">
        <v>0.48129358128643901</v>
      </c>
      <c r="T1166">
        <v>4.1216295550921851</v>
      </c>
      <c r="U1166">
        <v>0</v>
      </c>
      <c r="V1166">
        <v>1.1304767209823824E-2</v>
      </c>
      <c r="W1166">
        <v>0.19100272661196777</v>
      </c>
      <c r="X1166">
        <v>2.545443612220262E-2</v>
      </c>
      <c r="Y1166">
        <v>1.0938026670332619E-2</v>
      </c>
    </row>
    <row r="1167" spans="1:25" x14ac:dyDescent="0.25">
      <c r="A1167" s="1093"/>
      <c r="B1167" s="1452">
        <v>917</v>
      </c>
      <c r="C1167" s="1097">
        <v>0.99357417940057735</v>
      </c>
      <c r="D1167" s="1097">
        <v>0.98032563267769646</v>
      </c>
      <c r="E1167" s="1097">
        <v>1.0350570483436741</v>
      </c>
      <c r="F1167" s="1097">
        <v>1.0148154926795272</v>
      </c>
      <c r="G1167" s="1097">
        <v>0.98605938256804149</v>
      </c>
      <c r="H1167" s="1097">
        <v>1.0195012499219527</v>
      </c>
      <c r="I1167" s="1097">
        <v>0.99719233131335938</v>
      </c>
      <c r="K1167">
        <v>5.2859549580961245</v>
      </c>
      <c r="L1167">
        <v>0</v>
      </c>
      <c r="M1167">
        <v>3.5246837513173983E-3</v>
      </c>
      <c r="N1167">
        <v>0.33922365997739801</v>
      </c>
      <c r="O1167">
        <v>0.15176802997611311</v>
      </c>
      <c r="P1167">
        <v>2.1171293075373118E-2</v>
      </c>
      <c r="Q1167">
        <v>1.3623710777407605E-3</v>
      </c>
      <c r="R1167">
        <v>3.5190305778550588E-3</v>
      </c>
      <c r="S1167">
        <v>0.4754607899779284</v>
      </c>
      <c r="T1167">
        <v>4.0500938335843291</v>
      </c>
      <c r="U1167">
        <v>0</v>
      </c>
      <c r="V1167">
        <v>1.1304767209823822E-2</v>
      </c>
      <c r="W1167">
        <v>0.19738495248737781</v>
      </c>
      <c r="X1167">
        <v>2.8245864825205681E-2</v>
      </c>
      <c r="Y1167">
        <v>9.9450490782934872E-3</v>
      </c>
    </row>
    <row r="1168" spans="1:25" x14ac:dyDescent="0.25">
      <c r="A1168" s="1093"/>
      <c r="B1168" s="1452">
        <v>918</v>
      </c>
      <c r="C1168" s="1097">
        <v>0.97558722733882408</v>
      </c>
      <c r="D1168" s="1097">
        <v>1.0128248824388562</v>
      </c>
      <c r="E1168" s="1097">
        <v>0.95622194486061074</v>
      </c>
      <c r="F1168" s="1097">
        <v>1.0287274710799348</v>
      </c>
      <c r="G1168" s="1097">
        <v>0.99562251232629895</v>
      </c>
      <c r="H1168" s="1097">
        <v>0.98119251658368867</v>
      </c>
      <c r="I1168" s="1097">
        <v>1.0157512784759666</v>
      </c>
      <c r="K1168">
        <v>5.3311590108097437</v>
      </c>
      <c r="L1168">
        <v>0</v>
      </c>
      <c r="M1168">
        <v>4.0804536844852787E-3</v>
      </c>
      <c r="N1168">
        <v>0.31087015065982143</v>
      </c>
      <c r="O1168">
        <v>0.15695588568768953</v>
      </c>
      <c r="P1168">
        <v>2.0302369702190681E-2</v>
      </c>
      <c r="Q1168">
        <v>1.2797809637427895E-3</v>
      </c>
      <c r="R1168">
        <v>4.0737454150393563E-3</v>
      </c>
      <c r="S1168">
        <v>0.48808628435157764</v>
      </c>
      <c r="T1168">
        <v>4.1158188475687645</v>
      </c>
      <c r="U1168">
        <v>0</v>
      </c>
      <c r="V1168">
        <v>1.1304767209823806E-2</v>
      </c>
      <c r="W1168">
        <v>0.19081814494825949</v>
      </c>
      <c r="X1168">
        <v>2.4216772428673813E-2</v>
      </c>
      <c r="Y1168">
        <v>1.1512715558650691E-2</v>
      </c>
    </row>
    <row r="1169" spans="1:25" x14ac:dyDescent="0.25">
      <c r="A1169" s="1093"/>
      <c r="B1169" s="1452">
        <v>919</v>
      </c>
      <c r="C1169" s="1097">
        <v>1.0110494978330957</v>
      </c>
      <c r="D1169" s="1097">
        <v>1.0233465870900387</v>
      </c>
      <c r="E1169" s="1097">
        <v>0.99487824811698677</v>
      </c>
      <c r="F1169" s="1097">
        <v>0.99031917613904052</v>
      </c>
      <c r="G1169" s="1097">
        <v>0.99497114117570573</v>
      </c>
      <c r="H1169" s="1097">
        <v>0.96788355537960657</v>
      </c>
      <c r="I1169" s="1097">
        <v>1.0025183221388703</v>
      </c>
      <c r="K1169">
        <v>5.084223942597303</v>
      </c>
      <c r="L1169">
        <v>0</v>
      </c>
      <c r="M1169">
        <v>3.4336751000000744E-3</v>
      </c>
      <c r="N1169">
        <v>0.29337629705823637</v>
      </c>
      <c r="O1169">
        <v>0.14415119535862986</v>
      </c>
      <c r="P1169">
        <v>2.0004714851253578E-2</v>
      </c>
      <c r="Q1169">
        <v>1.2718873466531521E-3</v>
      </c>
      <c r="R1169">
        <v>3.4277309420614067E-3</v>
      </c>
      <c r="S1169">
        <v>0.44690012956044489</v>
      </c>
      <c r="T1169">
        <v>3.9572903052550452</v>
      </c>
      <c r="U1169">
        <v>0</v>
      </c>
      <c r="V1169">
        <v>1.1304767209823817E-2</v>
      </c>
      <c r="W1169">
        <v>0.17535901506176241</v>
      </c>
      <c r="X1169">
        <v>2.4884545716249856E-2</v>
      </c>
      <c r="Y1169">
        <v>9.6870293371431743E-3</v>
      </c>
    </row>
    <row r="1170" spans="1:25" x14ac:dyDescent="0.25">
      <c r="A1170" s="1093"/>
      <c r="B1170" s="1452">
        <v>920</v>
      </c>
      <c r="C1170" s="1097">
        <v>1.0169425665933189</v>
      </c>
      <c r="D1170" s="1097">
        <v>0.99697229531231302</v>
      </c>
      <c r="E1170" s="1097">
        <v>0.98079322543239622</v>
      </c>
      <c r="F1170" s="1097">
        <v>1.0262262933521051</v>
      </c>
      <c r="G1170" s="1097">
        <v>1.0175515429854254</v>
      </c>
      <c r="H1170" s="1097">
        <v>0.98648401389882645</v>
      </c>
      <c r="I1170" s="1097">
        <v>0.99177238126138823</v>
      </c>
      <c r="K1170">
        <v>5.2733590273443776</v>
      </c>
      <c r="L1170">
        <v>0</v>
      </c>
      <c r="M1170">
        <v>3.7526503743959272E-3</v>
      </c>
      <c r="N1170">
        <v>0.30754098845192485</v>
      </c>
      <c r="O1170">
        <v>0.15046744146138061</v>
      </c>
      <c r="P1170">
        <v>2.049737402219649E-2</v>
      </c>
      <c r="Q1170">
        <v>1.2623424606095707E-3</v>
      </c>
      <c r="R1170">
        <v>3.7464991748295444E-3</v>
      </c>
      <c r="S1170">
        <v>0.45862535455255693</v>
      </c>
      <c r="T1170">
        <v>4.1025993917690844</v>
      </c>
      <c r="U1170">
        <v>0</v>
      </c>
      <c r="V1170">
        <v>1.1304767209823811E-2</v>
      </c>
      <c r="W1170">
        <v>0.18559863361187456</v>
      </c>
      <c r="X1170">
        <v>2.4880992304740397E-2</v>
      </c>
      <c r="Y1170">
        <v>1.0587892699749222E-2</v>
      </c>
    </row>
    <row r="1171" spans="1:25" x14ac:dyDescent="0.25">
      <c r="A1171" s="1093"/>
      <c r="B1171" s="1452">
        <v>921</v>
      </c>
      <c r="C1171" s="1097">
        <v>1.0233958077759751</v>
      </c>
      <c r="D1171" s="1097">
        <v>1.0422395138071725</v>
      </c>
      <c r="E1171" s="1097">
        <v>0.99919524106080893</v>
      </c>
      <c r="F1171" s="1097">
        <v>0.97164220234653131</v>
      </c>
      <c r="G1171" s="1097">
        <v>0.99838338577173791</v>
      </c>
      <c r="H1171" s="1097">
        <v>1.023565185560146</v>
      </c>
      <c r="I1171" s="1097">
        <v>0.98609907385882256</v>
      </c>
      <c r="K1171">
        <v>5.0004465204336839</v>
      </c>
      <c r="L1171">
        <v>0</v>
      </c>
      <c r="M1171">
        <v>3.4625906099228681E-3</v>
      </c>
      <c r="N1171">
        <v>0.29967505473503653</v>
      </c>
      <c r="O1171">
        <v>0.1385954058538813</v>
      </c>
      <c r="P1171">
        <v>1.9676098356499593E-2</v>
      </c>
      <c r="Q1171">
        <v>1.2520144784889482E-3</v>
      </c>
      <c r="R1171">
        <v>3.456813711581875E-3</v>
      </c>
      <c r="S1171">
        <v>0.43553463451304675</v>
      </c>
      <c r="T1171">
        <v>3.8821302169005567</v>
      </c>
      <c r="U1171">
        <v>0</v>
      </c>
      <c r="V1171">
        <v>1.1304767209823825E-2</v>
      </c>
      <c r="W1171">
        <v>0.17860102868675654</v>
      </c>
      <c r="X1171">
        <v>2.3913857133758053E-2</v>
      </c>
      <c r="Y1171">
        <v>9.769219464172434E-3</v>
      </c>
    </row>
    <row r="1172" spans="1:25" x14ac:dyDescent="0.25">
      <c r="A1172" s="1093"/>
      <c r="B1172" s="1452">
        <v>922</v>
      </c>
      <c r="C1172" s="1097">
        <v>1.0083870282733665</v>
      </c>
      <c r="D1172" s="1097">
        <v>0.98449111615045293</v>
      </c>
      <c r="E1172" s="1097">
        <v>0.98643524124271031</v>
      </c>
      <c r="F1172" s="1097">
        <v>1.0056125959404441</v>
      </c>
      <c r="G1172" s="1097">
        <v>0.96248939042670734</v>
      </c>
      <c r="H1172" s="1097">
        <v>0.99222317582823238</v>
      </c>
      <c r="I1172" s="1097">
        <v>0.99419718704569382</v>
      </c>
      <c r="K1172">
        <v>5.1892946232302206</v>
      </c>
      <c r="L1172">
        <v>0</v>
      </c>
      <c r="M1172">
        <v>3.7048458311147526E-3</v>
      </c>
      <c r="N1172">
        <v>0.30874051104629352</v>
      </c>
      <c r="O1172">
        <v>0.14928967218708522</v>
      </c>
      <c r="P1172">
        <v>2.0208141411130091E-2</v>
      </c>
      <c r="Q1172">
        <v>1.2857511167365505E-3</v>
      </c>
      <c r="R1172">
        <v>3.6986845563501715E-3</v>
      </c>
      <c r="S1172">
        <v>0.45802235791755441</v>
      </c>
      <c r="T1172">
        <v>4.0194730947642947</v>
      </c>
      <c r="U1172">
        <v>0</v>
      </c>
      <c r="V1172">
        <v>1.1304767209823836E-2</v>
      </c>
      <c r="W1172">
        <v>0.18560545686789451</v>
      </c>
      <c r="X1172">
        <v>2.4918267046712361E-2</v>
      </c>
      <c r="Y1172">
        <v>1.0452764937453087E-2</v>
      </c>
    </row>
    <row r="1173" spans="1:25" x14ac:dyDescent="0.25">
      <c r="A1173" s="1093"/>
      <c r="B1173" s="1452">
        <v>923</v>
      </c>
      <c r="C1173" s="1097">
        <v>1.0351755312005992</v>
      </c>
      <c r="D1173" s="1097">
        <v>1.0145525387030054</v>
      </c>
      <c r="E1173" s="1097">
        <v>0.97131765417144</v>
      </c>
      <c r="F1173" s="1097">
        <v>1.0197495521754592</v>
      </c>
      <c r="G1173" s="1097">
        <v>0.98983037550728215</v>
      </c>
      <c r="H1173" s="1097">
        <v>1.004951349717419</v>
      </c>
      <c r="I1173" s="1097">
        <v>0.9994305764192305</v>
      </c>
      <c r="K1173">
        <v>5.2287348537613587</v>
      </c>
      <c r="L1173">
        <v>0</v>
      </c>
      <c r="M1173">
        <v>3.7803104693390314E-3</v>
      </c>
      <c r="N1173">
        <v>0.30122167521974774</v>
      </c>
      <c r="O1173">
        <v>0.14611901689087825</v>
      </c>
      <c r="P1173">
        <v>2.0217272743840917E-2</v>
      </c>
      <c r="Q1173">
        <v>1.2213549801036764E-3</v>
      </c>
      <c r="R1173">
        <v>3.7741892301437099E-3</v>
      </c>
      <c r="S1173">
        <v>0.45348583726134267</v>
      </c>
      <c r="T1173">
        <v>4.0779337697546563</v>
      </c>
      <c r="U1173">
        <v>0</v>
      </c>
      <c r="V1173">
        <v>1.1304767209823818E-2</v>
      </c>
      <c r="W1173">
        <v>0.1829721700495176</v>
      </c>
      <c r="X1173">
        <v>2.3598963980535171E-2</v>
      </c>
      <c r="Y1173">
        <v>1.0666146910102771E-2</v>
      </c>
    </row>
    <row r="1174" spans="1:25" x14ac:dyDescent="0.25">
      <c r="A1174" s="1093"/>
      <c r="B1174" s="1452">
        <v>924</v>
      </c>
      <c r="C1174" s="1097">
        <v>0.9729976407041544</v>
      </c>
      <c r="D1174" s="1097">
        <v>1.0301939528242998</v>
      </c>
      <c r="E1174" s="1097">
        <v>0.98387639070326582</v>
      </c>
      <c r="F1174" s="1097">
        <v>0.99122587529430273</v>
      </c>
      <c r="G1174" s="1097">
        <v>1.0023487396203827</v>
      </c>
      <c r="H1174" s="1097">
        <v>0.96272510828029201</v>
      </c>
      <c r="I1174" s="1097">
        <v>1.0359330681197267</v>
      </c>
      <c r="K1174">
        <v>5.1389840318285547</v>
      </c>
      <c r="L1174">
        <v>0</v>
      </c>
      <c r="M1174">
        <v>3.6256248707130677E-3</v>
      </c>
      <c r="N1174">
        <v>0.29983133907952308</v>
      </c>
      <c r="O1174">
        <v>0.1498345878185707</v>
      </c>
      <c r="P1174">
        <v>2.0004682047028606E-2</v>
      </c>
      <c r="Q1174">
        <v>1.3056537750795623E-3</v>
      </c>
      <c r="R1174">
        <v>3.6193205536811726E-3</v>
      </c>
      <c r="S1174">
        <v>0.47860378815984217</v>
      </c>
      <c r="T1174">
        <v>3.9622894771984951</v>
      </c>
      <c r="U1174">
        <v>0</v>
      </c>
      <c r="V1174">
        <v>1.1304767209823811E-2</v>
      </c>
      <c r="W1174">
        <v>0.1805647035533737</v>
      </c>
      <c r="X1174">
        <v>2.5022861097096234E-2</v>
      </c>
      <c r="Y1174">
        <v>1.0228476206755524E-2</v>
      </c>
    </row>
    <row r="1175" spans="1:25" x14ac:dyDescent="0.25">
      <c r="A1175" s="1093"/>
      <c r="B1175" s="1452">
        <v>925</v>
      </c>
      <c r="C1175" s="1097">
        <v>1.010026876081896</v>
      </c>
      <c r="D1175" s="1097">
        <v>0.96860741699453223</v>
      </c>
      <c r="E1175" s="1097">
        <v>1.0241704388655544</v>
      </c>
      <c r="F1175" s="1097">
        <v>1.0068388808283117</v>
      </c>
      <c r="G1175" s="1097">
        <v>0.97157657099864825</v>
      </c>
      <c r="H1175" s="1097">
        <v>0.99512965361151384</v>
      </c>
      <c r="I1175" s="1097">
        <v>1.0054701074833357</v>
      </c>
      <c r="K1175">
        <v>5.2145143676676424</v>
      </c>
      <c r="L1175">
        <v>0</v>
      </c>
      <c r="M1175">
        <v>3.4526181393536946E-3</v>
      </c>
      <c r="N1175">
        <v>0.32174631090182998</v>
      </c>
      <c r="O1175">
        <v>0.14914258207716583</v>
      </c>
      <c r="P1175">
        <v>2.0814951957659124E-2</v>
      </c>
      <c r="Q1175">
        <v>1.3343666393152293E-3</v>
      </c>
      <c r="R1175">
        <v>3.4469000586280513E-3</v>
      </c>
      <c r="S1175">
        <v>0.46498481831567173</v>
      </c>
      <c r="T1175">
        <v>4.0196163859339125</v>
      </c>
      <c r="U1175">
        <v>0</v>
      </c>
      <c r="V1175">
        <v>1.1304767209823818E-2</v>
      </c>
      <c r="W1175">
        <v>0.18857047159950655</v>
      </c>
      <c r="X1175">
        <v>2.7264228389431225E-2</v>
      </c>
      <c r="Y1175">
        <v>9.7412027240533303E-3</v>
      </c>
    </row>
    <row r="1176" spans="1:25" x14ac:dyDescent="0.25">
      <c r="A1176" s="1093"/>
      <c r="B1176" s="1452">
        <v>926</v>
      </c>
      <c r="C1176" s="1097">
        <v>0.97804868587952065</v>
      </c>
      <c r="D1176" s="1097">
        <v>0.98498613211536867</v>
      </c>
      <c r="E1176" s="1097">
        <v>1.0070560864736746</v>
      </c>
      <c r="F1176" s="1097">
        <v>1.0043955339062229</v>
      </c>
      <c r="G1176" s="1097">
        <v>1.0226108576116877</v>
      </c>
      <c r="H1176" s="1097">
        <v>0.96230432666381327</v>
      </c>
      <c r="I1176" s="1097">
        <v>1.031490414075003</v>
      </c>
      <c r="K1176">
        <v>5.2185217345121071</v>
      </c>
      <c r="L1176">
        <v>0</v>
      </c>
      <c r="M1176">
        <v>3.5422358233579512E-3</v>
      </c>
      <c r="N1176">
        <v>0.31377535431075959</v>
      </c>
      <c r="O1176">
        <v>0.15311035999898484</v>
      </c>
      <c r="P1176">
        <v>2.0604190055427359E-2</v>
      </c>
      <c r="Q1176">
        <v>1.3490483261270057E-3</v>
      </c>
      <c r="R1176">
        <v>3.5361544747630814E-3</v>
      </c>
      <c r="S1176">
        <v>0.48342501005938954</v>
      </c>
      <c r="T1176">
        <v>4.0120040891974034</v>
      </c>
      <c r="U1176">
        <v>0</v>
      </c>
      <c r="V1176">
        <v>1.1304767209823813E-2</v>
      </c>
      <c r="W1176">
        <v>0.18601573913852065</v>
      </c>
      <c r="X1176">
        <v>2.6945815045962999E-2</v>
      </c>
      <c r="Y1176">
        <v>9.993442518303244E-3</v>
      </c>
    </row>
    <row r="1177" spans="1:25" x14ac:dyDescent="0.25">
      <c r="A1177" s="1093"/>
      <c r="B1177" s="1452">
        <v>927</v>
      </c>
      <c r="C1177" s="1097">
        <v>1.0133071412520354</v>
      </c>
      <c r="D1177" s="1097">
        <v>1.0195107784111908</v>
      </c>
      <c r="E1177" s="1097">
        <v>0.97858250578014883</v>
      </c>
      <c r="F1177" s="1097">
        <v>0.99909208767097768</v>
      </c>
      <c r="G1177" s="1097">
        <v>0.98106372844343803</v>
      </c>
      <c r="H1177" s="1097">
        <v>0.98820761531531442</v>
      </c>
      <c r="I1177" s="1097">
        <v>1.0310123507293345</v>
      </c>
      <c r="K1177">
        <v>5.1509603606114513</v>
      </c>
      <c r="L1177">
        <v>0</v>
      </c>
      <c r="M1177">
        <v>3.6573372161952033E-3</v>
      </c>
      <c r="N1177">
        <v>0.2977575712543587</v>
      </c>
      <c r="O1177">
        <v>0.14576594268889387</v>
      </c>
      <c r="P1177">
        <v>2.0012490936260806E-2</v>
      </c>
      <c r="Q1177">
        <v>1.2531857733425076E-3</v>
      </c>
      <c r="R1177">
        <v>3.6511904439725856E-3</v>
      </c>
      <c r="S1177">
        <v>0.46614909566861784</v>
      </c>
      <c r="T1177">
        <v>3.9944034867263145</v>
      </c>
      <c r="U1177">
        <v>0</v>
      </c>
      <c r="V1177">
        <v>1.1304767209823813E-2</v>
      </c>
      <c r="W1177">
        <v>0.17996685180577957</v>
      </c>
      <c r="X1177">
        <v>2.4034572370413294E-2</v>
      </c>
      <c r="Y1177">
        <v>1.031854294987008E-2</v>
      </c>
    </row>
    <row r="1178" spans="1:25" x14ac:dyDescent="0.25">
      <c r="A1178" s="1093"/>
      <c r="B1178" s="1452">
        <v>928</v>
      </c>
      <c r="C1178" s="1097">
        <v>0.98189089846114475</v>
      </c>
      <c r="D1178" s="1097">
        <v>0.97036340812660737</v>
      </c>
      <c r="E1178" s="1097">
        <v>1.0130706702736498</v>
      </c>
      <c r="F1178" s="1097">
        <v>0.98782334759692803</v>
      </c>
      <c r="G1178" s="1097">
        <v>1.022394130408786</v>
      </c>
      <c r="H1178" s="1097">
        <v>0.9710789037290164</v>
      </c>
      <c r="I1178" s="1097">
        <v>0.98392486496808107</v>
      </c>
      <c r="K1178">
        <v>5.1201820243649818</v>
      </c>
      <c r="L1178">
        <v>0</v>
      </c>
      <c r="M1178">
        <v>3.4785016152540666E-3</v>
      </c>
      <c r="N1178">
        <v>0.31366185906882521</v>
      </c>
      <c r="O1178">
        <v>0.15072442498422201</v>
      </c>
      <c r="P1178">
        <v>2.0262550541461893E-2</v>
      </c>
      <c r="Q1178">
        <v>1.3587745587555697E-3</v>
      </c>
      <c r="R1178">
        <v>3.47248453220541E-3</v>
      </c>
      <c r="S1178">
        <v>0.45599020318599981</v>
      </c>
      <c r="T1178">
        <v>3.9450649629965806</v>
      </c>
      <c r="U1178">
        <v>0</v>
      </c>
      <c r="V1178">
        <v>1.1304767209823829E-2</v>
      </c>
      <c r="W1178">
        <v>0.1851992064086663</v>
      </c>
      <c r="X1178">
        <v>2.6807786094024229E-2</v>
      </c>
      <c r="Y1178">
        <v>9.813506399665101E-3</v>
      </c>
    </row>
    <row r="1179" spans="1:25" x14ac:dyDescent="0.25">
      <c r="A1179" s="1093"/>
      <c r="B1179" s="1452">
        <v>929</v>
      </c>
      <c r="C1179" s="1097">
        <v>1.0168957782695731</v>
      </c>
      <c r="D1179" s="1097">
        <v>1.0416684293735516</v>
      </c>
      <c r="E1179" s="1097">
        <v>0.97971348022377847</v>
      </c>
      <c r="F1179" s="1097">
        <v>1.019721784162978</v>
      </c>
      <c r="G1179" s="1097">
        <v>1.0118218355408457</v>
      </c>
      <c r="H1179" s="1097">
        <v>0.9871961208908997</v>
      </c>
      <c r="I1179" s="1097">
        <v>0.99476149337264219</v>
      </c>
      <c r="K1179">
        <v>5.2267236622023034</v>
      </c>
      <c r="L1179">
        <v>0</v>
      </c>
      <c r="M1179">
        <v>3.6751952881018454E-3</v>
      </c>
      <c r="N1179">
        <v>0.30022707128932646</v>
      </c>
      <c r="O1179">
        <v>0.14695017400338692</v>
      </c>
      <c r="P1179">
        <v>2.0343531582201126E-2</v>
      </c>
      <c r="Q1179">
        <v>1.2392862479268063E-3</v>
      </c>
      <c r="R1179">
        <v>3.6691370588033275E-3</v>
      </c>
      <c r="S1179">
        <v>0.45389156649463308</v>
      </c>
      <c r="T1179">
        <v>4.0767354883489446</v>
      </c>
      <c r="U1179">
        <v>0</v>
      </c>
      <c r="V1179">
        <v>1.1304767209823811E-2</v>
      </c>
      <c r="W1179">
        <v>0.18131880162001648</v>
      </c>
      <c r="X1179">
        <v>2.4349772181800802E-2</v>
      </c>
      <c r="Y1179">
        <v>1.036926145354098E-2</v>
      </c>
    </row>
    <row r="1180" spans="1:25" x14ac:dyDescent="0.25">
      <c r="A1180" s="1093"/>
      <c r="B1180" s="1452">
        <v>930</v>
      </c>
      <c r="C1180" s="1097">
        <v>1.0091724405845148</v>
      </c>
      <c r="D1180" s="1097">
        <v>0.99711168347786483</v>
      </c>
      <c r="E1180" s="1097">
        <v>0.98504995748729085</v>
      </c>
      <c r="F1180" s="1097">
        <v>0.97338449602560506</v>
      </c>
      <c r="G1180" s="1097">
        <v>1.0162938711663569</v>
      </c>
      <c r="H1180" s="1097">
        <v>1.0129533236476198</v>
      </c>
      <c r="I1180" s="1097">
        <v>0.98201501826513149</v>
      </c>
      <c r="K1180">
        <v>5.0284731902247026</v>
      </c>
      <c r="L1180">
        <v>0</v>
      </c>
      <c r="M1180">
        <v>3.650403504313891E-3</v>
      </c>
      <c r="N1180">
        <v>0.30295021700300362</v>
      </c>
      <c r="O1180">
        <v>0.14369612714828328</v>
      </c>
      <c r="P1180">
        <v>1.953866432109392E-2</v>
      </c>
      <c r="Q1180">
        <v>1.2766906077034082E-3</v>
      </c>
      <c r="R1180">
        <v>3.6442604579154797E-3</v>
      </c>
      <c r="S1180">
        <v>0.44250226924403857</v>
      </c>
      <c r="T1180">
        <v>3.890826542067602</v>
      </c>
      <c r="U1180">
        <v>0</v>
      </c>
      <c r="V1180">
        <v>1.130476720982382E-2</v>
      </c>
      <c r="W1180">
        <v>0.18229676830706676</v>
      </c>
      <c r="X1180">
        <v>2.3788329082291532E-2</v>
      </c>
      <c r="Y1180">
        <v>1.0298958280193289E-2</v>
      </c>
    </row>
    <row r="1181" spans="1:25" x14ac:dyDescent="0.25">
      <c r="A1181" s="1093"/>
      <c r="B1181" s="1452">
        <v>931</v>
      </c>
      <c r="C1181" s="1097">
        <v>1.0098693167408788</v>
      </c>
      <c r="D1181" s="1097">
        <v>1.0157616919687922</v>
      </c>
      <c r="E1181" s="1097">
        <v>1.002325988863876</v>
      </c>
      <c r="F1181" s="1097">
        <v>0.97785322579231615</v>
      </c>
      <c r="G1181" s="1097">
        <v>1.0432522759130058</v>
      </c>
      <c r="H1181" s="1097">
        <v>1.0035010811682312</v>
      </c>
      <c r="I1181" s="1097">
        <v>1.0114045302072927</v>
      </c>
      <c r="K1181">
        <v>5.0542575542874335</v>
      </c>
      <c r="L1181">
        <v>0</v>
      </c>
      <c r="M1181">
        <v>3.4749704415641021E-3</v>
      </c>
      <c r="N1181">
        <v>0.30354225658358647</v>
      </c>
      <c r="O1181">
        <v>0.14272820123976301</v>
      </c>
      <c r="P1181">
        <v>1.9916464289198403E-2</v>
      </c>
      <c r="Q1181">
        <v>1.2853541445887393E-3</v>
      </c>
      <c r="R1181">
        <v>3.4690944689679381E-3</v>
      </c>
      <c r="S1181">
        <v>0.45377247020571204</v>
      </c>
      <c r="T1181">
        <v>3.9065617060002062</v>
      </c>
      <c r="U1181">
        <v>0</v>
      </c>
      <c r="V1181">
        <v>1.1304767209823808E-2</v>
      </c>
      <c r="W1181">
        <v>0.18052361901261477</v>
      </c>
      <c r="X1181">
        <v>2.4824665752397303E-2</v>
      </c>
      <c r="Y1181">
        <v>9.8039258221369208E-3</v>
      </c>
    </row>
    <row r="1182" spans="1:25" x14ac:dyDescent="0.25">
      <c r="A1182" s="1093"/>
      <c r="B1182" s="1452">
        <v>932</v>
      </c>
      <c r="C1182" s="1097">
        <v>1.0322422424604625</v>
      </c>
      <c r="D1182" s="1097">
        <v>1.0146918087965691</v>
      </c>
      <c r="E1182" s="1097">
        <v>1.0042743731250927</v>
      </c>
      <c r="F1182" s="1097">
        <v>1.0002603675087716</v>
      </c>
      <c r="G1182" s="1097">
        <v>1.0218788563817929</v>
      </c>
      <c r="H1182" s="1097">
        <v>0.99884725975933841</v>
      </c>
      <c r="I1182" s="1097">
        <v>0.99382217124428252</v>
      </c>
      <c r="K1182">
        <v>5.1331633824639384</v>
      </c>
      <c r="L1182">
        <v>0</v>
      </c>
      <c r="M1182">
        <v>3.4485693369074306E-3</v>
      </c>
      <c r="N1182">
        <v>0.30298886727069591</v>
      </c>
      <c r="O1182">
        <v>0.14284234450031819</v>
      </c>
      <c r="P1182">
        <v>2.0307279327934621E-2</v>
      </c>
      <c r="Q1182">
        <v>1.2601234604702745E-3</v>
      </c>
      <c r="R1182">
        <v>3.4428418580925795E-3</v>
      </c>
      <c r="S1182">
        <v>0.44383745685490672</v>
      </c>
      <c r="T1182">
        <v>3.9958348003706941</v>
      </c>
      <c r="U1182">
        <v>0</v>
      </c>
      <c r="V1182">
        <v>1.1304767209823825E-2</v>
      </c>
      <c r="W1182">
        <v>0.17995790011799481</v>
      </c>
      <c r="X1182">
        <v>2.5105836890400357E-2</v>
      </c>
      <c r="Y1182">
        <v>9.7297339395111346E-3</v>
      </c>
    </row>
    <row r="1183" spans="1:25" x14ac:dyDescent="0.25">
      <c r="A1183" s="1093"/>
      <c r="B1183" s="1452">
        <v>933</v>
      </c>
      <c r="C1183" s="1097">
        <v>0.96245297060554902</v>
      </c>
      <c r="D1183" s="1097">
        <v>1.0174785132350976</v>
      </c>
      <c r="E1183" s="1097">
        <v>0.96758553774199318</v>
      </c>
      <c r="F1183" s="1097">
        <v>1.0365367334979707</v>
      </c>
      <c r="G1183" s="1097">
        <v>0.99354905231355872</v>
      </c>
      <c r="H1183" s="1097">
        <v>1.0158840024796492</v>
      </c>
      <c r="I1183" s="1097">
        <v>0.99817488178094194</v>
      </c>
      <c r="K1183">
        <v>5.4043921545612896</v>
      </c>
      <c r="L1183">
        <v>0</v>
      </c>
      <c r="M1183">
        <v>4.2056913238144363E-3</v>
      </c>
      <c r="N1183">
        <v>0.33143747971243764</v>
      </c>
      <c r="O1183">
        <v>0.15967397910829392</v>
      </c>
      <c r="P1183">
        <v>2.0647469117050569E-2</v>
      </c>
      <c r="Q1183">
        <v>1.3078551512103781E-3</v>
      </c>
      <c r="R1183">
        <v>4.1990635074995062E-3</v>
      </c>
      <c r="S1183">
        <v>0.49580556041759738</v>
      </c>
      <c r="T1183">
        <v>4.1455576134649146</v>
      </c>
      <c r="U1183">
        <v>0</v>
      </c>
      <c r="V1183">
        <v>1.130476720982383E-2</v>
      </c>
      <c r="W1183">
        <v>0.20184544432520687</v>
      </c>
      <c r="X1183">
        <v>2.4951739815536576E-2</v>
      </c>
      <c r="Y1183">
        <v>1.1866874055526831E-2</v>
      </c>
    </row>
    <row r="1184" spans="1:25" x14ac:dyDescent="0.25">
      <c r="A1184" s="1093"/>
      <c r="B1184" s="1452">
        <v>934</v>
      </c>
      <c r="C1184" s="1097">
        <v>1.0321267969929149</v>
      </c>
      <c r="D1184" s="1097">
        <v>0.98961016405837476</v>
      </c>
      <c r="E1184" s="1097">
        <v>0.98511469945267849</v>
      </c>
      <c r="F1184" s="1097">
        <v>1.0104006584816352</v>
      </c>
      <c r="G1184" s="1097">
        <v>1.0088139485150582</v>
      </c>
      <c r="H1184" s="1097">
        <v>1.0088655693639574</v>
      </c>
      <c r="I1184" s="1097">
        <v>0.98523597780641448</v>
      </c>
      <c r="K1184">
        <v>5.192434107008947</v>
      </c>
      <c r="L1184">
        <v>0</v>
      </c>
      <c r="M1184">
        <v>3.7004277562781044E-3</v>
      </c>
      <c r="N1184">
        <v>0.30717767186521577</v>
      </c>
      <c r="O1184">
        <v>0.1462827759219941</v>
      </c>
      <c r="P1184">
        <v>2.0228777991450654E-2</v>
      </c>
      <c r="Q1184">
        <v>1.2521437269187199E-3</v>
      </c>
      <c r="R1184">
        <v>3.694403978913284E-3</v>
      </c>
      <c r="S1184">
        <v>0.44778685189612505</v>
      </c>
      <c r="T1184">
        <v>4.038779809766007</v>
      </c>
      <c r="U1184">
        <v>0</v>
      </c>
      <c r="V1184">
        <v>1.1304767209823817E-2</v>
      </c>
      <c r="W1184">
        <v>0.18483241967921663</v>
      </c>
      <c r="X1184">
        <v>2.4354245030750937E-2</v>
      </c>
      <c r="Y1184">
        <v>1.0440667698809815E-2</v>
      </c>
    </row>
    <row r="1185" spans="1:25" x14ac:dyDescent="0.25">
      <c r="A1185" s="1093"/>
      <c r="B1185" s="1452">
        <v>935</v>
      </c>
      <c r="C1185" s="1097">
        <v>1.0318668871456325</v>
      </c>
      <c r="D1185" s="1097">
        <v>1.0260870724092517</v>
      </c>
      <c r="E1185" s="1097">
        <v>1.0333851888572836</v>
      </c>
      <c r="F1185" s="1097">
        <v>0.96124524960863222</v>
      </c>
      <c r="G1185" s="1097">
        <v>0.99955306167514624</v>
      </c>
      <c r="H1185" s="1097">
        <v>0.95219417630969461</v>
      </c>
      <c r="I1185" s="1097">
        <v>0.99607916922610329</v>
      </c>
      <c r="K1185">
        <v>4.9090293850355291</v>
      </c>
      <c r="L1185">
        <v>0</v>
      </c>
      <c r="M1185">
        <v>2.9589162716721468E-3</v>
      </c>
      <c r="N1185">
        <v>0.28330997451729434</v>
      </c>
      <c r="O1185">
        <v>0.13596139372781876</v>
      </c>
      <c r="P1185">
        <v>1.9898454685098411E-2</v>
      </c>
      <c r="Q1185">
        <v>1.2862861037132339E-3</v>
      </c>
      <c r="R1185">
        <v>2.9535523752779137E-3</v>
      </c>
      <c r="S1185">
        <v>0.42146651241368566</v>
      </c>
      <c r="T1185">
        <v>3.8364953378197213</v>
      </c>
      <c r="U1185">
        <v>0</v>
      </c>
      <c r="V1185">
        <v>1.1304767209823824E-2</v>
      </c>
      <c r="W1185">
        <v>0.16503242974277146</v>
      </c>
      <c r="X1185">
        <v>2.5932628206401992E-2</v>
      </c>
      <c r="Y1185">
        <v>8.3469645055920215E-3</v>
      </c>
    </row>
    <row r="1186" spans="1:25" x14ac:dyDescent="0.25">
      <c r="A1186" s="1093"/>
      <c r="B1186" s="1452">
        <v>936</v>
      </c>
      <c r="C1186" s="1097">
        <v>0.96226679058057152</v>
      </c>
      <c r="D1186" s="1097">
        <v>1.0193891686814951</v>
      </c>
      <c r="E1186" s="1097">
        <v>0.98134950135736965</v>
      </c>
      <c r="F1186" s="1097">
        <v>0.97065836685420759</v>
      </c>
      <c r="G1186" s="1097">
        <v>0.97583664271275139</v>
      </c>
      <c r="H1186" s="1097">
        <v>0.99756696193230154</v>
      </c>
      <c r="I1186" s="1097">
        <v>1.0170191391069197</v>
      </c>
      <c r="K1186">
        <v>5.0652905680523252</v>
      </c>
      <c r="L1186">
        <v>0</v>
      </c>
      <c r="M1186">
        <v>3.7556444909745126E-3</v>
      </c>
      <c r="N1186">
        <v>0.308271815454152</v>
      </c>
      <c r="O1186">
        <v>0.14905921330050806</v>
      </c>
      <c r="P1186">
        <v>1.9580501077850521E-2</v>
      </c>
      <c r="Q1186">
        <v>1.3228935857749575E-3</v>
      </c>
      <c r="R1186">
        <v>3.7492088661627261E-3</v>
      </c>
      <c r="S1186">
        <v>0.47445046748276326</v>
      </c>
      <c r="T1186">
        <v>3.8803841443079392</v>
      </c>
      <c r="U1186">
        <v>0</v>
      </c>
      <c r="V1186">
        <v>1.1304767209823806E-2</v>
      </c>
      <c r="W1186">
        <v>0.18596884350164244</v>
      </c>
      <c r="X1186">
        <v>2.4358807262353014E-2</v>
      </c>
      <c r="Y1186">
        <v>1.0595550494331944E-2</v>
      </c>
    </row>
    <row r="1187" spans="1:25" x14ac:dyDescent="0.25">
      <c r="A1187" s="1093"/>
      <c r="B1187" s="1452">
        <v>937</v>
      </c>
      <c r="C1187" s="1097">
        <v>0.97191447255863372</v>
      </c>
      <c r="D1187" s="1097">
        <v>0.99407856454537546</v>
      </c>
      <c r="E1187" s="1097">
        <v>0.99117013405082699</v>
      </c>
      <c r="F1187" s="1097">
        <v>0.98653567443528956</v>
      </c>
      <c r="G1187" s="1097">
        <v>0.97776494914759804</v>
      </c>
      <c r="H1187" s="1097">
        <v>0.97613197440856359</v>
      </c>
      <c r="I1187" s="1097">
        <v>1.0009746663400827</v>
      </c>
      <c r="K1187">
        <v>5.1236519436979311</v>
      </c>
      <c r="L1187">
        <v>0</v>
      </c>
      <c r="M1187">
        <v>3.6589624270032348E-3</v>
      </c>
      <c r="N1187">
        <v>0.30920977581067793</v>
      </c>
      <c r="O1187">
        <v>0.15123164474557468</v>
      </c>
      <c r="P1187">
        <v>1.9973209974663054E-2</v>
      </c>
      <c r="Q1187">
        <v>1.334281642044182E-3</v>
      </c>
      <c r="R1187">
        <v>3.6526577438353207E-3</v>
      </c>
      <c r="S1187">
        <v>0.46687980529973039</v>
      </c>
      <c r="T1187">
        <v>3.9426323301804458</v>
      </c>
      <c r="U1187">
        <v>0</v>
      </c>
      <c r="V1187">
        <v>1.1304767209823806E-2</v>
      </c>
      <c r="W1187">
        <v>0.18528911058446734</v>
      </c>
      <c r="X1187">
        <v>2.5480633282368527E-2</v>
      </c>
      <c r="Y1187">
        <v>1.0322689651305212E-2</v>
      </c>
    </row>
    <row r="1188" spans="1:25" x14ac:dyDescent="0.25">
      <c r="A1188" s="1093"/>
      <c r="B1188" s="1452">
        <v>938</v>
      </c>
      <c r="C1188" s="1097">
        <v>1.026703789252573</v>
      </c>
      <c r="D1188" s="1097">
        <v>1.0096312009178507</v>
      </c>
      <c r="E1188" s="1097">
        <v>0.99808657468327511</v>
      </c>
      <c r="F1188" s="1097">
        <v>1.0074175525026714</v>
      </c>
      <c r="G1188" s="1097">
        <v>1.0408733167542916</v>
      </c>
      <c r="H1188" s="1097">
        <v>0.99810703322967131</v>
      </c>
      <c r="I1188" s="1097">
        <v>0.97180164060831864</v>
      </c>
      <c r="K1188">
        <v>5.1653151792464378</v>
      </c>
      <c r="L1188">
        <v>0</v>
      </c>
      <c r="M1188">
        <v>3.5422051227655569E-3</v>
      </c>
      <c r="N1188">
        <v>0.30556545526792062</v>
      </c>
      <c r="O1188">
        <v>0.14509840766724799</v>
      </c>
      <c r="P1188">
        <v>2.032650026586624E-2</v>
      </c>
      <c r="Q1188">
        <v>1.2627480929903604E-3</v>
      </c>
      <c r="R1188">
        <v>3.5363595257972566E-3</v>
      </c>
      <c r="S1188">
        <v>0.43925878219174147</v>
      </c>
      <c r="T1188">
        <v>4.0252085094305023</v>
      </c>
      <c r="U1188">
        <v>0</v>
      </c>
      <c r="V1188">
        <v>1.130476720982382E-2</v>
      </c>
      <c r="W1188">
        <v>0.18224823999938175</v>
      </c>
      <c r="X1188">
        <v>2.5053592709747795E-2</v>
      </c>
      <c r="Y1188">
        <v>9.9940220081807252E-3</v>
      </c>
    </row>
    <row r="1189" spans="1:25" x14ac:dyDescent="0.25">
      <c r="A1189" s="1093"/>
      <c r="B1189" s="1452">
        <v>939</v>
      </c>
      <c r="C1189" s="1097">
        <v>1.0139897992306115</v>
      </c>
      <c r="D1189" s="1097">
        <v>0.99893250903541286</v>
      </c>
      <c r="E1189" s="1097">
        <v>0.97750315408039079</v>
      </c>
      <c r="F1189" s="1097">
        <v>1.0047927213636925</v>
      </c>
      <c r="G1189" s="1097">
        <v>1.0402161331574198</v>
      </c>
      <c r="H1189" s="1097">
        <v>0.99057370280293267</v>
      </c>
      <c r="I1189" s="1097">
        <v>0.9940807238927819</v>
      </c>
      <c r="K1189">
        <v>5.1707826901428513</v>
      </c>
      <c r="L1189">
        <v>0</v>
      </c>
      <c r="M1189">
        <v>3.7230942116916904E-3</v>
      </c>
      <c r="N1189">
        <v>0.30214578558645933</v>
      </c>
      <c r="O1189">
        <v>0.14772851459878161</v>
      </c>
      <c r="P1189">
        <v>2.0042114718536924E-2</v>
      </c>
      <c r="Q1189">
        <v>1.2614145591433213E-3</v>
      </c>
      <c r="R1189">
        <v>3.7168872270021843E-3</v>
      </c>
      <c r="S1189">
        <v>0.45352231602450982</v>
      </c>
      <c r="T1189">
        <v>4.0173323768588816</v>
      </c>
      <c r="U1189">
        <v>0</v>
      </c>
      <c r="V1189">
        <v>1.1304767209823818E-2</v>
      </c>
      <c r="W1189">
        <v>0.18275439759852821</v>
      </c>
      <c r="X1189">
        <v>2.4193002898449851E-2</v>
      </c>
      <c r="Y1189">
        <v>1.0504207074423837E-2</v>
      </c>
    </row>
    <row r="1190" spans="1:25" x14ac:dyDescent="0.25">
      <c r="A1190" s="1093"/>
      <c r="B1190" s="1452">
        <v>940</v>
      </c>
      <c r="C1190" s="1097">
        <v>0.98089040508254433</v>
      </c>
      <c r="D1190" s="1097">
        <v>1.0390797023731877</v>
      </c>
      <c r="E1190" s="1097">
        <v>1.0343334841252145</v>
      </c>
      <c r="F1190" s="1097">
        <v>0.97461212647834172</v>
      </c>
      <c r="G1190" s="1097">
        <v>1.0125002209565588</v>
      </c>
      <c r="H1190" s="1097">
        <v>1.0030692418060154</v>
      </c>
      <c r="I1190" s="1097">
        <v>1.0184286532999867</v>
      </c>
      <c r="K1190">
        <v>5.071846259098729</v>
      </c>
      <c r="L1190">
        <v>0</v>
      </c>
      <c r="M1190">
        <v>3.3011934311587454E-3</v>
      </c>
      <c r="N1190">
        <v>0.31700610389875711</v>
      </c>
      <c r="O1190">
        <v>0.14426227460586144</v>
      </c>
      <c r="P1190">
        <v>2.0372649988280662E-2</v>
      </c>
      <c r="Q1190">
        <v>1.347411876328075E-3</v>
      </c>
      <c r="R1190">
        <v>3.2955903622726552E-3</v>
      </c>
      <c r="S1190">
        <v>0.46696184244238542</v>
      </c>
      <c r="T1190">
        <v>3.8897306644164891</v>
      </c>
      <c r="U1190">
        <v>0</v>
      </c>
      <c r="V1190">
        <v>1.130476720982383E-2</v>
      </c>
      <c r="W1190">
        <v>0.18454530337055264</v>
      </c>
      <c r="X1190">
        <v>2.7007254388928308E-2</v>
      </c>
      <c r="Y1190">
        <v>9.313589970204145E-3</v>
      </c>
    </row>
    <row r="1191" spans="1:25" x14ac:dyDescent="0.25">
      <c r="A1191" s="1093"/>
      <c r="B1191" s="1452">
        <v>941</v>
      </c>
      <c r="C1191" s="1097">
        <v>0.98472317026657519</v>
      </c>
      <c r="D1191" s="1097">
        <v>1.0117302063078244</v>
      </c>
      <c r="E1191" s="1097">
        <v>0.98582948748585686</v>
      </c>
      <c r="F1191" s="1097">
        <v>1.0215522477444643</v>
      </c>
      <c r="G1191" s="1097">
        <v>1.0050276689496891</v>
      </c>
      <c r="H1191" s="1097">
        <v>1.0037363939970136</v>
      </c>
      <c r="I1191" s="1097">
        <v>0.98740120926324904</v>
      </c>
      <c r="K1191">
        <v>5.2924470304302256</v>
      </c>
      <c r="L1191">
        <v>0</v>
      </c>
      <c r="M1191">
        <v>3.861214150675136E-3</v>
      </c>
      <c r="N1191">
        <v>0.32120812419911471</v>
      </c>
      <c r="O1191">
        <v>0.15363167803003963</v>
      </c>
      <c r="P1191">
        <v>2.054752514165115E-2</v>
      </c>
      <c r="Q1191">
        <v>1.301671429531648E-3</v>
      </c>
      <c r="R1191">
        <v>3.8549653693957871E-3</v>
      </c>
      <c r="S1191">
        <v>0.47170535302968641</v>
      </c>
      <c r="T1191">
        <v>4.0832627088989257</v>
      </c>
      <c r="U1191">
        <v>0</v>
      </c>
      <c r="V1191">
        <v>1.1304767209823822E-2</v>
      </c>
      <c r="W1191">
        <v>0.19318043196008525</v>
      </c>
      <c r="X1191">
        <v>2.5416592866051451E-2</v>
      </c>
      <c r="Y1191">
        <v>1.0894426446595638E-2</v>
      </c>
    </row>
    <row r="1192" spans="1:25" x14ac:dyDescent="0.25">
      <c r="A1192" s="1093"/>
      <c r="B1192" s="1452">
        <v>942</v>
      </c>
      <c r="C1192" s="1097">
        <v>0.99655707972218277</v>
      </c>
      <c r="D1192" s="1097">
        <v>1.0241165135107517</v>
      </c>
      <c r="E1192" s="1097">
        <v>0.99436919403809687</v>
      </c>
      <c r="F1192" s="1097">
        <v>1.0098490584041524</v>
      </c>
      <c r="G1192" s="1097">
        <v>1.0081109431918776</v>
      </c>
      <c r="H1192" s="1097">
        <v>1.0345149831896283</v>
      </c>
      <c r="I1192" s="1097">
        <v>0.9953341372412462</v>
      </c>
      <c r="K1192">
        <v>5.2413938200533527</v>
      </c>
      <c r="L1192">
        <v>0</v>
      </c>
      <c r="M1192">
        <v>3.7996610348786913E-3</v>
      </c>
      <c r="N1192">
        <v>0.32420333317100786</v>
      </c>
      <c r="O1192">
        <v>0.14910099344057051</v>
      </c>
      <c r="P1192">
        <v>2.0455372350343549E-2</v>
      </c>
      <c r="Q1192">
        <v>1.2894310227983326E-3</v>
      </c>
      <c r="R1192">
        <v>3.7936257868993804E-3</v>
      </c>
      <c r="S1192">
        <v>0.46998287672223799</v>
      </c>
      <c r="T1192">
        <v>4.03539592519222</v>
      </c>
      <c r="U1192">
        <v>0</v>
      </c>
      <c r="V1192">
        <v>1.1304767209823808E-2</v>
      </c>
      <c r="W1192">
        <v>0.19385210384178853</v>
      </c>
      <c r="X1192">
        <v>2.5093976247135226E-2</v>
      </c>
      <c r="Y1192">
        <v>1.0721076103405209E-2</v>
      </c>
    </row>
    <row r="1193" spans="1:25" x14ac:dyDescent="0.25">
      <c r="A1193" s="1093"/>
      <c r="B1193" s="1452">
        <v>943</v>
      </c>
      <c r="C1193" s="1097">
        <v>0.97778450943632134</v>
      </c>
      <c r="D1193" s="1097">
        <v>0.98550534533869238</v>
      </c>
      <c r="E1193" s="1097">
        <v>0.98024473419246094</v>
      </c>
      <c r="F1193" s="1097">
        <v>1.0187684454049495</v>
      </c>
      <c r="G1193" s="1097">
        <v>0.99430566331612991</v>
      </c>
      <c r="H1193" s="1097">
        <v>1.0037625066557569</v>
      </c>
      <c r="I1193" s="1097">
        <v>1.0060771579345491</v>
      </c>
      <c r="K1193">
        <v>5.3043233796168554</v>
      </c>
      <c r="L1193">
        <v>0</v>
      </c>
      <c r="M1193">
        <v>3.9653318769916329E-3</v>
      </c>
      <c r="N1193">
        <v>0.32444775836845929</v>
      </c>
      <c r="O1193">
        <v>0.15609259368049919</v>
      </c>
      <c r="P1193">
        <v>2.0475654377833389E-2</v>
      </c>
      <c r="Q1193">
        <v>1.3183581378301949E-3</v>
      </c>
      <c r="R1193">
        <v>3.9588972578185194E-3</v>
      </c>
      <c r="S1193">
        <v>0.48541616712643915</v>
      </c>
      <c r="T1193">
        <v>4.0728555546933602</v>
      </c>
      <c r="U1193">
        <v>0</v>
      </c>
      <c r="V1193">
        <v>1.130476720982383E-2</v>
      </c>
      <c r="W1193">
        <v>0.19587530779234003</v>
      </c>
      <c r="X1193">
        <v>2.53555069513367E-2</v>
      </c>
      <c r="Y1193">
        <v>1.1188145898102592E-2</v>
      </c>
    </row>
    <row r="1194" spans="1:25" x14ac:dyDescent="0.25">
      <c r="A1194" s="1093"/>
      <c r="B1194" s="1452">
        <v>944</v>
      </c>
      <c r="C1194" s="1097">
        <v>0.99988917103110286</v>
      </c>
      <c r="D1194" s="1097">
        <v>0.97957626908492046</v>
      </c>
      <c r="E1194" s="1097">
        <v>0.99562923972828132</v>
      </c>
      <c r="F1194" s="1097">
        <v>1.0283722482510282</v>
      </c>
      <c r="G1194" s="1097">
        <v>1.0227140477092853</v>
      </c>
      <c r="H1194" s="1097">
        <v>0.99546963832842195</v>
      </c>
      <c r="I1194" s="1097">
        <v>1.0066913304064589</v>
      </c>
      <c r="K1194">
        <v>5.3266244969182743</v>
      </c>
      <c r="L1194">
        <v>0</v>
      </c>
      <c r="M1194">
        <v>3.7673879213033041E-3</v>
      </c>
      <c r="N1194">
        <v>0.3226419242577761</v>
      </c>
      <c r="O1194">
        <v>0.15400919050467793</v>
      </c>
      <c r="P1194">
        <v>2.0844373075287987E-2</v>
      </c>
      <c r="Q1194">
        <v>1.3096141641433495E-3</v>
      </c>
      <c r="R1194">
        <v>3.7612810559818554E-3</v>
      </c>
      <c r="S1194">
        <v>0.47767947857242488</v>
      </c>
      <c r="T1194">
        <v>4.1092522353024812</v>
      </c>
      <c r="U1194">
        <v>0</v>
      </c>
      <c r="V1194">
        <v>1.1304767209823817E-2</v>
      </c>
      <c r="W1194">
        <v>0.1927537008058493</v>
      </c>
      <c r="X1194">
        <v>2.6205652466698093E-2</v>
      </c>
      <c r="Y1194">
        <v>1.0629667424428895E-2</v>
      </c>
    </row>
    <row r="1195" spans="1:25" x14ac:dyDescent="0.25">
      <c r="A1195" s="1093"/>
      <c r="B1195" s="1452">
        <v>945</v>
      </c>
      <c r="C1195" s="1097">
        <v>0.95795159251300643</v>
      </c>
      <c r="D1195" s="1097">
        <v>1.0404769437122983</v>
      </c>
      <c r="E1195" s="1097">
        <v>1.0134180441701135</v>
      </c>
      <c r="F1195" s="1097">
        <v>1.0136013091646867</v>
      </c>
      <c r="G1195" s="1097">
        <v>1.0043002641493204</v>
      </c>
      <c r="H1195" s="1097">
        <v>1.012224871366123</v>
      </c>
      <c r="I1195" s="1097">
        <v>0.97986894014992476</v>
      </c>
      <c r="K1195">
        <v>5.2823242153401848</v>
      </c>
      <c r="L1195">
        <v>0</v>
      </c>
      <c r="M1195">
        <v>3.7056646603475648E-3</v>
      </c>
      <c r="N1195">
        <v>0.3345269405363317</v>
      </c>
      <c r="O1195">
        <v>0.15415002092554586</v>
      </c>
      <c r="P1195">
        <v>2.0837363573620139E-2</v>
      </c>
      <c r="Q1195">
        <v>1.354802744325313E-3</v>
      </c>
      <c r="R1195">
        <v>3.6996713315411759E-3</v>
      </c>
      <c r="S1195">
        <v>0.47709190745676106</v>
      </c>
      <c r="T1195">
        <v>4.0479703429211931</v>
      </c>
      <c r="U1195">
        <v>0</v>
      </c>
      <c r="V1195">
        <v>1.1304767209823836E-2</v>
      </c>
      <c r="W1195">
        <v>0.1974728774167443</v>
      </c>
      <c r="X1195">
        <v>2.7165632245160096E-2</v>
      </c>
      <c r="Y1195">
        <v>1.0455553639479585E-2</v>
      </c>
    </row>
    <row r="1196" spans="1:25" x14ac:dyDescent="0.25">
      <c r="A1196" s="1093"/>
      <c r="B1196" s="1452">
        <v>946</v>
      </c>
      <c r="C1196" s="1097">
        <v>0.97580603601580507</v>
      </c>
      <c r="D1196" s="1097">
        <v>1.0265025971075912</v>
      </c>
      <c r="E1196" s="1097">
        <v>0.9922314051668808</v>
      </c>
      <c r="F1196" s="1097">
        <v>1.0170524785819273</v>
      </c>
      <c r="G1196" s="1097">
        <v>1.0005495756121829</v>
      </c>
      <c r="H1196" s="1097">
        <v>1.0207324475340382</v>
      </c>
      <c r="I1196" s="1097">
        <v>1.0234981389022635</v>
      </c>
      <c r="K1196">
        <v>5.3057171041054287</v>
      </c>
      <c r="L1196">
        <v>0</v>
      </c>
      <c r="M1196">
        <v>3.8698079583810775E-3</v>
      </c>
      <c r="N1196">
        <v>0.3280993626484468</v>
      </c>
      <c r="O1196">
        <v>0.15327656163794698</v>
      </c>
      <c r="P1196">
        <v>2.0660704466287372E-2</v>
      </c>
      <c r="Q1196">
        <v>1.3132077132328966E-3</v>
      </c>
      <c r="R1196">
        <v>3.8636223460411035E-3</v>
      </c>
      <c r="S1196">
        <v>0.4935777225084928</v>
      </c>
      <c r="T1196">
        <v>4.064454913222848</v>
      </c>
      <c r="U1196">
        <v>0</v>
      </c>
      <c r="V1196">
        <v>1.1304767209823808E-2</v>
      </c>
      <c r="W1196">
        <v>0.19646662887336269</v>
      </c>
      <c r="X1196">
        <v>2.5650529713801159E-2</v>
      </c>
      <c r="Y1196">
        <v>1.0918891723524206E-2</v>
      </c>
    </row>
    <row r="1197" spans="1:25" x14ac:dyDescent="0.25">
      <c r="A1197" s="1093"/>
      <c r="B1197" s="1452">
        <v>947</v>
      </c>
      <c r="C1197" s="1097">
        <v>1.0102736314503953</v>
      </c>
      <c r="D1197" s="1097">
        <v>0.99816704638660969</v>
      </c>
      <c r="E1197" s="1097">
        <v>1.0000711823850656</v>
      </c>
      <c r="F1197" s="1097">
        <v>0.98801277326857428</v>
      </c>
      <c r="G1197" s="1097">
        <v>1.0047899076920099</v>
      </c>
      <c r="H1197" s="1097">
        <v>0.99333515536147521</v>
      </c>
      <c r="I1197" s="1097">
        <v>0.99075611875822045</v>
      </c>
      <c r="K1197">
        <v>5.0948890246165668</v>
      </c>
      <c r="L1197">
        <v>0</v>
      </c>
      <c r="M1197">
        <v>3.5150750387901966E-3</v>
      </c>
      <c r="N1197">
        <v>0.30500118081254884</v>
      </c>
      <c r="O1197">
        <v>0.14522587777497695</v>
      </c>
      <c r="P1197">
        <v>2.0042148808824389E-2</v>
      </c>
      <c r="Q1197">
        <v>1.2913554337067436E-3</v>
      </c>
      <c r="R1197">
        <v>3.5091320627731403E-3</v>
      </c>
      <c r="S1197">
        <v>0.44788991087344787</v>
      </c>
      <c r="T1197">
        <v>3.9474290401222851</v>
      </c>
      <c r="U1197">
        <v>0</v>
      </c>
      <c r="V1197">
        <v>1.1304767209823813E-2</v>
      </c>
      <c r="W1197">
        <v>0.18166769489884774</v>
      </c>
      <c r="X1197">
        <v>2.5125916539167507E-2</v>
      </c>
      <c r="Y1197">
        <v>9.9170751189561097E-3</v>
      </c>
    </row>
    <row r="1198" spans="1:25" x14ac:dyDescent="0.25">
      <c r="A1198" s="1093"/>
      <c r="B1198" s="1452">
        <v>948</v>
      </c>
      <c r="C1198" s="1097">
        <v>1.0164326288552448</v>
      </c>
      <c r="D1198" s="1097">
        <v>0.9811697010632775</v>
      </c>
      <c r="E1198" s="1097">
        <v>0.99914997118003124</v>
      </c>
      <c r="F1198" s="1097">
        <v>0.96758131437918893</v>
      </c>
      <c r="G1198" s="1097">
        <v>0.98318217610454273</v>
      </c>
      <c r="H1198" s="1097">
        <v>1.0245131847121607</v>
      </c>
      <c r="I1198" s="1097">
        <v>1.0073428365136528</v>
      </c>
      <c r="K1198">
        <v>5.0186433667035102</v>
      </c>
      <c r="L1198">
        <v>0</v>
      </c>
      <c r="M1198">
        <v>3.5602722134074794E-3</v>
      </c>
      <c r="N1198">
        <v>0.30808604562906389</v>
      </c>
      <c r="O1198">
        <v>0.14236001423940428</v>
      </c>
      <c r="P1198">
        <v>1.9676508006305167E-2</v>
      </c>
      <c r="Q1198">
        <v>1.2913586933113476E-3</v>
      </c>
      <c r="R1198">
        <v>3.5543129782803192E-3</v>
      </c>
      <c r="S1198">
        <v>0.45198500861203333</v>
      </c>
      <c r="T1198">
        <v>3.8659107173640095</v>
      </c>
      <c r="U1198">
        <v>0</v>
      </c>
      <c r="V1198">
        <v>1.1304767209823824E-2</v>
      </c>
      <c r="W1198">
        <v>0.1836194516208382</v>
      </c>
      <c r="X1198">
        <v>2.4370694728266834E-2</v>
      </c>
      <c r="Y1198">
        <v>1.0044759835579115E-2</v>
      </c>
    </row>
    <row r="1199" spans="1:25" x14ac:dyDescent="0.25">
      <c r="A1199" s="1093"/>
      <c r="B1199" s="1452">
        <v>949</v>
      </c>
      <c r="C1199" s="1097">
        <v>0.99770920729292778</v>
      </c>
      <c r="D1199" s="1097">
        <v>0.99794634052244691</v>
      </c>
      <c r="E1199" s="1097">
        <v>0.96862936510016695</v>
      </c>
      <c r="F1199" s="1097">
        <v>1.0149261075588758</v>
      </c>
      <c r="G1199" s="1097">
        <v>0.99975280783651033</v>
      </c>
      <c r="H1199" s="1097">
        <v>0.99443120367898674</v>
      </c>
      <c r="I1199" s="1097">
        <v>1.0101078516500916</v>
      </c>
      <c r="K1199">
        <v>5.2492956736576062</v>
      </c>
      <c r="L1199">
        <v>0</v>
      </c>
      <c r="M1199">
        <v>3.9104383057735363E-3</v>
      </c>
      <c r="N1199">
        <v>0.30910523643888438</v>
      </c>
      <c r="O1199">
        <v>0.15196451392804008</v>
      </c>
      <c r="P1199">
        <v>2.0178894982926413E-2</v>
      </c>
      <c r="Q1199">
        <v>1.2726204988875306E-3</v>
      </c>
      <c r="R1199">
        <v>3.9040090107513459E-3</v>
      </c>
      <c r="S1199">
        <v>0.47314550826167739</v>
      </c>
      <c r="T1199">
        <v>4.0589924001405997</v>
      </c>
      <c r="U1199">
        <v>0</v>
      </c>
      <c r="V1199">
        <v>1.1304767209823827E-2</v>
      </c>
      <c r="W1199">
        <v>0.18810943277531178</v>
      </c>
      <c r="X1199">
        <v>2.4195701195101001E-2</v>
      </c>
      <c r="Y1199">
        <v>1.1033027521371336E-2</v>
      </c>
    </row>
    <row r="1200" spans="1:25" x14ac:dyDescent="0.25">
      <c r="A1200" s="1093"/>
      <c r="B1200" s="1452">
        <v>950</v>
      </c>
      <c r="C1200" s="1097">
        <v>1.0003667057459731</v>
      </c>
      <c r="D1200" s="1097">
        <v>1.0320996004168734</v>
      </c>
      <c r="E1200" s="1097">
        <v>0.99410792308721396</v>
      </c>
      <c r="F1200" s="1097">
        <v>0.98838500805596941</v>
      </c>
      <c r="G1200" s="1097">
        <v>1.0066666153958879</v>
      </c>
      <c r="H1200" s="1097">
        <v>1.0019262837551597</v>
      </c>
      <c r="I1200" s="1097">
        <v>0.99395094079063251</v>
      </c>
      <c r="K1200">
        <v>5.1020436346253124</v>
      </c>
      <c r="L1200">
        <v>0</v>
      </c>
      <c r="M1200">
        <v>3.5790009850851937E-3</v>
      </c>
      <c r="N1200">
        <v>0.30511260588408123</v>
      </c>
      <c r="O1200">
        <v>0.14493241657093689</v>
      </c>
      <c r="P1200">
        <v>1.9984150559017106E-2</v>
      </c>
      <c r="Q1200">
        <v>1.2802493521533161E-3</v>
      </c>
      <c r="R1200">
        <v>3.5730040697728119E-3</v>
      </c>
      <c r="S1200">
        <v>0.45253890064286301</v>
      </c>
      <c r="T1200">
        <v>3.9496572593324819</v>
      </c>
      <c r="U1200">
        <v>0</v>
      </c>
      <c r="V1200">
        <v>1.1304767209823817E-2</v>
      </c>
      <c r="W1200">
        <v>0.18246945936905429</v>
      </c>
      <c r="X1200">
        <v>2.4672240333077577E-2</v>
      </c>
      <c r="Y1200">
        <v>1.0097582287134229E-2</v>
      </c>
    </row>
    <row r="1201" spans="1:25" x14ac:dyDescent="0.25">
      <c r="A1201" s="1093"/>
      <c r="B1201" s="1452">
        <v>951</v>
      </c>
      <c r="C1201" s="1097">
        <v>1.0122673453279674</v>
      </c>
      <c r="D1201" s="1097">
        <v>1.0184319168985847</v>
      </c>
      <c r="E1201" s="1097">
        <v>0.98356935280133728</v>
      </c>
      <c r="F1201" s="1097">
        <v>0.99833140582497137</v>
      </c>
      <c r="G1201" s="1097">
        <v>0.96745348871570735</v>
      </c>
      <c r="H1201" s="1097">
        <v>0.99551234904436736</v>
      </c>
      <c r="I1201" s="1097">
        <v>0.97905666020418813</v>
      </c>
      <c r="K1201">
        <v>5.1308097492610258</v>
      </c>
      <c r="L1201">
        <v>0</v>
      </c>
      <c r="M1201">
        <v>3.6485105582798843E-3</v>
      </c>
      <c r="N1201">
        <v>0.3014701404498224</v>
      </c>
      <c r="O1201">
        <v>0.14573050337797744</v>
      </c>
      <c r="P1201">
        <v>1.9973349538952176E-2</v>
      </c>
      <c r="Q1201">
        <v>1.2604450419860431E-3</v>
      </c>
      <c r="R1201">
        <v>3.6424189845763069E-3</v>
      </c>
      <c r="S1201">
        <v>0.44423267002462691</v>
      </c>
      <c r="T1201">
        <v>3.9907316399598693</v>
      </c>
      <c r="U1201">
        <v>0</v>
      </c>
      <c r="V1201">
        <v>1.1304767209823824E-2</v>
      </c>
      <c r="W1201">
        <v>0.18158972268665025</v>
      </c>
      <c r="X1201">
        <v>2.4228848409072756E-2</v>
      </c>
      <c r="Y1201">
        <v>1.0293754135946949E-2</v>
      </c>
    </row>
    <row r="1202" spans="1:25" x14ac:dyDescent="0.25">
      <c r="A1202" s="1093"/>
      <c r="B1202" s="1452">
        <v>952</v>
      </c>
      <c r="C1202" s="1097">
        <v>1.0123859784265661</v>
      </c>
      <c r="D1202" s="1097">
        <v>1.0375770896055108</v>
      </c>
      <c r="E1202" s="1097">
        <v>1.0067399233302454</v>
      </c>
      <c r="F1202" s="1097">
        <v>0.97234674409359967</v>
      </c>
      <c r="G1202" s="1097">
        <v>1.0199155525393386</v>
      </c>
      <c r="H1202" s="1097">
        <v>0.9654138946452252</v>
      </c>
      <c r="I1202" s="1097">
        <v>0.9757567222990684</v>
      </c>
      <c r="K1202">
        <v>4.9762053064784206</v>
      </c>
      <c r="L1202">
        <v>0</v>
      </c>
      <c r="M1202">
        <v>3.2575143285948232E-3</v>
      </c>
      <c r="N1202">
        <v>0.28826968320444507</v>
      </c>
      <c r="O1202">
        <v>0.14025715022852236</v>
      </c>
      <c r="P1202">
        <v>1.9752960539734896E-2</v>
      </c>
      <c r="Q1202">
        <v>1.2761114181897176E-3</v>
      </c>
      <c r="R1202">
        <v>3.2517563822129698E-3</v>
      </c>
      <c r="S1202">
        <v>0.42623957762358622</v>
      </c>
      <c r="T1202">
        <v>3.8840253893838863</v>
      </c>
      <c r="U1202">
        <v>0</v>
      </c>
      <c r="V1202">
        <v>1.1304767209823811E-2</v>
      </c>
      <c r="W1202">
        <v>0.17093153957878546</v>
      </c>
      <c r="X1202">
        <v>2.4964173441840293E-2</v>
      </c>
      <c r="Y1202">
        <v>9.1897117959894078E-3</v>
      </c>
    </row>
    <row r="1203" spans="1:25" x14ac:dyDescent="0.25">
      <c r="A1203" s="1093"/>
      <c r="B1203" s="1452">
        <v>953</v>
      </c>
      <c r="C1203" s="1097">
        <v>0.98025090326498554</v>
      </c>
      <c r="D1203" s="1097">
        <v>0.99462949568529513</v>
      </c>
      <c r="E1203" s="1097">
        <v>0.96927741258362399</v>
      </c>
      <c r="F1203" s="1097">
        <v>0.98705604585380646</v>
      </c>
      <c r="G1203" s="1097">
        <v>1.008890489205732</v>
      </c>
      <c r="H1203" s="1097">
        <v>0.99636540985844291</v>
      </c>
      <c r="I1203" s="1097">
        <v>1.005594086759275</v>
      </c>
      <c r="K1203">
        <v>5.1281994749971025</v>
      </c>
      <c r="L1203">
        <v>0</v>
      </c>
      <c r="M1203">
        <v>3.8783951085267329E-3</v>
      </c>
      <c r="N1203">
        <v>0.30714968168645784</v>
      </c>
      <c r="O1203">
        <v>0.150605976317506</v>
      </c>
      <c r="P1203">
        <v>1.9675083557503584E-2</v>
      </c>
      <c r="Q1203">
        <v>1.2977469566212453E-3</v>
      </c>
      <c r="R1203">
        <v>3.8718514800948965E-3</v>
      </c>
      <c r="S1203">
        <v>0.46904646638263064</v>
      </c>
      <c r="T1203">
        <v>3.9474502280875865</v>
      </c>
      <c r="U1203">
        <v>0</v>
      </c>
      <c r="V1203">
        <v>1.1304767209823815E-2</v>
      </c>
      <c r="W1203">
        <v>0.1868357566956311</v>
      </c>
      <c r="X1203">
        <v>2.3898163847146704E-2</v>
      </c>
      <c r="Y1203">
        <v>1.0942147884624885E-2</v>
      </c>
    </row>
    <row r="1204" spans="1:25" x14ac:dyDescent="0.25">
      <c r="A1204" s="1093"/>
      <c r="B1204" s="1452">
        <v>954</v>
      </c>
      <c r="C1204" s="1097">
        <v>0.99122824660993403</v>
      </c>
      <c r="D1204" s="1097">
        <v>0.97513119193549092</v>
      </c>
      <c r="E1204" s="1097">
        <v>1.0094855840866661</v>
      </c>
      <c r="F1204" s="1097">
        <v>1.0157916093813826</v>
      </c>
      <c r="G1204" s="1097">
        <v>1.013653741423068</v>
      </c>
      <c r="H1204" s="1097">
        <v>0.99100099542784326</v>
      </c>
      <c r="I1204" s="1097">
        <v>0.97204879261496524</v>
      </c>
      <c r="K1204">
        <v>5.2576645755001934</v>
      </c>
      <c r="L1204">
        <v>0</v>
      </c>
      <c r="M1204">
        <v>3.6361326576778768E-3</v>
      </c>
      <c r="N1204">
        <v>0.32444059314325435</v>
      </c>
      <c r="O1204">
        <v>0.15333447340960676</v>
      </c>
      <c r="P1204">
        <v>2.0741317428137993E-2</v>
      </c>
      <c r="Q1204">
        <v>1.339246945732212E-3</v>
      </c>
      <c r="R1204">
        <v>3.6301387686747395E-3</v>
      </c>
      <c r="S1204">
        <v>0.46006496052820545</v>
      </c>
      <c r="T1204">
        <v>4.05721646090646</v>
      </c>
      <c r="U1204">
        <v>0</v>
      </c>
      <c r="V1204">
        <v>1.1304767209823827E-2</v>
      </c>
      <c r="W1204">
        <v>0.19202461816748348</v>
      </c>
      <c r="X1204">
        <v>2.6945082342229199E-2</v>
      </c>
      <c r="Y1204">
        <v>1.0259049308258991E-2</v>
      </c>
    </row>
    <row r="1205" spans="1:25" x14ac:dyDescent="0.25">
      <c r="A1205" s="1093"/>
      <c r="B1205" s="1452">
        <v>955</v>
      </c>
      <c r="C1205" s="1097">
        <v>0.97466602095396127</v>
      </c>
      <c r="D1205" s="1097">
        <v>1.0203666751182647</v>
      </c>
      <c r="E1205" s="1097">
        <v>0.9764774938877927</v>
      </c>
      <c r="F1205" s="1097">
        <v>1.0016154002352238</v>
      </c>
      <c r="G1205" s="1097">
        <v>0.99910711490894233</v>
      </c>
      <c r="H1205" s="1097">
        <v>1.0090759223564616</v>
      </c>
      <c r="I1205" s="1097">
        <v>1.0331067819567183</v>
      </c>
      <c r="K1205">
        <v>5.2232634673239842</v>
      </c>
      <c r="L1205">
        <v>0</v>
      </c>
      <c r="M1205">
        <v>3.9083392008042901E-3</v>
      </c>
      <c r="N1205">
        <v>0.31622320453506442</v>
      </c>
      <c r="O1205">
        <v>0.15193635421057811</v>
      </c>
      <c r="P1205">
        <v>2.0136379216551079E-2</v>
      </c>
      <c r="Q1205">
        <v>1.300050292445936E-3</v>
      </c>
      <c r="R1205">
        <v>3.9019225994369644E-3</v>
      </c>
      <c r="S1205">
        <v>0.49068195835249068</v>
      </c>
      <c r="T1205">
        <v>4.0047592793746265</v>
      </c>
      <c r="U1205">
        <v>0</v>
      </c>
      <c r="V1205">
        <v>1.130476720982383E-2</v>
      </c>
      <c r="W1205">
        <v>0.1914039261304033</v>
      </c>
      <c r="X1205">
        <v>2.4496833439653611E-2</v>
      </c>
      <c r="Y1205">
        <v>1.1027131163706927E-2</v>
      </c>
    </row>
    <row r="1206" spans="1:25" x14ac:dyDescent="0.25">
      <c r="A1206" s="1093"/>
      <c r="B1206" s="1452">
        <v>956</v>
      </c>
      <c r="C1206" s="1097">
        <v>1.0369213646266304</v>
      </c>
      <c r="D1206" s="1097">
        <v>1.0347417932900322</v>
      </c>
      <c r="E1206" s="1097">
        <v>1.0248223193036867</v>
      </c>
      <c r="F1206" s="1097">
        <v>0.99167600095442732</v>
      </c>
      <c r="G1206" s="1097">
        <v>1.0059215597166955</v>
      </c>
      <c r="H1206" s="1097">
        <v>1.0001404828865152</v>
      </c>
      <c r="I1206" s="1097">
        <v>0.97904713814530531</v>
      </c>
      <c r="K1206">
        <v>5.0763763293063624</v>
      </c>
      <c r="L1206">
        <v>0</v>
      </c>
      <c r="M1206">
        <v>3.2379165564290252E-3</v>
      </c>
      <c r="N1206">
        <v>0.30231567594201147</v>
      </c>
      <c r="O1206">
        <v>0.13933863288455958</v>
      </c>
      <c r="P1206">
        <v>2.0385332737024014E-2</v>
      </c>
      <c r="Q1206">
        <v>1.2665650268094885E-3</v>
      </c>
      <c r="R1206">
        <v>3.2324994760572624E-3</v>
      </c>
      <c r="S1206">
        <v>0.43071910467893804</v>
      </c>
      <c r="T1206">
        <v>3.9590011914840759</v>
      </c>
      <c r="U1206">
        <v>0</v>
      </c>
      <c r="V1206">
        <v>1.130476720982383E-2</v>
      </c>
      <c r="W1206">
        <v>0.17710571572338615</v>
      </c>
      <c r="X1206">
        <v>2.5809470391103647E-2</v>
      </c>
      <c r="Y1206">
        <v>9.1352903089981403E-3</v>
      </c>
    </row>
    <row r="1207" spans="1:25" x14ac:dyDescent="0.25">
      <c r="A1207" s="1093"/>
      <c r="B1207" s="1452">
        <v>957</v>
      </c>
      <c r="C1207" s="1097">
        <v>1.0126018884155297</v>
      </c>
      <c r="D1207" s="1097">
        <v>1.0020714509827833</v>
      </c>
      <c r="E1207" s="1097">
        <v>0.98959174903596092</v>
      </c>
      <c r="F1207" s="1097">
        <v>0.97517953417113135</v>
      </c>
      <c r="G1207" s="1097">
        <v>0.99836801679421117</v>
      </c>
      <c r="H1207" s="1097">
        <v>1.0317069254867772</v>
      </c>
      <c r="I1207" s="1097">
        <v>1.0210355853770712</v>
      </c>
      <c r="K1207">
        <v>5.0631366107310214</v>
      </c>
      <c r="L1207">
        <v>0</v>
      </c>
      <c r="M1207">
        <v>3.6696579983335038E-3</v>
      </c>
      <c r="N1207">
        <v>0.30868852015361553</v>
      </c>
      <c r="O1207">
        <v>0.14306747290065494</v>
      </c>
      <c r="P1207">
        <v>1.9724607280418964E-2</v>
      </c>
      <c r="Q1207">
        <v>1.2748366587709596E-3</v>
      </c>
      <c r="R1207">
        <v>3.6636059441029034E-3</v>
      </c>
      <c r="S1207">
        <v>0.46223000655818403</v>
      </c>
      <c r="T1207">
        <v>3.8974423027580993</v>
      </c>
      <c r="U1207">
        <v>0</v>
      </c>
      <c r="V1207">
        <v>1.1304767209823818E-2</v>
      </c>
      <c r="W1207">
        <v>0.18517548800603711</v>
      </c>
      <c r="X1207">
        <v>2.3881031158530398E-2</v>
      </c>
      <c r="Y1207">
        <v>1.0353630101116952E-2</v>
      </c>
    </row>
    <row r="1208" spans="1:25" x14ac:dyDescent="0.25">
      <c r="A1208" s="1093"/>
      <c r="B1208" s="1452">
        <v>958</v>
      </c>
      <c r="C1208" s="1097">
        <v>1.000284077746443</v>
      </c>
      <c r="D1208" s="1097">
        <v>0.99026028905904684</v>
      </c>
      <c r="E1208" s="1097">
        <v>1.0154347402067292</v>
      </c>
      <c r="F1208" s="1097">
        <v>1.0092810183555414</v>
      </c>
      <c r="G1208" s="1097">
        <v>0.99472421384531062</v>
      </c>
      <c r="H1208" s="1097">
        <v>1.04232728930161</v>
      </c>
      <c r="I1208" s="1097">
        <v>0.96599303764281252</v>
      </c>
      <c r="K1208">
        <v>5.242757611258094</v>
      </c>
      <c r="L1208">
        <v>0</v>
      </c>
      <c r="M1208">
        <v>3.6957800316557562E-3</v>
      </c>
      <c r="N1208">
        <v>0.33564548286017493</v>
      </c>
      <c r="O1208">
        <v>0.14987776529409819</v>
      </c>
      <c r="P1208">
        <v>2.0703020438784768E-2</v>
      </c>
      <c r="Q1208">
        <v>1.3256634652882154E-3</v>
      </c>
      <c r="R1208">
        <v>3.689950508747855E-3</v>
      </c>
      <c r="S1208">
        <v>0.4586719134117655</v>
      </c>
      <c r="T1208">
        <v>4.030462793194352</v>
      </c>
      <c r="U1208">
        <v>0</v>
      </c>
      <c r="V1208">
        <v>1.1304767209823827E-2</v>
      </c>
      <c r="W1208">
        <v>0.19786590264879242</v>
      </c>
      <c r="X1208">
        <v>2.6478050405797111E-2</v>
      </c>
      <c r="Y1208">
        <v>1.0428081852115944E-2</v>
      </c>
    </row>
    <row r="1209" spans="1:25" x14ac:dyDescent="0.25">
      <c r="A1209" s="1093"/>
      <c r="B1209" s="1452">
        <v>959</v>
      </c>
      <c r="C1209" s="1097">
        <v>1.0145048337416953</v>
      </c>
      <c r="D1209" s="1097">
        <v>0.97749035899069558</v>
      </c>
      <c r="E1209" s="1097">
        <v>0.9838813675094813</v>
      </c>
      <c r="F1209" s="1097">
        <v>1.0201416638429954</v>
      </c>
      <c r="G1209" s="1097">
        <v>0.98250067651548756</v>
      </c>
      <c r="H1209" s="1097">
        <v>0.98766654965627743</v>
      </c>
      <c r="I1209" s="1097">
        <v>1.0049609583779266</v>
      </c>
      <c r="K1209">
        <v>5.2599888162873221</v>
      </c>
      <c r="L1209">
        <v>0</v>
      </c>
      <c r="M1209">
        <v>3.7491592918309767E-3</v>
      </c>
      <c r="N1209">
        <v>0.31008048153945922</v>
      </c>
      <c r="O1209">
        <v>0.15103576513800634</v>
      </c>
      <c r="P1209">
        <v>2.0465358829035007E-2</v>
      </c>
      <c r="Q1209">
        <v>1.2788222159730762E-3</v>
      </c>
      <c r="R1209">
        <v>3.742984621481869E-3</v>
      </c>
      <c r="S1209">
        <v>0.46553593339394156</v>
      </c>
      <c r="T1209">
        <v>4.0778757334926388</v>
      </c>
      <c r="U1209">
        <v>0</v>
      </c>
      <c r="V1209">
        <v>1.1304767209823801E-2</v>
      </c>
      <c r="W1209">
        <v>0.18673631646242039</v>
      </c>
      <c r="X1209">
        <v>2.5103852372710671E-2</v>
      </c>
      <c r="Y1209">
        <v>1.0577960303665241E-2</v>
      </c>
    </row>
    <row r="1210" spans="1:25" x14ac:dyDescent="0.25">
      <c r="A1210" s="1093"/>
      <c r="B1210" s="1452">
        <v>960</v>
      </c>
      <c r="C1210" s="1097">
        <v>0.99903016253058707</v>
      </c>
      <c r="D1210" s="1097">
        <v>0.99438075759588973</v>
      </c>
      <c r="E1210" s="1097">
        <v>0.97391261756723646</v>
      </c>
      <c r="F1210" s="1097">
        <v>1.0287234511677663</v>
      </c>
      <c r="G1210" s="1097">
        <v>0.9722906903389148</v>
      </c>
      <c r="H1210" s="1097">
        <v>1.0240388092213637</v>
      </c>
      <c r="I1210" s="1097">
        <v>1.0089791376468931</v>
      </c>
      <c r="K1210">
        <v>5.3406907987265413</v>
      </c>
      <c r="L1210">
        <v>0</v>
      </c>
      <c r="M1210">
        <v>4.0370007210376894E-3</v>
      </c>
      <c r="N1210">
        <v>0.3241773803727423</v>
      </c>
      <c r="O1210">
        <v>0.15389546880636912</v>
      </c>
      <c r="P1210">
        <v>2.0549738278497865E-2</v>
      </c>
      <c r="Q1210">
        <v>1.2786418581910966E-3</v>
      </c>
      <c r="R1210">
        <v>4.0306415518721389E-3</v>
      </c>
      <c r="S1210">
        <v>0.48348532062556382</v>
      </c>
      <c r="T1210">
        <v>4.1134805376431229</v>
      </c>
      <c r="U1210">
        <v>0</v>
      </c>
      <c r="V1210">
        <v>1.1304767209823818E-2</v>
      </c>
      <c r="W1210">
        <v>0.19656468624256659</v>
      </c>
      <c r="X1210">
        <v>2.4569716108310279E-2</v>
      </c>
      <c r="Y1210">
        <v>1.1390900750515857E-2</v>
      </c>
    </row>
    <row r="1211" spans="1:25" x14ac:dyDescent="0.25">
      <c r="A1211" s="1093"/>
      <c r="B1211" s="1452">
        <v>961</v>
      </c>
      <c r="C1211" s="1097">
        <v>0.98998147581187113</v>
      </c>
      <c r="D1211" s="1097">
        <v>1.0167022877925711</v>
      </c>
      <c r="E1211" s="1097">
        <v>1.0266368206191907</v>
      </c>
      <c r="F1211" s="1097">
        <v>0.97554340046492238</v>
      </c>
      <c r="G1211" s="1097">
        <v>0.98236005743125698</v>
      </c>
      <c r="H1211" s="1097">
        <v>1.0068279428034486</v>
      </c>
      <c r="I1211" s="1097">
        <v>0.99502149910616811</v>
      </c>
      <c r="K1211">
        <v>5.0641658712206006</v>
      </c>
      <c r="L1211">
        <v>0</v>
      </c>
      <c r="M1211">
        <v>3.3694321473063276E-3</v>
      </c>
      <c r="N1211">
        <v>0.31628244281969348</v>
      </c>
      <c r="O1211">
        <v>0.14453525467754172</v>
      </c>
      <c r="P1211">
        <v>2.0225299313569832E-2</v>
      </c>
      <c r="Q1211">
        <v>1.3380302987103317E-3</v>
      </c>
      <c r="R1211">
        <v>3.3637400373721007E-3</v>
      </c>
      <c r="S1211">
        <v>0.45501494434609319</v>
      </c>
      <c r="T1211">
        <v>3.8943765549568328</v>
      </c>
      <c r="U1211">
        <v>0</v>
      </c>
      <c r="V1211">
        <v>1.1304767209823815E-2</v>
      </c>
      <c r="W1211">
        <v>0.18506469458646047</v>
      </c>
      <c r="X1211">
        <v>2.6523388966790219E-2</v>
      </c>
      <c r="Y1211">
        <v>9.5061861550167371E-3</v>
      </c>
    </row>
    <row r="1212" spans="1:25" x14ac:dyDescent="0.25">
      <c r="A1212" s="1093"/>
      <c r="B1212" s="1452">
        <v>962</v>
      </c>
      <c r="C1212" s="1097">
        <v>0.97057377036833714</v>
      </c>
      <c r="D1212" s="1097">
        <v>1.0215992391342203</v>
      </c>
      <c r="E1212" s="1097">
        <v>0.98995861998401014</v>
      </c>
      <c r="F1212" s="1097">
        <v>0.99943759839276702</v>
      </c>
      <c r="G1212" s="1097">
        <v>0.97321248630542834</v>
      </c>
      <c r="H1212" s="1097">
        <v>1.0160386478101702</v>
      </c>
      <c r="I1212" s="1097">
        <v>1.0375420282366885</v>
      </c>
      <c r="K1212">
        <v>5.2265224247429538</v>
      </c>
      <c r="L1212">
        <v>0</v>
      </c>
      <c r="M1212">
        <v>3.8313786283855739E-3</v>
      </c>
      <c r="N1212">
        <v>0.32264801363423429</v>
      </c>
      <c r="O1212">
        <v>0.15178876320117196</v>
      </c>
      <c r="P1212">
        <v>2.0316445539478787E-2</v>
      </c>
      <c r="Q1212">
        <v>1.3202294628101333E-3</v>
      </c>
      <c r="R1212">
        <v>3.8251178945459697E-3</v>
      </c>
      <c r="S1212">
        <v>0.49522786772049349</v>
      </c>
      <c r="T1212">
        <v>3.9943468147906356</v>
      </c>
      <c r="U1212">
        <v>0</v>
      </c>
      <c r="V1212">
        <v>1.1304767209823811E-2</v>
      </c>
      <c r="W1212">
        <v>0.19350116188529842</v>
      </c>
      <c r="X1212">
        <v>2.5264546828923644E-2</v>
      </c>
      <c r="Y1212">
        <v>1.081007520392315E-2</v>
      </c>
    </row>
    <row r="1213" spans="1:25" x14ac:dyDescent="0.25">
      <c r="A1213" s="1093"/>
      <c r="B1213" s="1452">
        <v>963</v>
      </c>
      <c r="C1213" s="1097">
        <v>0.96644068974265629</v>
      </c>
      <c r="D1213" s="1097">
        <v>0.99624836988393095</v>
      </c>
      <c r="E1213" s="1097">
        <v>1.0336889746159104</v>
      </c>
      <c r="F1213" s="1097">
        <v>1.0067187872534049</v>
      </c>
      <c r="G1213" s="1097">
        <v>0.98109781125620577</v>
      </c>
      <c r="H1213" s="1097">
        <v>1.0080627745749047</v>
      </c>
      <c r="I1213" s="1097">
        <v>0.98026627722288662</v>
      </c>
      <c r="K1213">
        <v>5.2546946224577473</v>
      </c>
      <c r="L1213">
        <v>0</v>
      </c>
      <c r="M1213">
        <v>3.5418542975792274E-3</v>
      </c>
      <c r="N1213">
        <v>0.33949010782206079</v>
      </c>
      <c r="O1213">
        <v>0.1538295499936238</v>
      </c>
      <c r="P1213">
        <v>2.0991717055740138E-2</v>
      </c>
      <c r="Q1213">
        <v>1.3900274447079921E-3</v>
      </c>
      <c r="R1213">
        <v>3.5360629952745082E-3</v>
      </c>
      <c r="S1213">
        <v>0.47357488215896981</v>
      </c>
      <c r="T1213">
        <v>4.0179502693755351</v>
      </c>
      <c r="U1213">
        <v>0</v>
      </c>
      <c r="V1213">
        <v>1.1304767209823803E-2</v>
      </c>
      <c r="W1213">
        <v>0.19771853366696154</v>
      </c>
      <c r="X1213">
        <v>2.8457375042345631E-2</v>
      </c>
      <c r="Y1213">
        <v>9.9931839902844075E-3</v>
      </c>
    </row>
    <row r="1214" spans="1:25" x14ac:dyDescent="0.25">
      <c r="A1214" s="1093"/>
      <c r="B1214" s="1452">
        <v>964</v>
      </c>
      <c r="C1214" s="1097">
        <v>1.0020779627299323</v>
      </c>
      <c r="D1214" s="1097">
        <v>1.0305564143065611</v>
      </c>
      <c r="E1214" s="1097">
        <v>1.0140535566476849</v>
      </c>
      <c r="F1214" s="1097">
        <v>1.0253857585733128</v>
      </c>
      <c r="G1214" s="1097">
        <v>1.0216225249207995</v>
      </c>
      <c r="H1214" s="1097">
        <v>1.0013108875386554</v>
      </c>
      <c r="I1214" s="1097">
        <v>0.98714235472691481</v>
      </c>
      <c r="K1214">
        <v>5.288814987257676</v>
      </c>
      <c r="L1214">
        <v>0</v>
      </c>
      <c r="M1214">
        <v>3.5538072171457705E-3</v>
      </c>
      <c r="N1214">
        <v>0.32142250779774822</v>
      </c>
      <c r="O1214">
        <v>0.14962980820387667</v>
      </c>
      <c r="P1214">
        <v>2.0997248477297524E-2</v>
      </c>
      <c r="Q1214">
        <v>1.3008190269615605E-3</v>
      </c>
      <c r="R1214">
        <v>3.5480635141801795E-3</v>
      </c>
      <c r="S1214">
        <v>0.462784466280238</v>
      </c>
      <c r="T1214">
        <v>4.0949520401885904</v>
      </c>
      <c r="U1214">
        <v>0</v>
      </c>
      <c r="V1214">
        <v>1.130476720982383E-2</v>
      </c>
      <c r="W1214">
        <v>0.18965654185949915</v>
      </c>
      <c r="X1214">
        <v>2.6745433543693235E-2</v>
      </c>
      <c r="Y1214">
        <v>1.0027098372908109E-2</v>
      </c>
    </row>
    <row r="1215" spans="1:25" x14ac:dyDescent="0.25">
      <c r="A1215" s="1093"/>
      <c r="B1215" s="1452">
        <v>965</v>
      </c>
      <c r="C1215" s="1097">
        <v>1.0032672488590111</v>
      </c>
      <c r="D1215" s="1097">
        <v>0.98447002426317742</v>
      </c>
      <c r="E1215" s="1097">
        <v>1.0204155561606139</v>
      </c>
      <c r="F1215" s="1097">
        <v>0.99123289680739968</v>
      </c>
      <c r="G1215" s="1097">
        <v>1.0078932786216068</v>
      </c>
      <c r="H1215" s="1097">
        <v>0.95711192934286649</v>
      </c>
      <c r="I1215" s="1097">
        <v>1.0066402100626786</v>
      </c>
      <c r="K1215">
        <v>5.1101299475409201</v>
      </c>
      <c r="L1215">
        <v>0</v>
      </c>
      <c r="M1215">
        <v>3.2960886953215755E-3</v>
      </c>
      <c r="N1215">
        <v>0.30373840875328423</v>
      </c>
      <c r="O1215">
        <v>0.14696673757257955</v>
      </c>
      <c r="P1215">
        <v>2.0421478982976846E-2</v>
      </c>
      <c r="Q1215">
        <v>1.3304288289491244E-3</v>
      </c>
      <c r="R1215">
        <v>3.2903238114226148E-3</v>
      </c>
      <c r="S1215">
        <v>0.45396240674627064</v>
      </c>
      <c r="T1215">
        <v>3.9577747926882201</v>
      </c>
      <c r="U1215">
        <v>0</v>
      </c>
      <c r="V1215">
        <v>1.130476720982382E-2</v>
      </c>
      <c r="W1215">
        <v>0.17846189067081467</v>
      </c>
      <c r="X1215">
        <v>2.6876094676480607E-2</v>
      </c>
      <c r="Y1215">
        <v>9.2987062954197949E-3</v>
      </c>
    </row>
    <row r="1216" spans="1:25" x14ac:dyDescent="0.25">
      <c r="A1216" s="1093"/>
      <c r="B1216" s="1452">
        <v>966</v>
      </c>
      <c r="C1216" s="1097">
        <v>0.98941335516789364</v>
      </c>
      <c r="D1216" s="1097">
        <v>1.0188144947399014</v>
      </c>
      <c r="E1216" s="1097">
        <v>1.0319803026188419</v>
      </c>
      <c r="F1216" s="1097">
        <v>1.0174606100173642</v>
      </c>
      <c r="G1216" s="1097">
        <v>1.0029958583067544</v>
      </c>
      <c r="H1216" s="1097">
        <v>0.98483409002133016</v>
      </c>
      <c r="I1216" s="1097">
        <v>0.98425395907490221</v>
      </c>
      <c r="K1216">
        <v>5.2581783735549301</v>
      </c>
      <c r="L1216">
        <v>0</v>
      </c>
      <c r="M1216">
        <v>3.3976998945485968E-3</v>
      </c>
      <c r="N1216">
        <v>0.3240253324602172</v>
      </c>
      <c r="O1216">
        <v>0.15055519352021429</v>
      </c>
      <c r="P1216">
        <v>2.1113430715651471E-2</v>
      </c>
      <c r="Q1216">
        <v>1.343714330267743E-3</v>
      </c>
      <c r="R1216">
        <v>3.3920732019241213E-3</v>
      </c>
      <c r="S1216">
        <v>0.46220839664157998</v>
      </c>
      <c r="T1216">
        <v>4.0610372175421938</v>
      </c>
      <c r="U1216">
        <v>0</v>
      </c>
      <c r="V1216">
        <v>1.130476720982383E-2</v>
      </c>
      <c r="W1216">
        <v>0.18892514335622515</v>
      </c>
      <c r="X1216">
        <v>2.8084546630199023E-2</v>
      </c>
      <c r="Y1216">
        <v>9.5862578411755328E-3</v>
      </c>
    </row>
    <row r="1217" spans="1:25" x14ac:dyDescent="0.25">
      <c r="A1217" s="1093"/>
      <c r="B1217" s="1452">
        <v>967</v>
      </c>
      <c r="C1217" s="1097">
        <v>1.0449407098742318</v>
      </c>
      <c r="D1217" s="1097">
        <v>1.0263575546105335</v>
      </c>
      <c r="E1217" s="1097">
        <v>0.98838680447804328</v>
      </c>
      <c r="F1217" s="1097">
        <v>1.0079424368724639</v>
      </c>
      <c r="G1217" s="1097">
        <v>0.98785729502172237</v>
      </c>
      <c r="H1217" s="1097">
        <v>0.99816901144843651</v>
      </c>
      <c r="I1217" s="1097">
        <v>0.98730468448861419</v>
      </c>
      <c r="K1217">
        <v>5.1481913867314759</v>
      </c>
      <c r="L1217">
        <v>0</v>
      </c>
      <c r="M1217">
        <v>3.5309184801047199E-3</v>
      </c>
      <c r="N1217">
        <v>0.29595845437977675</v>
      </c>
      <c r="O1217">
        <v>0.14196362396763382</v>
      </c>
      <c r="P1217">
        <v>2.0185265775628798E-2</v>
      </c>
      <c r="Q1217">
        <v>1.22233426901116E-3</v>
      </c>
      <c r="R1217">
        <v>3.5250949001606863E-3</v>
      </c>
      <c r="S1217">
        <v>0.4372899953049314</v>
      </c>
      <c r="T1217">
        <v>4.0285371303969928</v>
      </c>
      <c r="U1217">
        <v>0</v>
      </c>
      <c r="V1217">
        <v>1.130476720982381E-2</v>
      </c>
      <c r="W1217">
        <v>0.17768473182059263</v>
      </c>
      <c r="X1217">
        <v>2.408871987091029E-2</v>
      </c>
      <c r="Y1217">
        <v>9.9621873161182956E-3</v>
      </c>
    </row>
    <row r="1218" spans="1:25" x14ac:dyDescent="0.25">
      <c r="A1218" s="1093"/>
      <c r="B1218" s="1452">
        <v>968</v>
      </c>
      <c r="C1218" s="1097">
        <v>0.98462798002706209</v>
      </c>
      <c r="D1218" s="1097">
        <v>0.97427505505441914</v>
      </c>
      <c r="E1218" s="1097">
        <v>1.0096594240812589</v>
      </c>
      <c r="F1218" s="1097">
        <v>0.99636830804944054</v>
      </c>
      <c r="G1218" s="1097">
        <v>1.0191894959420753</v>
      </c>
      <c r="H1218" s="1097">
        <v>0.98347570658617633</v>
      </c>
      <c r="I1218" s="1097">
        <v>0.98250162357852355</v>
      </c>
      <c r="K1218">
        <v>5.1664512588522253</v>
      </c>
      <c r="L1218">
        <v>0</v>
      </c>
      <c r="M1218">
        <v>3.5633069499908772E-3</v>
      </c>
      <c r="N1218">
        <v>0.3180919592326904</v>
      </c>
      <c r="O1218">
        <v>0.15145896458257732</v>
      </c>
      <c r="P1218">
        <v>2.0385024108098063E-2</v>
      </c>
      <c r="Q1218">
        <v>1.3488978383238972E-3</v>
      </c>
      <c r="R1218">
        <v>3.5572729743606622E-3</v>
      </c>
      <c r="S1218">
        <v>0.45929986876505557</v>
      </c>
      <c r="T1218">
        <v>3.9796153783376971</v>
      </c>
      <c r="U1218">
        <v>0</v>
      </c>
      <c r="V1218">
        <v>1.130476720982383E-2</v>
      </c>
      <c r="W1218">
        <v>0.18824511612065359</v>
      </c>
      <c r="X1218">
        <v>2.6654191622443143E-2</v>
      </c>
      <c r="Y1218">
        <v>1.0053125010487178E-2</v>
      </c>
    </row>
    <row r="1219" spans="1:25" x14ac:dyDescent="0.25">
      <c r="A1219" s="1093"/>
      <c r="B1219" s="1452">
        <v>969</v>
      </c>
      <c r="C1219" s="1097">
        <v>1.0112115808716946</v>
      </c>
      <c r="D1219" s="1097">
        <v>0.99190804824162981</v>
      </c>
      <c r="E1219" s="1097">
        <v>0.99888490519680795</v>
      </c>
      <c r="F1219" s="1097">
        <v>0.99694373279172099</v>
      </c>
      <c r="G1219" s="1097">
        <v>0.98394437674566071</v>
      </c>
      <c r="H1219" s="1097">
        <v>0.97913398047398936</v>
      </c>
      <c r="I1219" s="1097">
        <v>1.0126563101408321</v>
      </c>
      <c r="K1219">
        <v>5.1414062458130569</v>
      </c>
      <c r="L1219">
        <v>0</v>
      </c>
      <c r="M1219">
        <v>3.5104036343091903E-3</v>
      </c>
      <c r="N1219">
        <v>0.30352426951398459</v>
      </c>
      <c r="O1219">
        <v>0.14680418473723175</v>
      </c>
      <c r="P1219">
        <v>2.0236493498252992E-2</v>
      </c>
      <c r="Q1219">
        <v>1.2920931358437102E-3</v>
      </c>
      <c r="R1219">
        <v>3.504436324838254E-3</v>
      </c>
      <c r="S1219">
        <v>0.45872637435037983</v>
      </c>
      <c r="T1219">
        <v>3.9832596199367849</v>
      </c>
      <c r="U1219">
        <v>0</v>
      </c>
      <c r="V1219">
        <v>1.1304767209823827E-2</v>
      </c>
      <c r="W1219">
        <v>0.18093306366350184</v>
      </c>
      <c r="X1219">
        <v>2.5427542471671467E-2</v>
      </c>
      <c r="Y1219">
        <v>9.9038046050494884E-3</v>
      </c>
    </row>
    <row r="1220" spans="1:25" x14ac:dyDescent="0.25">
      <c r="A1220" s="1093"/>
      <c r="B1220" s="1452">
        <v>970</v>
      </c>
      <c r="C1220" s="1097">
        <v>0.98594433273553994</v>
      </c>
      <c r="D1220" s="1097">
        <v>1.0457293185994525</v>
      </c>
      <c r="E1220" s="1097">
        <v>0.97652871921469908</v>
      </c>
      <c r="F1220" s="1097">
        <v>1.0172573476249269</v>
      </c>
      <c r="G1220" s="1097">
        <v>0.97452021597992033</v>
      </c>
      <c r="H1220" s="1097">
        <v>1.0146794327270847</v>
      </c>
      <c r="I1220" s="1097">
        <v>1.011421011624867</v>
      </c>
      <c r="K1220">
        <v>5.2741702951746534</v>
      </c>
      <c r="L1220">
        <v>0</v>
      </c>
      <c r="M1220">
        <v>3.9066777354205256E-3</v>
      </c>
      <c r="N1220">
        <v>0.31614764628620384</v>
      </c>
      <c r="O1220">
        <v>0.1510516990599011</v>
      </c>
      <c r="P1220">
        <v>2.036856466061952E-2</v>
      </c>
      <c r="Q1220">
        <v>1.2726756389744489E-3</v>
      </c>
      <c r="R1220">
        <v>3.9003972009193253E-3</v>
      </c>
      <c r="S1220">
        <v>0.47994093563550233</v>
      </c>
      <c r="T1220">
        <v>4.0672938697450549</v>
      </c>
      <c r="U1220">
        <v>0</v>
      </c>
      <c r="V1220">
        <v>1.1304767209823825E-2</v>
      </c>
      <c r="W1220">
        <v>0.19135146030296943</v>
      </c>
      <c r="X1220">
        <v>2.4422136899058925E-2</v>
      </c>
      <c r="Y1220">
        <v>1.102282027103741E-2</v>
      </c>
    </row>
    <row r="1221" spans="1:25" x14ac:dyDescent="0.25">
      <c r="A1221" s="1093"/>
      <c r="B1221" s="1452">
        <v>971</v>
      </c>
      <c r="C1221" s="1097">
        <v>1.0339789043891747</v>
      </c>
      <c r="D1221" s="1097">
        <v>0.99867676709860032</v>
      </c>
      <c r="E1221" s="1097">
        <v>0.97783613298135552</v>
      </c>
      <c r="F1221" s="1097">
        <v>1.0146884309380615</v>
      </c>
      <c r="G1221" s="1097">
        <v>1.0148721001322503</v>
      </c>
      <c r="H1221" s="1097">
        <v>0.99170834607660863</v>
      </c>
      <c r="I1221" s="1097">
        <v>1.0305897706820861</v>
      </c>
      <c r="K1221">
        <v>5.216531239526951</v>
      </c>
      <c r="L1221">
        <v>0</v>
      </c>
      <c r="M1221">
        <v>3.6890398654673691E-3</v>
      </c>
      <c r="N1221">
        <v>0.29968356958345849</v>
      </c>
      <c r="O1221">
        <v>0.1463052634344704</v>
      </c>
      <c r="P1221">
        <v>2.0275895887698025E-2</v>
      </c>
      <c r="Q1221">
        <v>1.2375134871119413E-3</v>
      </c>
      <c r="R1221">
        <v>3.6829565044702172E-3</v>
      </c>
      <c r="S1221">
        <v>0.46513183744259068</v>
      </c>
      <c r="T1221">
        <v>4.0568542441088447</v>
      </c>
      <c r="U1221">
        <v>0</v>
      </c>
      <c r="V1221">
        <v>1.130476720982381E-2</v>
      </c>
      <c r="W1221">
        <v>0.18122370000307794</v>
      </c>
      <c r="X1221">
        <v>2.4112215468811871E-2</v>
      </c>
      <c r="Y1221">
        <v>1.0408316262060376E-2</v>
      </c>
    </row>
    <row r="1222" spans="1:25" x14ac:dyDescent="0.25">
      <c r="A1222" s="1093"/>
      <c r="B1222" s="1452">
        <v>972</v>
      </c>
      <c r="C1222" s="1097">
        <v>0.97082010843526978</v>
      </c>
      <c r="D1222" s="1097">
        <v>1.0147410037958315</v>
      </c>
      <c r="E1222" s="1097">
        <v>1.0341261154600592</v>
      </c>
      <c r="F1222" s="1097">
        <v>1.0010243133681984</v>
      </c>
      <c r="G1222" s="1097">
        <v>0.99270560917262674</v>
      </c>
      <c r="H1222" s="1097">
        <v>1.0060545494736619</v>
      </c>
      <c r="I1222" s="1097">
        <v>1.0382009778060903</v>
      </c>
      <c r="K1222">
        <v>5.2395795114729289</v>
      </c>
      <c r="L1222">
        <v>0</v>
      </c>
      <c r="M1222">
        <v>3.4701217995408993E-3</v>
      </c>
      <c r="N1222">
        <v>0.33304029816014297</v>
      </c>
      <c r="O1222">
        <v>0.15114082260983858</v>
      </c>
      <c r="P1222">
        <v>2.0990851292813445E-2</v>
      </c>
      <c r="Q1222">
        <v>1.3741179997273148E-3</v>
      </c>
      <c r="R1222">
        <v>3.4644041729849219E-3</v>
      </c>
      <c r="S1222">
        <v>0.49474008648276502</v>
      </c>
      <c r="T1222">
        <v>3.9951687973294838</v>
      </c>
      <c r="U1222">
        <v>0</v>
      </c>
      <c r="V1222">
        <v>1.1304767209823811E-2</v>
      </c>
      <c r="W1222">
        <v>0.19390617353649514</v>
      </c>
      <c r="X1222">
        <v>2.8128643790794251E-2</v>
      </c>
      <c r="Y1222">
        <v>9.7906706876017564E-3</v>
      </c>
    </row>
    <row r="1223" spans="1:25" x14ac:dyDescent="0.25">
      <c r="A1223" s="1093"/>
      <c r="B1223" s="1452">
        <v>973</v>
      </c>
      <c r="C1223" s="1097">
        <v>0.98744592543001175</v>
      </c>
      <c r="D1223" s="1097">
        <v>0.98091180453219007</v>
      </c>
      <c r="E1223" s="1097">
        <v>0.98277988627012081</v>
      </c>
      <c r="F1223" s="1097">
        <v>1.0030109599970076</v>
      </c>
      <c r="G1223" s="1097">
        <v>0.96245450943688626</v>
      </c>
      <c r="H1223" s="1097">
        <v>1.0210459061728578</v>
      </c>
      <c r="I1223" s="1097">
        <v>1.0411549766864581</v>
      </c>
      <c r="K1223">
        <v>5.2433731305932803</v>
      </c>
      <c r="L1223">
        <v>0</v>
      </c>
      <c r="M1223">
        <v>3.9189043521861474E-3</v>
      </c>
      <c r="N1223">
        <v>0.32307077146318885</v>
      </c>
      <c r="O1223">
        <v>0.15238710402973049</v>
      </c>
      <c r="P1223">
        <v>2.0273272371381441E-2</v>
      </c>
      <c r="Q1223">
        <v>1.3107794521723807E-3</v>
      </c>
      <c r="R1223">
        <v>3.9125546644858547E-3</v>
      </c>
      <c r="S1223">
        <v>0.49487521537471041</v>
      </c>
      <c r="T1223">
        <v>4.0095379006644842</v>
      </c>
      <c r="U1223">
        <v>0</v>
      </c>
      <c r="V1223">
        <v>1.130476720982381E-2</v>
      </c>
      <c r="W1223">
        <v>0.19470586247381477</v>
      </c>
      <c r="X1223">
        <v>2.4856629050417692E-2</v>
      </c>
      <c r="Y1223">
        <v>1.1057178191254857E-2</v>
      </c>
    </row>
    <row r="1224" spans="1:25" x14ac:dyDescent="0.25">
      <c r="A1224" s="1093"/>
      <c r="B1224" s="1452">
        <v>974</v>
      </c>
      <c r="C1224" s="1097">
        <v>1.007217897084405</v>
      </c>
      <c r="D1224" s="1097">
        <v>0.97847823361106723</v>
      </c>
      <c r="E1224" s="1097">
        <v>0.99899141172649308</v>
      </c>
      <c r="F1224" s="1097">
        <v>1.0003496805221006</v>
      </c>
      <c r="G1224" s="1097">
        <v>0.99012995636247658</v>
      </c>
      <c r="H1224" s="1097">
        <v>0.98665988048178377</v>
      </c>
      <c r="I1224" s="1097">
        <v>0.98208111589489278</v>
      </c>
      <c r="K1224">
        <v>5.1591660052393706</v>
      </c>
      <c r="L1224">
        <v>0</v>
      </c>
      <c r="M1224">
        <v>3.5822049971247823E-3</v>
      </c>
      <c r="N1224">
        <v>0.30983608816441432</v>
      </c>
      <c r="O1224">
        <v>0.14869543983515987</v>
      </c>
      <c r="P1224">
        <v>2.0262508413201135E-2</v>
      </c>
      <c r="Q1224">
        <v>1.3044282233617953E-3</v>
      </c>
      <c r="R1224">
        <v>3.5761826211381177E-3</v>
      </c>
      <c r="S1224">
        <v>0.45050481927377356</v>
      </c>
      <c r="T1224">
        <v>3.996854601226504</v>
      </c>
      <c r="U1224">
        <v>0</v>
      </c>
      <c r="V1224">
        <v>1.1304767209823811E-2</v>
      </c>
      <c r="W1224">
        <v>0.18468228105950996</v>
      </c>
      <c r="X1224">
        <v>2.5620529093644297E-2</v>
      </c>
      <c r="Y1224">
        <v>1.0106565115963502E-2</v>
      </c>
    </row>
    <row r="1225" spans="1:25" x14ac:dyDescent="0.25">
      <c r="A1225" s="1093"/>
      <c r="B1225" s="1452">
        <v>975</v>
      </c>
      <c r="C1225" s="1097">
        <v>1.0134175272519026</v>
      </c>
      <c r="D1225" s="1097">
        <v>1.001293742644692</v>
      </c>
      <c r="E1225" s="1097">
        <v>1.0143084045992046</v>
      </c>
      <c r="F1225" s="1097">
        <v>1.0068294561882454</v>
      </c>
      <c r="G1225" s="1097">
        <v>1.0030653479251255</v>
      </c>
      <c r="H1225" s="1097">
        <v>0.99278114936410855</v>
      </c>
      <c r="I1225" s="1097">
        <v>1.0047507295917195</v>
      </c>
      <c r="K1225">
        <v>5.1945192001936284</v>
      </c>
      <c r="L1225">
        <v>0</v>
      </c>
      <c r="M1225">
        <v>3.4589449659487622E-3</v>
      </c>
      <c r="N1225">
        <v>0.31306504395534301</v>
      </c>
      <c r="O1225">
        <v>0.14695458406945772</v>
      </c>
      <c r="P1225">
        <v>2.0645923806377826E-2</v>
      </c>
      <c r="Q1225">
        <v>1.3014518132207727E-3</v>
      </c>
      <c r="R1225">
        <v>3.4532028019674259E-3</v>
      </c>
      <c r="S1225">
        <v>0.45962907727517655</v>
      </c>
      <c r="T1225">
        <v>4.0208141071356556</v>
      </c>
      <c r="U1225">
        <v>0</v>
      </c>
      <c r="V1225">
        <v>1.1304767209823824E-2</v>
      </c>
      <c r="W1225">
        <v>0.18469367816373009</v>
      </c>
      <c r="X1225">
        <v>2.635729417089825E-2</v>
      </c>
      <c r="Y1225">
        <v>9.759014757922093E-3</v>
      </c>
    </row>
    <row r="1226" spans="1:25" x14ac:dyDescent="0.25">
      <c r="A1226" s="1093"/>
      <c r="B1226" s="1452">
        <v>976</v>
      </c>
      <c r="C1226" s="1097">
        <v>0.98994219105148107</v>
      </c>
      <c r="D1226" s="1097">
        <v>1.0120149252898534</v>
      </c>
      <c r="E1226" s="1097">
        <v>0.98746371634078511</v>
      </c>
      <c r="F1226" s="1097">
        <v>0.99809961496966437</v>
      </c>
      <c r="G1226" s="1097">
        <v>1.0043135137082666</v>
      </c>
      <c r="H1226" s="1097">
        <v>1.0059884252645899</v>
      </c>
      <c r="I1226" s="1097">
        <v>0.98559204686066404</v>
      </c>
      <c r="K1226">
        <v>5.1678446108563856</v>
      </c>
      <c r="L1226">
        <v>0</v>
      </c>
      <c r="M1226">
        <v>3.7479257890394289E-3</v>
      </c>
      <c r="N1226">
        <v>0.31328797025785848</v>
      </c>
      <c r="O1226">
        <v>0.14925083308592649</v>
      </c>
      <c r="P1226">
        <v>2.0095498782938769E-2</v>
      </c>
      <c r="Q1226">
        <v>1.2964933060073017E-3</v>
      </c>
      <c r="R1226">
        <v>3.7417319598479367E-3</v>
      </c>
      <c r="S1226">
        <v>0.45969696572538271</v>
      </c>
      <c r="T1226">
        <v>3.9893137421081954</v>
      </c>
      <c r="U1226">
        <v>0</v>
      </c>
      <c r="V1226">
        <v>1.1304767209823822E-2</v>
      </c>
      <c r="W1226">
        <v>0.18820721341250907</v>
      </c>
      <c r="X1226">
        <v>2.4822900610678007E-2</v>
      </c>
      <c r="Y1226">
        <v>1.0574420186251555E-2</v>
      </c>
    </row>
    <row r="1227" spans="1:25" x14ac:dyDescent="0.25">
      <c r="A1227" s="1093"/>
      <c r="B1227" s="1452">
        <v>977</v>
      </c>
      <c r="C1227" s="1097">
        <v>0.97173308126871605</v>
      </c>
      <c r="D1227" s="1097">
        <v>1.0278804505430321</v>
      </c>
      <c r="E1227" s="1097">
        <v>0.99977217668021789</v>
      </c>
      <c r="F1227" s="1097">
        <v>0.96004010305401855</v>
      </c>
      <c r="G1227" s="1097">
        <v>1.0023679307378626</v>
      </c>
      <c r="H1227" s="1097">
        <v>1.0402875512306062</v>
      </c>
      <c r="I1227" s="1097">
        <v>1.0240352337971643</v>
      </c>
      <c r="K1227">
        <v>5.0328033028883068</v>
      </c>
      <c r="L1227">
        <v>0</v>
      </c>
      <c r="M1227">
        <v>3.6779854535688187E-3</v>
      </c>
      <c r="N1227">
        <v>0.31886359152133026</v>
      </c>
      <c r="O1227">
        <v>0.14500783289520716</v>
      </c>
      <c r="P1227">
        <v>1.9657493485247448E-2</v>
      </c>
      <c r="Q1227">
        <v>1.3265718469890845E-3</v>
      </c>
      <c r="R1227">
        <v>3.6718749961505638E-3</v>
      </c>
      <c r="S1227">
        <v>0.47599179340345005</v>
      </c>
      <c r="T1227">
        <v>3.8357052613290481</v>
      </c>
      <c r="U1227">
        <v>0</v>
      </c>
      <c r="V1227">
        <v>1.130476720982381E-2</v>
      </c>
      <c r="W1227">
        <v>0.18996294320900203</v>
      </c>
      <c r="X1227">
        <v>2.4612159372112769E-2</v>
      </c>
      <c r="Y1227">
        <v>1.0376999073515903E-2</v>
      </c>
    </row>
    <row r="1228" spans="1:25" x14ac:dyDescent="0.25">
      <c r="A1228" s="1093"/>
      <c r="B1228" s="1452">
        <v>978</v>
      </c>
      <c r="C1228" s="1097">
        <v>1.0134371208664863</v>
      </c>
      <c r="D1228" s="1097">
        <v>0.97793399534139791</v>
      </c>
      <c r="E1228" s="1097">
        <v>1.0220542404247932</v>
      </c>
      <c r="F1228" s="1097">
        <v>1.018576901523073</v>
      </c>
      <c r="G1228" s="1097">
        <v>0.97456288651545397</v>
      </c>
      <c r="H1228" s="1097">
        <v>1.0312645335795887</v>
      </c>
      <c r="I1228" s="1097">
        <v>1.0183202828102025</v>
      </c>
      <c r="K1228">
        <v>5.2980961511485409</v>
      </c>
      <c r="L1228">
        <v>0</v>
      </c>
      <c r="M1228">
        <v>3.6097594489295326E-3</v>
      </c>
      <c r="N1228">
        <v>0.33431669490896959</v>
      </c>
      <c r="O1228">
        <v>0.14985806335485136</v>
      </c>
      <c r="P1228">
        <v>2.1070121609067474E-2</v>
      </c>
      <c r="Q1228">
        <v>1.3224230540880722E-3</v>
      </c>
      <c r="R1228">
        <v>3.6040569661127154E-3</v>
      </c>
      <c r="S1228">
        <v>0.48000760750688803</v>
      </c>
      <c r="T1228">
        <v>4.0667459216808872</v>
      </c>
      <c r="U1228">
        <v>0</v>
      </c>
      <c r="V1228">
        <v>1.1304767209823818E-2</v>
      </c>
      <c r="W1228">
        <v>0.19621386971325655</v>
      </c>
      <c r="X1228">
        <v>2.7077044450560483E-2</v>
      </c>
      <c r="Y1228">
        <v>1.0185340142967283E-2</v>
      </c>
    </row>
    <row r="1229" spans="1:25" x14ac:dyDescent="0.25">
      <c r="A1229" s="1093"/>
      <c r="B1229" s="1452">
        <v>979</v>
      </c>
      <c r="C1229" s="1097">
        <v>1.0202125826427844</v>
      </c>
      <c r="D1229" s="1097">
        <v>0.97222057484324609</v>
      </c>
      <c r="E1229" s="1097">
        <v>1.012773077779074</v>
      </c>
      <c r="F1229" s="1097">
        <v>0.96802646709843498</v>
      </c>
      <c r="G1229" s="1097">
        <v>0.98008401830417269</v>
      </c>
      <c r="H1229" s="1097">
        <v>1.0052444476578146</v>
      </c>
      <c r="I1229" s="1097">
        <v>0.99276296854288681</v>
      </c>
      <c r="K1229">
        <v>5.0033689479934802</v>
      </c>
      <c r="L1229">
        <v>0</v>
      </c>
      <c r="M1229">
        <v>3.3958254061409051E-3</v>
      </c>
      <c r="N1229">
        <v>0.30594475757796835</v>
      </c>
      <c r="O1229">
        <v>0.14205492253124496</v>
      </c>
      <c r="P1229">
        <v>1.9828083151623134E-2</v>
      </c>
      <c r="Q1229">
        <v>1.3064053423690739E-3</v>
      </c>
      <c r="R1229">
        <v>3.3900351320503923E-3</v>
      </c>
      <c r="S1229">
        <v>0.44135628460741905</v>
      </c>
      <c r="T1229">
        <v>3.8660382130496811</v>
      </c>
      <c r="U1229">
        <v>0</v>
      </c>
      <c r="V1229">
        <v>1.1304767209823818E-2</v>
      </c>
      <c r="W1229">
        <v>0.18067872434194196</v>
      </c>
      <c r="X1229">
        <v>2.5282082355384448E-2</v>
      </c>
      <c r="Y1229">
        <v>9.5804981001131016E-3</v>
      </c>
    </row>
    <row r="1230" spans="1:25" x14ac:dyDescent="0.25">
      <c r="A1230" s="1093"/>
      <c r="B1230" s="1452">
        <v>980</v>
      </c>
      <c r="C1230" s="1097">
        <v>1.0022185649223729</v>
      </c>
      <c r="D1230" s="1097">
        <v>0.9750253375037029</v>
      </c>
      <c r="E1230" s="1097">
        <v>1.0005559486853353</v>
      </c>
      <c r="F1230" s="1097">
        <v>1.0153776773675602</v>
      </c>
      <c r="G1230" s="1097">
        <v>0.97025694764548254</v>
      </c>
      <c r="H1230" s="1097">
        <v>0.97208518630231466</v>
      </c>
      <c r="I1230" s="1097">
        <v>1.0016879643585344</v>
      </c>
      <c r="K1230">
        <v>5.2415379522954098</v>
      </c>
      <c r="L1230">
        <v>0</v>
      </c>
      <c r="M1230">
        <v>3.593326111548337E-3</v>
      </c>
      <c r="N1230">
        <v>0.312242114673423</v>
      </c>
      <c r="O1230">
        <v>0.15185219493143626</v>
      </c>
      <c r="P1230">
        <v>2.0624910560894747E-2</v>
      </c>
      <c r="Q1230">
        <v>1.3145517730574223E-3</v>
      </c>
      <c r="R1230">
        <v>3.5872850661894766E-3</v>
      </c>
      <c r="S1230">
        <v>0.46511106455241741</v>
      </c>
      <c r="T1230">
        <v>4.0566988492234968</v>
      </c>
      <c r="U1230">
        <v>0</v>
      </c>
      <c r="V1230">
        <v>1.1304767209823822E-2</v>
      </c>
      <c r="W1230">
        <v>0.1859196966299185</v>
      </c>
      <c r="X1230">
        <v>2.6337902312985193E-2</v>
      </c>
      <c r="Y1230">
        <v>1.0137941473310224E-2</v>
      </c>
    </row>
    <row r="1231" spans="1:25" x14ac:dyDescent="0.25">
      <c r="A1231" s="1093"/>
      <c r="B1231" s="1452">
        <v>981</v>
      </c>
      <c r="C1231" s="1097">
        <v>0.96954664643917943</v>
      </c>
      <c r="D1231" s="1097">
        <v>0.98381600021685722</v>
      </c>
      <c r="E1231" s="1097">
        <v>1.0223822691888613</v>
      </c>
      <c r="F1231" s="1097">
        <v>1.0065864067525205</v>
      </c>
      <c r="G1231" s="1097">
        <v>1.0367546897367661</v>
      </c>
      <c r="H1231" s="1097">
        <v>1.0412217274675133</v>
      </c>
      <c r="I1231" s="1097">
        <v>0.99457400109870187</v>
      </c>
      <c r="K1231">
        <v>5.2836192703880833</v>
      </c>
      <c r="L1231">
        <v>0</v>
      </c>
      <c r="M1231">
        <v>3.7532060001539825E-3</v>
      </c>
      <c r="N1231">
        <v>0.34793818652167308</v>
      </c>
      <c r="O1231">
        <v>0.15441762776161019</v>
      </c>
      <c r="P1231">
        <v>2.0883870248683708E-2</v>
      </c>
      <c r="Q1231">
        <v>1.3793585124141066E-3</v>
      </c>
      <c r="R1231">
        <v>3.7472637720428336E-3</v>
      </c>
      <c r="S1231">
        <v>0.48654351866104606</v>
      </c>
      <c r="T1231">
        <v>4.0188319358236848</v>
      </c>
      <c r="U1231">
        <v>0</v>
      </c>
      <c r="V1231">
        <v>1.130476720982381E-2</v>
      </c>
      <c r="W1231">
        <v>0.20416386785892357</v>
      </c>
      <c r="X1231">
        <v>2.7572026508486329E-2</v>
      </c>
      <c r="Y1231">
        <v>1.0590053509848216E-2</v>
      </c>
    </row>
    <row r="1232" spans="1:25" x14ac:dyDescent="0.25">
      <c r="A1232" s="1093"/>
      <c r="B1232" s="1452">
        <v>982</v>
      </c>
      <c r="C1232" s="1097">
        <v>1.0054591827113384</v>
      </c>
      <c r="D1232" s="1097">
        <v>1.0154412045191399</v>
      </c>
      <c r="E1232" s="1097">
        <v>0.99769898064031926</v>
      </c>
      <c r="F1232" s="1097">
        <v>1.0135690908438506</v>
      </c>
      <c r="G1232" s="1097">
        <v>0.9788916814406684</v>
      </c>
      <c r="H1232" s="1097">
        <v>1.0130488150243806</v>
      </c>
      <c r="I1232" s="1097">
        <v>0.97524165018363684</v>
      </c>
      <c r="K1232">
        <v>5.2295550109738587</v>
      </c>
      <c r="L1232">
        <v>0</v>
      </c>
      <c r="M1232">
        <v>3.6881175528370104E-3</v>
      </c>
      <c r="N1232">
        <v>0.31779813459722095</v>
      </c>
      <c r="O1232">
        <v>0.14873800936082401</v>
      </c>
      <c r="P1232">
        <v>2.0502413077940387E-2</v>
      </c>
      <c r="Q1232">
        <v>1.2860450323250083E-3</v>
      </c>
      <c r="R1232">
        <v>3.6821572660452211E-3</v>
      </c>
      <c r="S1232">
        <v>0.45466890808272015</v>
      </c>
      <c r="T1232">
        <v>4.049836791352508</v>
      </c>
      <c r="U1232">
        <v>0</v>
      </c>
      <c r="V1232">
        <v>1.1304767209823827E-2</v>
      </c>
      <c r="W1232">
        <v>0.18959390184072938</v>
      </c>
      <c r="X1232">
        <v>2.5425943153300198E-2</v>
      </c>
      <c r="Y1232">
        <v>1.0406057553252371E-2</v>
      </c>
    </row>
    <row r="1233" spans="1:25" x14ac:dyDescent="0.25">
      <c r="A1233" s="1093"/>
      <c r="B1233" s="1452">
        <v>983</v>
      </c>
      <c r="C1233" s="1097">
        <v>1.019623832854567</v>
      </c>
      <c r="D1233" s="1097">
        <v>0.98937998357664891</v>
      </c>
      <c r="E1233" s="1097">
        <v>0.99516947972726466</v>
      </c>
      <c r="F1233" s="1097">
        <v>1.0154917779243475</v>
      </c>
      <c r="G1233" s="1097">
        <v>0.98885735943935027</v>
      </c>
      <c r="H1233" s="1097">
        <v>0.99617853676361368</v>
      </c>
      <c r="I1233" s="1097">
        <v>1.023815970442199</v>
      </c>
      <c r="K1233">
        <v>5.2431589413786011</v>
      </c>
      <c r="L1233">
        <v>0</v>
      </c>
      <c r="M1233">
        <v>3.6398760064532036E-3</v>
      </c>
      <c r="N1233">
        <v>0.31129117328415357</v>
      </c>
      <c r="O1233">
        <v>0.14855663737494534</v>
      </c>
      <c r="P1233">
        <v>2.0572176109257503E-2</v>
      </c>
      <c r="Q1233">
        <v>1.2786558743081212E-3</v>
      </c>
      <c r="R1233">
        <v>3.6339053720768236E-3</v>
      </c>
      <c r="S1233">
        <v>0.47060595771860275</v>
      </c>
      <c r="T1233">
        <v>4.0578421650976972</v>
      </c>
      <c r="U1233">
        <v>0</v>
      </c>
      <c r="V1233">
        <v>1.1304767209823803E-2</v>
      </c>
      <c r="W1233">
        <v>0.18603048020343044</v>
      </c>
      <c r="X1233">
        <v>2.5413205123719383E-2</v>
      </c>
      <c r="Y1233">
        <v>1.0269694017039843E-2</v>
      </c>
    </row>
    <row r="1234" spans="1:25" x14ac:dyDescent="0.25">
      <c r="A1234" s="1093"/>
      <c r="B1234" s="1452">
        <v>984</v>
      </c>
      <c r="C1234" s="1097">
        <v>0.98711449299568987</v>
      </c>
      <c r="D1234" s="1097">
        <v>0.96515167945470159</v>
      </c>
      <c r="E1234" s="1097">
        <v>1.0016043400279211</v>
      </c>
      <c r="F1234" s="1097">
        <v>1.0296350641476781</v>
      </c>
      <c r="G1234" s="1097">
        <v>1.0281048575284017</v>
      </c>
      <c r="H1234" s="1097">
        <v>1.0083986756997498</v>
      </c>
      <c r="I1234" s="1097">
        <v>0.98139032834579387</v>
      </c>
      <c r="K1234">
        <v>5.352444412963103</v>
      </c>
      <c r="L1234">
        <v>0</v>
      </c>
      <c r="M1234">
        <v>3.8448065534877809E-3</v>
      </c>
      <c r="N1234">
        <v>0.33516169851007116</v>
      </c>
      <c r="O1234">
        <v>0.15694750223641898</v>
      </c>
      <c r="P1234">
        <v>2.0949753250138346E-2</v>
      </c>
      <c r="Q1234">
        <v>1.341314717248105E-3</v>
      </c>
      <c r="R1234">
        <v>3.8386616349384757E-3</v>
      </c>
      <c r="S1234">
        <v>0.47608561799223792</v>
      </c>
      <c r="T1234">
        <v>4.1135253701600245</v>
      </c>
      <c r="U1234">
        <v>0</v>
      </c>
      <c r="V1234">
        <v>1.1304767209823818E-2</v>
      </c>
      <c r="W1234">
        <v>0.19942554972216139</v>
      </c>
      <c r="X1234">
        <v>2.6860633235233536E-2</v>
      </c>
      <c r="Y1234">
        <v>1.0848350848288033E-2</v>
      </c>
    </row>
    <row r="1235" spans="1:25" x14ac:dyDescent="0.25">
      <c r="A1235" s="1093"/>
      <c r="B1235" s="1452">
        <v>985</v>
      </c>
      <c r="C1235" s="1097">
        <v>0.99950819310869632</v>
      </c>
      <c r="D1235" s="1097">
        <v>0.99357048825653249</v>
      </c>
      <c r="E1235" s="1097">
        <v>0.9890269666024768</v>
      </c>
      <c r="F1235" s="1097">
        <v>1.0360392870645796</v>
      </c>
      <c r="G1235" s="1097">
        <v>1.0004682244662411</v>
      </c>
      <c r="H1235" s="1097">
        <v>1.0228641328720918</v>
      </c>
      <c r="I1235" s="1097">
        <v>0.99713105552777614</v>
      </c>
      <c r="K1235">
        <v>5.3744349564987237</v>
      </c>
      <c r="L1235">
        <v>0</v>
      </c>
      <c r="M1235">
        <v>3.933539309139338E-3</v>
      </c>
      <c r="N1235">
        <v>0.3303598659441272</v>
      </c>
      <c r="O1235">
        <v>0.15452929928768178</v>
      </c>
      <c r="P1235">
        <v>2.0895166563266569E-2</v>
      </c>
      <c r="Q1235">
        <v>1.2953146268264788E-3</v>
      </c>
      <c r="R1235">
        <v>3.9273797323422406E-3</v>
      </c>
      <c r="S1235">
        <v>0.48029035218734534</v>
      </c>
      <c r="T1235">
        <v>4.1407507080581372</v>
      </c>
      <c r="U1235">
        <v>0</v>
      </c>
      <c r="V1235">
        <v>1.1304767209823818E-2</v>
      </c>
      <c r="W1235">
        <v>0.19825186820668977</v>
      </c>
      <c r="X1235">
        <v>2.5664699026759281E-2</v>
      </c>
      <c r="Y1235">
        <v>1.1099074964857392E-2</v>
      </c>
    </row>
    <row r="1236" spans="1:25" x14ac:dyDescent="0.25">
      <c r="A1236" s="1093"/>
      <c r="B1236" s="1452">
        <v>986</v>
      </c>
      <c r="C1236" s="1097">
        <v>0.98080495700963244</v>
      </c>
      <c r="D1236" s="1097">
        <v>0.98292249226316386</v>
      </c>
      <c r="E1236" s="1097">
        <v>0.99154199900213946</v>
      </c>
      <c r="F1236" s="1097">
        <v>0.99338736734018929</v>
      </c>
      <c r="G1236" s="1097">
        <v>0.99225027835461466</v>
      </c>
      <c r="H1236" s="1097">
        <v>1.0180650932973219</v>
      </c>
      <c r="I1236" s="1097">
        <v>0.97302665725379733</v>
      </c>
      <c r="K1236">
        <v>5.1684980318679683</v>
      </c>
      <c r="L1236">
        <v>0</v>
      </c>
      <c r="M1236">
        <v>3.8220123076661869E-3</v>
      </c>
      <c r="N1236">
        <v>0.32337168725129606</v>
      </c>
      <c r="O1236">
        <v>0.15157383758736637</v>
      </c>
      <c r="P1236">
        <v>2.007636096700437E-2</v>
      </c>
      <c r="Q1236">
        <v>1.3285951288795872E-3</v>
      </c>
      <c r="R1236">
        <v>3.8157414117867662E-3</v>
      </c>
      <c r="S1236">
        <v>0.46113640591122834</v>
      </c>
      <c r="T1236">
        <v>3.9699681532289182</v>
      </c>
      <c r="U1236">
        <v>0</v>
      </c>
      <c r="V1236">
        <v>1.1304767209823813E-2</v>
      </c>
      <c r="W1236">
        <v>0.19372643105488832</v>
      </c>
      <c r="X1236">
        <v>2.5234487876656924E-2</v>
      </c>
      <c r="Y1236">
        <v>1.0783576547785043E-2</v>
      </c>
    </row>
    <row r="1237" spans="1:25" x14ac:dyDescent="0.25">
      <c r="A1237" s="1093"/>
      <c r="B1237" s="1452">
        <v>987</v>
      </c>
      <c r="C1237" s="1097">
        <v>1.0320588938678479</v>
      </c>
      <c r="D1237" s="1097">
        <v>0.98832273252007241</v>
      </c>
      <c r="E1237" s="1097">
        <v>0.9972534976235139</v>
      </c>
      <c r="F1237" s="1097">
        <v>0.99642348375133982</v>
      </c>
      <c r="G1237" s="1097">
        <v>0.99986655489290399</v>
      </c>
      <c r="H1237" s="1097">
        <v>0.98327219378832165</v>
      </c>
      <c r="I1237" s="1097">
        <v>1.0032506098905019</v>
      </c>
      <c r="K1237">
        <v>5.1156414747023122</v>
      </c>
      <c r="L1237">
        <v>0</v>
      </c>
      <c r="M1237">
        <v>3.4691302877319359E-3</v>
      </c>
      <c r="N1237">
        <v>0.29851084451740495</v>
      </c>
      <c r="O1237">
        <v>0.1440161497781976</v>
      </c>
      <c r="P1237">
        <v>2.0146305355621355E-2</v>
      </c>
      <c r="Q1237">
        <v>1.2660546776079684E-3</v>
      </c>
      <c r="R1237">
        <v>3.4632548964128157E-3</v>
      </c>
      <c r="S1237">
        <v>0.44616266621309614</v>
      </c>
      <c r="T1237">
        <v>3.9813852609283598</v>
      </c>
      <c r="U1237">
        <v>0</v>
      </c>
      <c r="V1237">
        <v>1.1304767209823815E-2</v>
      </c>
      <c r="W1237">
        <v>0.17814109602335707</v>
      </c>
      <c r="X1237">
        <v>2.4926782645899266E-2</v>
      </c>
      <c r="Y1237">
        <v>9.7874227442658716E-3</v>
      </c>
    </row>
    <row r="1238" spans="1:25" x14ac:dyDescent="0.25">
      <c r="A1238" s="1093"/>
      <c r="B1238" s="1452">
        <v>988</v>
      </c>
      <c r="C1238" s="1097">
        <v>1.0013755442091317</v>
      </c>
      <c r="D1238" s="1097">
        <v>0.9808414540160808</v>
      </c>
      <c r="E1238" s="1097">
        <v>0.99442683408962029</v>
      </c>
      <c r="F1238" s="1097">
        <v>1.0133030320990664</v>
      </c>
      <c r="G1238" s="1097">
        <v>1.0101635046129749</v>
      </c>
      <c r="H1238" s="1097">
        <v>0.99563276863967942</v>
      </c>
      <c r="I1238" s="1097">
        <v>1.0302824679276614</v>
      </c>
      <c r="K1238">
        <v>5.2586623299069641</v>
      </c>
      <c r="L1238">
        <v>0</v>
      </c>
      <c r="M1238">
        <v>3.7148428471611996E-3</v>
      </c>
      <c r="N1238">
        <v>0.31700253012509627</v>
      </c>
      <c r="O1238">
        <v>0.15148308635922053</v>
      </c>
      <c r="P1238">
        <v>2.0573408430983802E-2</v>
      </c>
      <c r="Q1238">
        <v>1.3056448678587826E-3</v>
      </c>
      <c r="R1238">
        <v>3.7087327534860008E-3</v>
      </c>
      <c r="S1238">
        <v>0.48205183605590707</v>
      </c>
      <c r="T1238">
        <v>4.0491907853076476</v>
      </c>
      <c r="U1238">
        <v>0</v>
      </c>
      <c r="V1238">
        <v>1.1304767209823813E-2</v>
      </c>
      <c r="W1238">
        <v>0.18953908867614583</v>
      </c>
      <c r="X1238">
        <v>2.5736131058254098E-2</v>
      </c>
      <c r="Y1238">
        <v>1.04811619097025E-2</v>
      </c>
    </row>
    <row r="1239" spans="1:25" x14ac:dyDescent="0.25">
      <c r="A1239" s="1093"/>
      <c r="B1239" s="1452">
        <v>989</v>
      </c>
      <c r="C1239" s="1097">
        <v>1.0171730491829456</v>
      </c>
      <c r="D1239" s="1097">
        <v>1.004071131126919</v>
      </c>
      <c r="E1239" s="1097">
        <v>1.0156290073296872</v>
      </c>
      <c r="F1239" s="1097">
        <v>1.0034795483836485</v>
      </c>
      <c r="G1239" s="1097">
        <v>0.99340681946739984</v>
      </c>
      <c r="H1239" s="1097">
        <v>1.0219148723820106</v>
      </c>
      <c r="I1239" s="1097">
        <v>1.0057593588479592</v>
      </c>
      <c r="K1239">
        <v>5.193124781920532</v>
      </c>
      <c r="L1239">
        <v>0</v>
      </c>
      <c r="M1239">
        <v>3.5217752765422765E-3</v>
      </c>
      <c r="N1239">
        <v>0.32001348791513218</v>
      </c>
      <c r="O1239">
        <v>0.14572706499825058</v>
      </c>
      <c r="P1239">
        <v>2.0615852093227412E-2</v>
      </c>
      <c r="Q1239">
        <v>1.2966636877190497E-3</v>
      </c>
      <c r="R1239">
        <v>3.5160765557504937E-3</v>
      </c>
      <c r="S1239">
        <v>0.46227311135509308</v>
      </c>
      <c r="T1239">
        <v>4.007270906725533</v>
      </c>
      <c r="U1239">
        <v>0</v>
      </c>
      <c r="V1239">
        <v>1.1304767209823817E-2</v>
      </c>
      <c r="W1239">
        <v>0.1886261979049732</v>
      </c>
      <c r="X1239">
        <v>2.6065727965271193E-2</v>
      </c>
      <c r="Y1239">
        <v>9.9367007862970688E-3</v>
      </c>
    </row>
    <row r="1240" spans="1:25" x14ac:dyDescent="0.25">
      <c r="A1240" s="1093"/>
      <c r="B1240" s="1452">
        <v>990</v>
      </c>
      <c r="C1240" s="1097">
        <v>0.99866412720874898</v>
      </c>
      <c r="D1240" s="1097">
        <v>1.0230794116202337</v>
      </c>
      <c r="E1240" s="1097">
        <v>0.99984430334545804</v>
      </c>
      <c r="F1240" s="1097">
        <v>1.0235739329709859</v>
      </c>
      <c r="G1240" s="1097">
        <v>0.98704309967118775</v>
      </c>
      <c r="H1240" s="1097">
        <v>0.99069055653362625</v>
      </c>
      <c r="I1240" s="1097">
        <v>1.0003090669067072</v>
      </c>
      <c r="K1240">
        <v>5.2820676579636912</v>
      </c>
      <c r="L1240">
        <v>0</v>
      </c>
      <c r="M1240">
        <v>3.6395924652706671E-3</v>
      </c>
      <c r="N1240">
        <v>0.31561042835056513</v>
      </c>
      <c r="O1240">
        <v>0.15071492839048944</v>
      </c>
      <c r="P1240">
        <v>2.0778667468148434E-2</v>
      </c>
      <c r="Q1240">
        <v>1.2932975886120522E-3</v>
      </c>
      <c r="R1240">
        <v>3.6336365487808467E-3</v>
      </c>
      <c r="S1240">
        <v>0.46849091532186604</v>
      </c>
      <c r="T1240">
        <v>4.0895364766133255</v>
      </c>
      <c r="U1240">
        <v>0</v>
      </c>
      <c r="V1240">
        <v>1.130476720982382E-2</v>
      </c>
      <c r="W1240">
        <v>0.18801570476276114</v>
      </c>
      <c r="X1240">
        <v>2.6059493872705074E-2</v>
      </c>
      <c r="Y1240">
        <v>1.0268934301881725E-2</v>
      </c>
    </row>
    <row r="1241" spans="1:25" x14ac:dyDescent="0.25">
      <c r="A1241" s="1093"/>
      <c r="B1241" s="1452">
        <v>991</v>
      </c>
      <c r="C1241" s="1097">
        <v>1.0271979938125602</v>
      </c>
      <c r="D1241" s="1097">
        <v>1.0004627984715773</v>
      </c>
      <c r="E1241" s="1097">
        <v>1.0214433465482802</v>
      </c>
      <c r="F1241" s="1097">
        <v>1.0288855162177868</v>
      </c>
      <c r="G1241" s="1097">
        <v>0.97655314741836408</v>
      </c>
      <c r="H1241" s="1097">
        <v>1.0164931728808189</v>
      </c>
      <c r="I1241" s="1097">
        <v>1.0027371115761103</v>
      </c>
      <c r="K1241">
        <v>5.3082443635003722</v>
      </c>
      <c r="L1241">
        <v>0</v>
      </c>
      <c r="M1241">
        <v>3.5182398742376092E-3</v>
      </c>
      <c r="N1241">
        <v>0.32525007416488666</v>
      </c>
      <c r="O1241">
        <v>0.14800943956187543</v>
      </c>
      <c r="P1241">
        <v>2.1183729576001644E-2</v>
      </c>
      <c r="Q1241">
        <v>1.2922074423010303E-3</v>
      </c>
      <c r="R1241">
        <v>3.5126576067305809E-3</v>
      </c>
      <c r="S1241">
        <v>0.46540147015185995</v>
      </c>
      <c r="T1241">
        <v>4.1079819566426936</v>
      </c>
      <c r="U1241">
        <v>0</v>
      </c>
      <c r="V1241">
        <v>1.1304767209823822E-2</v>
      </c>
      <c r="W1241">
        <v>0.19097025926658789</v>
      </c>
      <c r="X1241">
        <v>2.6929003176502059E-2</v>
      </c>
      <c r="Y1241">
        <v>9.9270385753423857E-3</v>
      </c>
    </row>
    <row r="1242" spans="1:25" x14ac:dyDescent="0.25">
      <c r="A1242" s="1093"/>
      <c r="B1242" s="1452">
        <v>992</v>
      </c>
      <c r="C1242" s="1097">
        <v>1.0055820539955413</v>
      </c>
      <c r="D1242" s="1097">
        <v>1.0176581523264756</v>
      </c>
      <c r="E1242" s="1097">
        <v>0.96420585753597265</v>
      </c>
      <c r="F1242" s="1097">
        <v>1.0149419654939635</v>
      </c>
      <c r="G1242" s="1097">
        <v>1.0021401376109755</v>
      </c>
      <c r="H1242" s="1097">
        <v>0.97957572760031597</v>
      </c>
      <c r="I1242" s="1097">
        <v>1.0035549090758953</v>
      </c>
      <c r="K1242">
        <v>5.2192495773065124</v>
      </c>
      <c r="L1242">
        <v>0</v>
      </c>
      <c r="M1242">
        <v>3.8274390998002087E-3</v>
      </c>
      <c r="N1242">
        <v>0.29858777322402097</v>
      </c>
      <c r="O1242">
        <v>0.14972533286396902</v>
      </c>
      <c r="P1242">
        <v>2.0063152136194553E-2</v>
      </c>
      <c r="Q1242">
        <v>1.2479734916352467E-3</v>
      </c>
      <c r="R1242">
        <v>3.8210509343040667E-3</v>
      </c>
      <c r="S1242">
        <v>0.461839090990805</v>
      </c>
      <c r="T1242">
        <v>4.0596283563358</v>
      </c>
      <c r="U1242">
        <v>0</v>
      </c>
      <c r="V1242">
        <v>1.1304767209823824E-2</v>
      </c>
      <c r="W1242">
        <v>0.18226560003265341</v>
      </c>
      <c r="X1242">
        <v>2.3795337523320102E-2</v>
      </c>
      <c r="Y1242">
        <v>1.0798581663781804E-2</v>
      </c>
    </row>
    <row r="1243" spans="1:25" x14ac:dyDescent="0.25">
      <c r="A1243" s="1093"/>
      <c r="B1243" s="1452">
        <v>993</v>
      </c>
      <c r="C1243" s="1097">
        <v>1.0048299475619129</v>
      </c>
      <c r="D1243" s="1097">
        <v>0.99739298686235822</v>
      </c>
      <c r="E1243" s="1097">
        <v>0.97620629256745173</v>
      </c>
      <c r="F1243" s="1097">
        <v>1.0012265852414384</v>
      </c>
      <c r="G1243" s="1097">
        <v>1.0125787048182096</v>
      </c>
      <c r="H1243" s="1097">
        <v>0.99575862273922267</v>
      </c>
      <c r="I1243" s="1097">
        <v>0.98295006383882289</v>
      </c>
      <c r="K1243">
        <v>5.1615779042359629</v>
      </c>
      <c r="L1243">
        <v>0</v>
      </c>
      <c r="M1243">
        <v>3.7759000958761477E-3</v>
      </c>
      <c r="N1243">
        <v>0.30525483775529061</v>
      </c>
      <c r="O1243">
        <v>0.1486737515390627</v>
      </c>
      <c r="P1243">
        <v>1.9953809221487817E-2</v>
      </c>
      <c r="Q1243">
        <v>1.2722630507617473E-3</v>
      </c>
      <c r="R1243">
        <v>3.7696155859750064E-3</v>
      </c>
      <c r="S1243">
        <v>0.45227532047455327</v>
      </c>
      <c r="T1243">
        <v>4.0032391499999234</v>
      </c>
      <c r="U1243">
        <v>0</v>
      </c>
      <c r="V1243">
        <v>1.1304767209823824E-2</v>
      </c>
      <c r="W1243">
        <v>0.18479940104259843</v>
      </c>
      <c r="X1243">
        <v>2.4157667009857848E-2</v>
      </c>
      <c r="Y1243">
        <v>1.0653221442500801E-2</v>
      </c>
    </row>
    <row r="1244" spans="1:25" x14ac:dyDescent="0.25">
      <c r="A1244" s="1093"/>
      <c r="B1244" s="1452">
        <v>994</v>
      </c>
      <c r="C1244" s="1097">
        <v>1.0123376604471974</v>
      </c>
      <c r="D1244" s="1097">
        <v>1.0333220179232221</v>
      </c>
      <c r="E1244" s="1097">
        <v>1.0181902828606464</v>
      </c>
      <c r="F1244" s="1097">
        <v>1.0140004811311183</v>
      </c>
      <c r="G1244" s="1097">
        <v>0.99023741784903196</v>
      </c>
      <c r="H1244" s="1097">
        <v>0.97314360360078533</v>
      </c>
      <c r="I1244" s="1097">
        <v>1.003672598601802</v>
      </c>
      <c r="K1244">
        <v>5.2074817885285638</v>
      </c>
      <c r="L1244">
        <v>0</v>
      </c>
      <c r="M1244">
        <v>3.3479457808993315E-3</v>
      </c>
      <c r="N1244">
        <v>0.30651318466687616</v>
      </c>
      <c r="O1244">
        <v>0.14619800928476465</v>
      </c>
      <c r="P1244">
        <v>2.0817580081269656E-2</v>
      </c>
      <c r="Q1244">
        <v>1.2907776894960606E-3</v>
      </c>
      <c r="R1244">
        <v>3.3423157632240931E-3</v>
      </c>
      <c r="S1244">
        <v>0.45592807590735579</v>
      </c>
      <c r="T1244">
        <v>4.0489614670991525</v>
      </c>
      <c r="U1244">
        <v>0</v>
      </c>
      <c r="V1244">
        <v>1.1304767209823811E-2</v>
      </c>
      <c r="W1244">
        <v>0.18035975599970069</v>
      </c>
      <c r="X1244">
        <v>2.6668161087191163E-2</v>
      </c>
      <c r="Y1244">
        <v>9.4456395206085134E-3</v>
      </c>
    </row>
    <row r="1245" spans="1:25" x14ac:dyDescent="0.25">
      <c r="A1245" s="1093"/>
      <c r="B1245" s="1452">
        <v>995</v>
      </c>
      <c r="C1245" s="1097">
        <v>0.99758427419340945</v>
      </c>
      <c r="D1245" s="1097">
        <v>1.0185893653362923</v>
      </c>
      <c r="E1245" s="1097">
        <v>0.96116150136217915</v>
      </c>
      <c r="F1245" s="1097">
        <v>1.008772522554906</v>
      </c>
      <c r="G1245" s="1097">
        <v>0.95957519926304968</v>
      </c>
      <c r="H1245" s="1097">
        <v>0.98385637976923279</v>
      </c>
      <c r="I1245" s="1097">
        <v>0.99931978770239427</v>
      </c>
      <c r="K1245">
        <v>5.1970726936856408</v>
      </c>
      <c r="L1245">
        <v>0</v>
      </c>
      <c r="M1245">
        <v>3.8746748842342547E-3</v>
      </c>
      <c r="N1245">
        <v>0.29955006084982105</v>
      </c>
      <c r="O1245">
        <v>0.15003837362627329</v>
      </c>
      <c r="P1245">
        <v>1.9909278203347369E-2</v>
      </c>
      <c r="Q1245">
        <v>1.2541628727251936E-3</v>
      </c>
      <c r="R1245">
        <v>3.8681967033572613E-3</v>
      </c>
      <c r="S1245">
        <v>0.46193338647116344</v>
      </c>
      <c r="T1245">
        <v>4.0353437376416537</v>
      </c>
      <c r="U1245">
        <v>0</v>
      </c>
      <c r="V1245">
        <v>1.1304767209823815E-2</v>
      </c>
      <c r="W1245">
        <v>0.1832393444678557</v>
      </c>
      <c r="X1245">
        <v>2.3574241317318962E-2</v>
      </c>
      <c r="Y1245">
        <v>1.0931819206535326E-2</v>
      </c>
    </row>
    <row r="1246" spans="1:25" x14ac:dyDescent="0.25">
      <c r="A1246" s="1093"/>
      <c r="B1246" s="1452">
        <v>996</v>
      </c>
      <c r="C1246" s="1097">
        <v>1.0020350164434648</v>
      </c>
      <c r="D1246" s="1097">
        <v>1.0128584671046195</v>
      </c>
      <c r="E1246" s="1097">
        <v>1.0084939070352494</v>
      </c>
      <c r="F1246" s="1097">
        <v>0.9875363312496761</v>
      </c>
      <c r="G1246" s="1097">
        <v>0.99471202026594663</v>
      </c>
      <c r="H1246" s="1097">
        <v>0.9638327963879828</v>
      </c>
      <c r="I1246" s="1097">
        <v>1.0404263832730398</v>
      </c>
      <c r="K1246">
        <v>5.100451049615768</v>
      </c>
      <c r="L1246">
        <v>0</v>
      </c>
      <c r="M1246">
        <v>3.3569185984560173E-3</v>
      </c>
      <c r="N1246">
        <v>0.29862059980906486</v>
      </c>
      <c r="O1246">
        <v>0.14526657151407274</v>
      </c>
      <c r="P1246">
        <v>2.0242035571885697E-2</v>
      </c>
      <c r="Q1246">
        <v>1.3037374697350125E-3</v>
      </c>
      <c r="R1246">
        <v>3.3510664758216176E-3</v>
      </c>
      <c r="S1246">
        <v>0.46702354906737031</v>
      </c>
      <c r="T1246">
        <v>3.9444832885416008</v>
      </c>
      <c r="U1246">
        <v>0</v>
      </c>
      <c r="V1246">
        <v>1.1304767209823808E-2</v>
      </c>
      <c r="W1246">
        <v>0.17686048198703516</v>
      </c>
      <c r="X1246">
        <v>2.5881500865319051E-2</v>
      </c>
      <c r="Y1246">
        <v>9.4703697024944196E-3</v>
      </c>
    </row>
    <row r="1247" spans="1:25" x14ac:dyDescent="0.25">
      <c r="A1247" s="1093"/>
      <c r="B1247" s="1452">
        <v>997</v>
      </c>
      <c r="C1247" s="1097">
        <v>0.9817827445709697</v>
      </c>
      <c r="D1247" s="1097">
        <v>1.0282504683311919</v>
      </c>
      <c r="E1247" s="1097">
        <v>1.0257432175641923</v>
      </c>
      <c r="F1247" s="1097">
        <v>1.0229237626266861</v>
      </c>
      <c r="G1247" s="1097">
        <v>0.96828539752709952</v>
      </c>
      <c r="H1247" s="1097">
        <v>1.0090156091586888</v>
      </c>
      <c r="I1247" s="1097">
        <v>1.0356210895543112</v>
      </c>
      <c r="K1247">
        <v>5.332444033718768</v>
      </c>
      <c r="L1247">
        <v>0</v>
      </c>
      <c r="M1247">
        <v>3.5606719539420179E-3</v>
      </c>
      <c r="N1247">
        <v>0.33337895094019987</v>
      </c>
      <c r="O1247">
        <v>0.15215746645818728</v>
      </c>
      <c r="P1247">
        <v>2.128071785370015E-2</v>
      </c>
      <c r="Q1247">
        <v>1.3421110596767321E-3</v>
      </c>
      <c r="R1247">
        <v>3.5549473763381882E-3</v>
      </c>
      <c r="S1247">
        <v>0.49629571602984474</v>
      </c>
      <c r="T1247">
        <v>4.0836326621885917</v>
      </c>
      <c r="U1247">
        <v>0</v>
      </c>
      <c r="V1247">
        <v>1.1304767209823808E-2</v>
      </c>
      <c r="W1247">
        <v>0.19518406521722903</v>
      </c>
      <c r="X1247">
        <v>2.7826748646195658E-2</v>
      </c>
      <c r="Y1247">
        <v>1.0046552692924654E-2</v>
      </c>
    </row>
    <row r="1248" spans="1:25" x14ac:dyDescent="0.25">
      <c r="A1248" s="1093"/>
      <c r="B1248" s="1452">
        <v>998</v>
      </c>
      <c r="C1248" s="1097">
        <v>0.99507297846148124</v>
      </c>
      <c r="D1248" s="1097">
        <v>1.0188985712881626</v>
      </c>
      <c r="E1248" s="1097">
        <v>1.0150270662388658</v>
      </c>
      <c r="F1248" s="1097">
        <v>0.99744296487211481</v>
      </c>
      <c r="G1248" s="1097">
        <v>0.99764481557128371</v>
      </c>
      <c r="H1248" s="1097">
        <v>0.97923438155342357</v>
      </c>
      <c r="I1248" s="1097">
        <v>0.97209773943069389</v>
      </c>
      <c r="K1248">
        <v>5.1370615622472391</v>
      </c>
      <c r="L1248">
        <v>0</v>
      </c>
      <c r="M1248">
        <v>3.4132068899059608E-3</v>
      </c>
      <c r="N1248">
        <v>0.30957112058076536</v>
      </c>
      <c r="O1248">
        <v>0.14721846163129648</v>
      </c>
      <c r="P1248">
        <v>2.0418467038747463E-2</v>
      </c>
      <c r="Q1248">
        <v>1.3170394927805131E-3</v>
      </c>
      <c r="R1248">
        <v>3.4074082982435399E-3</v>
      </c>
      <c r="S1248">
        <v>0.44537224218824145</v>
      </c>
      <c r="T1248">
        <v>3.9832393978665417</v>
      </c>
      <c r="U1248">
        <v>0</v>
      </c>
      <c r="V1248">
        <v>1.1304767209823811E-2</v>
      </c>
      <c r="W1248">
        <v>0.18254461628449981</v>
      </c>
      <c r="X1248">
        <v>2.6451652552052632E-2</v>
      </c>
      <c r="Y1248">
        <v>9.6295959941534275E-3</v>
      </c>
    </row>
    <row r="1249" spans="1:25" x14ac:dyDescent="0.25">
      <c r="A1249" s="1093"/>
      <c r="B1249" s="1452">
        <v>999</v>
      </c>
      <c r="C1249" s="1097">
        <v>1.0347723510317124</v>
      </c>
      <c r="D1249" s="1097">
        <v>1.0307038761361103</v>
      </c>
      <c r="E1249" s="1097">
        <v>0.9915366852759927</v>
      </c>
      <c r="F1249" s="1097">
        <v>1.0074948012865053</v>
      </c>
      <c r="G1249" s="1097">
        <v>0.99312297946882111</v>
      </c>
      <c r="H1249" s="1097">
        <v>0.99788615841490713</v>
      </c>
      <c r="I1249" s="1097">
        <v>0.9542348120100993</v>
      </c>
      <c r="K1249">
        <v>5.1406712963467216</v>
      </c>
      <c r="L1249">
        <v>0</v>
      </c>
      <c r="M1249">
        <v>3.5335268130199161E-3</v>
      </c>
      <c r="N1249">
        <v>0.29895595387032065</v>
      </c>
      <c r="O1249">
        <v>0.14296865817970267</v>
      </c>
      <c r="P1249">
        <v>2.0173321383929705E-2</v>
      </c>
      <c r="Q1249">
        <v>1.2356135126698206E-3</v>
      </c>
      <c r="R1249">
        <v>3.5276946933711553E-3</v>
      </c>
      <c r="S1249">
        <v>0.42624221903042703</v>
      </c>
      <c r="T1249">
        <v>4.0263477043441513</v>
      </c>
      <c r="U1249">
        <v>0</v>
      </c>
      <c r="V1249">
        <v>1.1304767209823829E-2</v>
      </c>
      <c r="W1249">
        <v>0.17910003091582025</v>
      </c>
      <c r="X1249">
        <v>2.4379325489302488E-2</v>
      </c>
      <c r="Y1249">
        <v>9.9695345302159028E-3</v>
      </c>
    </row>
    <row r="1250" spans="1:25" x14ac:dyDescent="0.25">
      <c r="A1250" s="1093"/>
      <c r="B1250" s="1452">
        <v>1000</v>
      </c>
      <c r="C1250" s="1097">
        <v>0.97130064589945853</v>
      </c>
      <c r="D1250" s="1097">
        <v>1.0256063587635138</v>
      </c>
      <c r="E1250" s="1097">
        <v>1.0101893914629509</v>
      </c>
      <c r="F1250" s="1097">
        <v>0.96004528002083533</v>
      </c>
      <c r="G1250" s="1097">
        <v>0.98285849376991774</v>
      </c>
      <c r="H1250" s="1097">
        <v>0.98650825380192764</v>
      </c>
      <c r="I1250" s="1097">
        <v>0.99754800185861148</v>
      </c>
      <c r="K1250">
        <v>4.9873997852007594</v>
      </c>
      <c r="L1250">
        <v>0</v>
      </c>
      <c r="M1250">
        <v>3.4166689313528736E-3</v>
      </c>
      <c r="N1250">
        <v>0.30546280882159399</v>
      </c>
      <c r="O1250">
        <v>0.14491801647219965</v>
      </c>
      <c r="P1250">
        <v>1.9704812759687596E-2</v>
      </c>
      <c r="Q1250">
        <v>1.3402132916435451E-3</v>
      </c>
      <c r="R1250">
        <v>3.4106832036882814E-3</v>
      </c>
      <c r="S1250">
        <v>0.45425826442453276</v>
      </c>
      <c r="T1250">
        <v>3.8344732350078181</v>
      </c>
      <c r="U1250">
        <v>0</v>
      </c>
      <c r="V1250">
        <v>1.1304767209823804E-2</v>
      </c>
      <c r="W1250">
        <v>0.1807069473873445</v>
      </c>
      <c r="X1250">
        <v>2.5597854426814576E-2</v>
      </c>
      <c r="Y1250">
        <v>9.6388511269674716E-3</v>
      </c>
    </row>
    <row r="1251" spans="1:25" x14ac:dyDescent="0.25">
      <c r="A1251" s="1093"/>
      <c r="B1251" s="1452">
        <v>1001</v>
      </c>
      <c r="C1251" s="1097">
        <v>1.0405585319748345</v>
      </c>
      <c r="D1251" s="1097">
        <v>1.0154098610555875</v>
      </c>
      <c r="E1251" s="1097">
        <v>1.0050720888657094</v>
      </c>
      <c r="F1251" s="1097">
        <v>0.99822080996706863</v>
      </c>
      <c r="G1251" s="1097">
        <v>1.0007370853459556</v>
      </c>
      <c r="H1251" s="1097">
        <v>1.0051247010797901</v>
      </c>
      <c r="I1251" s="1097">
        <v>0.96565272717508088</v>
      </c>
      <c r="K1251">
        <v>5.1055731888882692</v>
      </c>
      <c r="L1251">
        <v>0</v>
      </c>
      <c r="M1251">
        <v>3.4287590552700025E-3</v>
      </c>
      <c r="N1251">
        <v>0.30196309539527205</v>
      </c>
      <c r="O1251">
        <v>0.1413506156819688</v>
      </c>
      <c r="P1251">
        <v>2.0209808074038375E-2</v>
      </c>
      <c r="Q1251">
        <v>1.2505508425435445E-3</v>
      </c>
      <c r="R1251">
        <v>3.4230884997977595E-3</v>
      </c>
      <c r="S1251">
        <v>0.42810254152234839</v>
      </c>
      <c r="T1251">
        <v>3.9875874292766791</v>
      </c>
      <c r="U1251">
        <v>0</v>
      </c>
      <c r="V1251">
        <v>1.130476720982382E-2</v>
      </c>
      <c r="W1251">
        <v>0.17925228585860711</v>
      </c>
      <c r="X1251">
        <v>2.4883856141582471E-2</v>
      </c>
      <c r="Y1251">
        <v>9.6739094408724077E-3</v>
      </c>
    </row>
    <row r="1252" spans="1:25" x14ac:dyDescent="0.25">
      <c r="A1252" s="1093"/>
      <c r="B1252" s="1452">
        <v>1002</v>
      </c>
      <c r="C1252" s="1097">
        <v>1.0306062523081776</v>
      </c>
      <c r="D1252" s="1097">
        <v>0.97410024864871403</v>
      </c>
      <c r="E1252" s="1097">
        <v>0.96467034227320891</v>
      </c>
      <c r="F1252" s="1097">
        <v>1.0115372434605805</v>
      </c>
      <c r="G1252" s="1097">
        <v>1.0376172512061144</v>
      </c>
      <c r="H1252" s="1097">
        <v>0.98094641109139402</v>
      </c>
      <c r="I1252" s="1097">
        <v>0.98609301255214787</v>
      </c>
      <c r="K1252">
        <v>5.1830810858788849</v>
      </c>
      <c r="L1252">
        <v>0</v>
      </c>
      <c r="M1252">
        <v>3.7893108812731419E-3</v>
      </c>
      <c r="N1252">
        <v>0.2960205237819829</v>
      </c>
      <c r="O1252">
        <v>0.14815709492308793</v>
      </c>
      <c r="P1252">
        <v>1.9937649482964257E-2</v>
      </c>
      <c r="Q1252">
        <v>1.2396704826279682E-3</v>
      </c>
      <c r="R1252">
        <v>3.7829739677315657E-3</v>
      </c>
      <c r="S1252">
        <v>0.44555702160660549</v>
      </c>
      <c r="T1252">
        <v>4.0459499652485356</v>
      </c>
      <c r="U1252">
        <v>0</v>
      </c>
      <c r="V1252">
        <v>1.1304767209823827E-2</v>
      </c>
      <c r="W1252">
        <v>0.18064037587551976</v>
      </c>
      <c r="X1252">
        <v>2.3589380932063694E-2</v>
      </c>
      <c r="Y1252">
        <v>1.0690973249209037E-2</v>
      </c>
    </row>
    <row r="1253" spans="1:25" x14ac:dyDescent="0.25">
      <c r="A1253" s="1093"/>
      <c r="B1253" s="1452">
        <v>1003</v>
      </c>
      <c r="C1253" s="1097">
        <v>0.95526601304830916</v>
      </c>
      <c r="D1253" s="1097">
        <v>1.0264726417470988</v>
      </c>
      <c r="E1253" s="1097">
        <v>1.009541612289073</v>
      </c>
      <c r="F1253" s="1097">
        <v>0.97588086257028239</v>
      </c>
      <c r="G1253" s="1097">
        <v>0.98295616715072698</v>
      </c>
      <c r="H1253" s="1097">
        <v>0.998028028171005</v>
      </c>
      <c r="I1253" s="1097">
        <v>1.0149150858618521</v>
      </c>
      <c r="K1253">
        <v>5.1031411711492058</v>
      </c>
      <c r="L1253">
        <v>0</v>
      </c>
      <c r="M1253">
        <v>3.5761345749634288E-3</v>
      </c>
      <c r="N1253">
        <v>0.31912244063975598</v>
      </c>
      <c r="O1253">
        <v>0.14974868731055874</v>
      </c>
      <c r="P1253">
        <v>2.009660078077339E-2</v>
      </c>
      <c r="Q1253">
        <v>1.3614979874397751E-3</v>
      </c>
      <c r="R1253">
        <v>3.5700421107179516E-3</v>
      </c>
      <c r="S1253">
        <v>0.47852324712034566</v>
      </c>
      <c r="T1253">
        <v>3.8978004158937272</v>
      </c>
      <c r="U1253">
        <v>0</v>
      </c>
      <c r="V1253">
        <v>1.130476720982383E-2</v>
      </c>
      <c r="W1253">
        <v>0.18886989031659338</v>
      </c>
      <c r="X1253">
        <v>2.6230504789716006E-2</v>
      </c>
      <c r="Y1253">
        <v>1.0089211564710323E-2</v>
      </c>
    </row>
    <row r="1254" spans="1:25" x14ac:dyDescent="0.25">
      <c r="A1254" s="1093"/>
      <c r="B1254" s="1452">
        <v>1004</v>
      </c>
      <c r="C1254" s="1097">
        <v>0.98713098129356258</v>
      </c>
      <c r="D1254" s="1097">
        <v>1.0429624407796489</v>
      </c>
      <c r="E1254" s="1097">
        <v>1.0035848660574398</v>
      </c>
      <c r="F1254" s="1097">
        <v>1.0225086905971001</v>
      </c>
      <c r="G1254" s="1097">
        <v>1.0024855671169504</v>
      </c>
      <c r="H1254" s="1097">
        <v>0.97521779939144426</v>
      </c>
      <c r="I1254" s="1097">
        <v>1.0367863989404646</v>
      </c>
      <c r="K1254">
        <v>5.2901432801087207</v>
      </c>
      <c r="L1254">
        <v>0</v>
      </c>
      <c r="M1254">
        <v>3.5648709315100296E-3</v>
      </c>
      <c r="N1254">
        <v>0.31256697558452101</v>
      </c>
      <c r="O1254">
        <v>0.15104284978342966</v>
      </c>
      <c r="P1254">
        <v>2.0894745446160781E-2</v>
      </c>
      <c r="Q1254">
        <v>1.302537213949588E-3</v>
      </c>
      <c r="R1254">
        <v>3.5589385710330323E-3</v>
      </c>
      <c r="S1254">
        <v>0.48597043002151696</v>
      </c>
      <c r="T1254">
        <v>4.0848006377316901</v>
      </c>
      <c r="U1254">
        <v>0</v>
      </c>
      <c r="V1254">
        <v>1.1304767209823803E-2</v>
      </c>
      <c r="W1254">
        <v>0.18573304856028333</v>
      </c>
      <c r="X1254">
        <v>2.6475388803977824E-2</v>
      </c>
      <c r="Y1254">
        <v>1.0057832113845583E-2</v>
      </c>
    </row>
    <row r="1255" spans="1:25" x14ac:dyDescent="0.25">
      <c r="A1255" s="1093"/>
      <c r="B1255" s="1452">
        <v>1005</v>
      </c>
      <c r="C1255" s="1097">
        <v>0.98599641979341102</v>
      </c>
      <c r="D1255" s="1097">
        <v>1.0410204571419037</v>
      </c>
      <c r="E1255" s="1097">
        <v>0.98680308437791586</v>
      </c>
      <c r="F1255" s="1097">
        <v>0.96042223218350331</v>
      </c>
      <c r="G1255" s="1097">
        <v>1.0200538534611825</v>
      </c>
      <c r="H1255" s="1097">
        <v>0.99818167448262962</v>
      </c>
      <c r="I1255" s="1097">
        <v>0.97839804059756286</v>
      </c>
      <c r="K1255">
        <v>4.9620822772980402</v>
      </c>
      <c r="L1255">
        <v>0</v>
      </c>
      <c r="M1255">
        <v>3.5575645340808204E-3</v>
      </c>
      <c r="N1255">
        <v>0.29677042166346579</v>
      </c>
      <c r="O1255">
        <v>0.14258843761430148</v>
      </c>
      <c r="P1255">
        <v>1.9318191269868425E-2</v>
      </c>
      <c r="Q1255">
        <v>1.2863167429339264E-3</v>
      </c>
      <c r="R1255">
        <v>3.5514072700154964E-3</v>
      </c>
      <c r="S1255">
        <v>0.43981966548625684</v>
      </c>
      <c r="T1255">
        <v>3.8388007990461568</v>
      </c>
      <c r="U1255">
        <v>0</v>
      </c>
      <c r="V1255">
        <v>1.1304767209823832E-2</v>
      </c>
      <c r="W1255">
        <v>0.17836464619983797</v>
      </c>
      <c r="X1255">
        <v>2.3798641247271792E-2</v>
      </c>
      <c r="Y1255">
        <v>1.0036548082182396E-2</v>
      </c>
    </row>
    <row r="1256" spans="1:25" x14ac:dyDescent="0.25">
      <c r="A1256" s="1093"/>
      <c r="B1256" s="1452">
        <v>1006</v>
      </c>
      <c r="C1256" s="1097">
        <v>1.008483717694417</v>
      </c>
      <c r="D1256" s="1097">
        <v>0.99890038097163181</v>
      </c>
      <c r="E1256" s="1097">
        <v>1.0035776155887166</v>
      </c>
      <c r="F1256" s="1097">
        <v>0.95873372124196765</v>
      </c>
      <c r="G1256" s="1097">
        <v>0.99317623656588871</v>
      </c>
      <c r="H1256" s="1097">
        <v>1.0228061077884798</v>
      </c>
      <c r="I1256" s="1097">
        <v>1.0356402041260109</v>
      </c>
      <c r="K1256">
        <v>4.9883970255286849</v>
      </c>
      <c r="L1256">
        <v>0</v>
      </c>
      <c r="M1256">
        <v>3.4916001460606242E-3</v>
      </c>
      <c r="N1256">
        <v>0.30612746990757977</v>
      </c>
      <c r="O1256">
        <v>0.14103803383529742</v>
      </c>
      <c r="P1256">
        <v>1.9627060763180125E-2</v>
      </c>
      <c r="Q1256">
        <v>1.2971551832930805E-3</v>
      </c>
      <c r="R1256">
        <v>3.4856921709699828E-3</v>
      </c>
      <c r="S1256">
        <v>0.46276921869585996</v>
      </c>
      <c r="T1256">
        <v>3.8300280895902659</v>
      </c>
      <c r="U1256">
        <v>0</v>
      </c>
      <c r="V1256">
        <v>1.1304767209823825E-2</v>
      </c>
      <c r="W1256">
        <v>0.18190746504673941</v>
      </c>
      <c r="X1256">
        <v>2.4452841076563564E-2</v>
      </c>
      <c r="Y1256">
        <v>9.8508321951693047E-3</v>
      </c>
    </row>
    <row r="1257" spans="1:25" x14ac:dyDescent="0.25">
      <c r="A1257" s="1093"/>
      <c r="B1257" s="1452">
        <v>1007</v>
      </c>
      <c r="C1257" s="1097">
        <v>0.96234060469037963</v>
      </c>
      <c r="D1257" s="1097">
        <v>1.0116637277357501</v>
      </c>
      <c r="E1257" s="1097">
        <v>1.0259707906209579</v>
      </c>
      <c r="F1257" s="1097">
        <v>1.0156350959943681</v>
      </c>
      <c r="G1257" s="1097">
        <v>1.0157787405674459</v>
      </c>
      <c r="H1257" s="1097">
        <v>0.99988941517217789</v>
      </c>
      <c r="I1257" s="1097">
        <v>0.97631346080516868</v>
      </c>
      <c r="K1257">
        <v>5.2900036680231937</v>
      </c>
      <c r="L1257">
        <v>0</v>
      </c>
      <c r="M1257">
        <v>3.5957398351913203E-3</v>
      </c>
      <c r="N1257">
        <v>0.33688006673703275</v>
      </c>
      <c r="O1257">
        <v>0.15512462512426536</v>
      </c>
      <c r="P1257">
        <v>2.104674655575367E-2</v>
      </c>
      <c r="Q1257">
        <v>1.3784260089860611E-3</v>
      </c>
      <c r="R1257">
        <v>3.5898643170684374E-3</v>
      </c>
      <c r="S1257">
        <v>0.4741955458167561</v>
      </c>
      <c r="T1257">
        <v>4.0545067779592214</v>
      </c>
      <c r="U1257">
        <v>0</v>
      </c>
      <c r="V1257">
        <v>1.1304767209823817E-2</v>
      </c>
      <c r="W1257">
        <v>0.19720406219719405</v>
      </c>
      <c r="X1257">
        <v>2.8223295299074885E-2</v>
      </c>
      <c r="Y1257">
        <v>1.0145230633210654E-2</v>
      </c>
    </row>
    <row r="1258" spans="1:25" x14ac:dyDescent="0.25">
      <c r="A1258" s="1093"/>
      <c r="B1258" s="1452">
        <v>1008</v>
      </c>
      <c r="C1258" s="1097">
        <v>0.9861227542053479</v>
      </c>
      <c r="D1258" s="1097">
        <v>1.0085003969151196</v>
      </c>
      <c r="E1258" s="1097">
        <v>0.99413095485117242</v>
      </c>
      <c r="F1258" s="1097">
        <v>1.0014930624102194</v>
      </c>
      <c r="G1258" s="1097">
        <v>1.0116749226526114</v>
      </c>
      <c r="H1258" s="1097">
        <v>1.0262213897595003</v>
      </c>
      <c r="I1258" s="1097">
        <v>1.0075968817504479</v>
      </c>
      <c r="K1258">
        <v>5.2167787314009075</v>
      </c>
      <c r="L1258">
        <v>0</v>
      </c>
      <c r="M1258">
        <v>3.8028113531901951E-3</v>
      </c>
      <c r="N1258">
        <v>0.3242345718978859</v>
      </c>
      <c r="O1258">
        <v>0.15035986223167463</v>
      </c>
      <c r="P1258">
        <v>2.0333874157888433E-2</v>
      </c>
      <c r="Q1258">
        <v>1.3108398422909671E-3</v>
      </c>
      <c r="R1258">
        <v>3.7966715657796355E-3</v>
      </c>
      <c r="S1258">
        <v>0.47731442803592544</v>
      </c>
      <c r="T1258">
        <v>4.0020350790243491</v>
      </c>
      <c r="U1258">
        <v>0</v>
      </c>
      <c r="V1258">
        <v>1.1304767209823832E-2</v>
      </c>
      <c r="W1258">
        <v>0.19390212420132028</v>
      </c>
      <c r="X1258">
        <v>2.5259640880101207E-2</v>
      </c>
      <c r="Y1258">
        <v>1.0729683707055024E-2</v>
      </c>
    </row>
    <row r="1259" spans="1:25" x14ac:dyDescent="0.25">
      <c r="A1259" s="1093"/>
      <c r="B1259" s="1452">
        <v>1009</v>
      </c>
      <c r="C1259" s="1097">
        <v>0.99641730937064499</v>
      </c>
      <c r="D1259" s="1097">
        <v>0.99694087390249819</v>
      </c>
      <c r="E1259" s="1097">
        <v>0.98860567219777673</v>
      </c>
      <c r="F1259" s="1097">
        <v>0.99800994823339129</v>
      </c>
      <c r="G1259" s="1097">
        <v>1.0176304208582851</v>
      </c>
      <c r="H1259" s="1097">
        <v>0.99505042375306807</v>
      </c>
      <c r="I1259" s="1097">
        <v>0.99228978634719378</v>
      </c>
      <c r="K1259">
        <v>5.161212493245646</v>
      </c>
      <c r="L1259">
        <v>0</v>
      </c>
      <c r="M1259">
        <v>3.6960448678042316E-3</v>
      </c>
      <c r="N1259">
        <v>0.30999363271724423</v>
      </c>
      <c r="O1259">
        <v>0.14912845850799966</v>
      </c>
      <c r="P1259">
        <v>2.010783268752267E-2</v>
      </c>
      <c r="Q1259">
        <v>1.2971020587987515E-3</v>
      </c>
      <c r="R1259">
        <v>3.6898690805931434E-3</v>
      </c>
      <c r="S1259">
        <v>0.4590975204892398</v>
      </c>
      <c r="T1259">
        <v>3.9888114578281986</v>
      </c>
      <c r="U1259">
        <v>0</v>
      </c>
      <c r="V1259">
        <v>1.1304767209823811E-2</v>
      </c>
      <c r="W1259">
        <v>0.18608329433418386</v>
      </c>
      <c r="X1259">
        <v>2.4966751469911796E-2</v>
      </c>
      <c r="Y1259">
        <v>1.0427851729933985E-2</v>
      </c>
    </row>
    <row r="1260" spans="1:25" x14ac:dyDescent="0.25">
      <c r="A1260" s="1093"/>
      <c r="B1260" s="1452">
        <v>1010</v>
      </c>
      <c r="C1260" s="1097">
        <v>1.0132656882395141</v>
      </c>
      <c r="D1260" s="1097">
        <v>1.0165934209103453</v>
      </c>
      <c r="E1260" s="1097">
        <v>1.0062811107083722</v>
      </c>
      <c r="F1260" s="1097">
        <v>1.0084768900571299</v>
      </c>
      <c r="G1260" s="1097">
        <v>0.99103312023612722</v>
      </c>
      <c r="H1260" s="1097">
        <v>0.97597931695672679</v>
      </c>
      <c r="I1260" s="1097">
        <v>0.98809268811074946</v>
      </c>
      <c r="K1260">
        <v>5.1768519206719867</v>
      </c>
      <c r="L1260">
        <v>0</v>
      </c>
      <c r="M1260">
        <v>3.4436872532611911E-3</v>
      </c>
      <c r="N1260">
        <v>0.30435592156308938</v>
      </c>
      <c r="O1260">
        <v>0.14654777865920099</v>
      </c>
      <c r="P1260">
        <v>2.0506715922204155E-2</v>
      </c>
      <c r="Q1260">
        <v>1.2849627702228822E-3</v>
      </c>
      <c r="R1260">
        <v>3.4378814852061581E-3</v>
      </c>
      <c r="S1260">
        <v>0.44829193151912194</v>
      </c>
      <c r="T1260">
        <v>4.028404664637268</v>
      </c>
      <c r="U1260">
        <v>0</v>
      </c>
      <c r="V1260">
        <v>1.1304767209823803E-2</v>
      </c>
      <c r="W1260">
        <v>0.1805257137482113</v>
      </c>
      <c r="X1260">
        <v>2.5919554863870937E-2</v>
      </c>
      <c r="Y1260">
        <v>9.7157155470275498E-3</v>
      </c>
    </row>
    <row r="1261" spans="1:25" x14ac:dyDescent="0.25">
      <c r="A1261" s="1093"/>
      <c r="B1261" s="1452">
        <v>1011</v>
      </c>
      <c r="C1261" s="1097">
        <v>0.98631580036145794</v>
      </c>
      <c r="D1261" s="1097">
        <v>0.97514255013847539</v>
      </c>
      <c r="E1261" s="1097">
        <v>0.98842994001711548</v>
      </c>
      <c r="F1261" s="1097">
        <v>1.0085318710498898</v>
      </c>
      <c r="G1261" s="1097">
        <v>1.0022762702306713</v>
      </c>
      <c r="H1261" s="1097">
        <v>1.0355845684392593</v>
      </c>
      <c r="I1261" s="1097">
        <v>0.97312527762219037</v>
      </c>
      <c r="K1261">
        <v>5.2540841929419253</v>
      </c>
      <c r="L1261">
        <v>0</v>
      </c>
      <c r="M1261">
        <v>3.9632472420974008E-3</v>
      </c>
      <c r="N1261">
        <v>0.33225850375486016</v>
      </c>
      <c r="O1261">
        <v>0.15360146493498977</v>
      </c>
      <c r="P1261">
        <v>2.0337248734166532E-2</v>
      </c>
      <c r="Q1261">
        <v>1.3218252728030989E-3</v>
      </c>
      <c r="R1261">
        <v>3.9569504616516551E-3</v>
      </c>
      <c r="S1261">
        <v>0.46849370583697247</v>
      </c>
      <c r="T1261">
        <v>4.0308874849767786</v>
      </c>
      <c r="U1261">
        <v>0</v>
      </c>
      <c r="V1261">
        <v>1.1304767209823825E-2</v>
      </c>
      <c r="W1261">
        <v>0.19947234989222082</v>
      </c>
      <c r="X1261">
        <v>2.5230495006246557E-2</v>
      </c>
      <c r="Y1261">
        <v>1.1182644103504179E-2</v>
      </c>
    </row>
    <row r="1262" spans="1:25" x14ac:dyDescent="0.25">
      <c r="A1262" s="1093"/>
      <c r="B1262" s="1452">
        <v>1012</v>
      </c>
      <c r="C1262" s="1097">
        <v>1.0131971562652689</v>
      </c>
      <c r="D1262" s="1097">
        <v>1.0007746528584498</v>
      </c>
      <c r="E1262" s="1097">
        <v>0.98960192931272928</v>
      </c>
      <c r="F1262" s="1097">
        <v>1.0187314982976685</v>
      </c>
      <c r="G1262" s="1097">
        <v>1.014756212292673</v>
      </c>
      <c r="H1262" s="1097">
        <v>1.0198496360671685</v>
      </c>
      <c r="I1262" s="1097">
        <v>0.99686064232526173</v>
      </c>
      <c r="K1262">
        <v>5.2654504615149573</v>
      </c>
      <c r="L1262">
        <v>0</v>
      </c>
      <c r="M1262">
        <v>3.7888672234662833E-3</v>
      </c>
      <c r="N1262">
        <v>0.31874253261007945</v>
      </c>
      <c r="O1262">
        <v>0.14944622943261418</v>
      </c>
      <c r="P1262">
        <v>2.0526174297174168E-2</v>
      </c>
      <c r="Q1262">
        <v>1.2747589955938929E-3</v>
      </c>
      <c r="R1262">
        <v>3.7828157206071826E-3</v>
      </c>
      <c r="S1262">
        <v>0.46576765206957577</v>
      </c>
      <c r="T1262">
        <v>4.0715025505549827</v>
      </c>
      <c r="U1262">
        <v>0</v>
      </c>
      <c r="V1262">
        <v>1.1304767209823808E-2</v>
      </c>
      <c r="W1262">
        <v>0.19120534511897672</v>
      </c>
      <c r="X1262">
        <v>2.4995976698243313E-2</v>
      </c>
      <c r="Y1262">
        <v>1.0690526030753933E-2</v>
      </c>
    </row>
    <row r="1263" spans="1:25" x14ac:dyDescent="0.25">
      <c r="A1263" s="1093"/>
      <c r="B1263" s="1452">
        <v>1013</v>
      </c>
      <c r="C1263" s="1097">
        <v>1.0069592005232699</v>
      </c>
      <c r="D1263" s="1097">
        <v>1.0042936931789936</v>
      </c>
      <c r="E1263" s="1097">
        <v>0.97912715434922593</v>
      </c>
      <c r="F1263" s="1097">
        <v>1.0176067299006344</v>
      </c>
      <c r="G1263" s="1097">
        <v>1.0363034984946919</v>
      </c>
      <c r="H1263" s="1097">
        <v>1.0217064191179128</v>
      </c>
      <c r="I1263" s="1097">
        <v>1.0397692366636873</v>
      </c>
      <c r="K1263">
        <v>5.2849977175233702</v>
      </c>
      <c r="L1263">
        <v>0</v>
      </c>
      <c r="M1263">
        <v>3.8944796727648089E-3</v>
      </c>
      <c r="N1263">
        <v>0.31760403948320864</v>
      </c>
      <c r="O1263">
        <v>0.15028928218320164</v>
      </c>
      <c r="P1263">
        <v>2.0451500167599258E-2</v>
      </c>
      <c r="Q1263">
        <v>1.2692950652960847E-3</v>
      </c>
      <c r="R1263">
        <v>3.8882639404457793E-3</v>
      </c>
      <c r="S1263">
        <v>0.48839994860874192</v>
      </c>
      <c r="T1263">
        <v>4.0683553679024635</v>
      </c>
      <c r="U1263">
        <v>0</v>
      </c>
      <c r="V1263">
        <v>1.1304767209823813E-2</v>
      </c>
      <c r="W1263">
        <v>0.19189052778174598</v>
      </c>
      <c r="X1263">
        <v>2.4450674102997522E-2</v>
      </c>
      <c r="Y1263">
        <v>1.0988530750608551E-2</v>
      </c>
    </row>
    <row r="1264" spans="1:25" x14ac:dyDescent="0.25">
      <c r="A1264" s="1093"/>
      <c r="B1264" s="1452">
        <v>1014</v>
      </c>
      <c r="C1264" s="1097">
        <v>1.0260726400257822</v>
      </c>
      <c r="D1264" s="1097">
        <v>1.0033869590856863</v>
      </c>
      <c r="E1264" s="1097">
        <v>1.0250575510940632</v>
      </c>
      <c r="F1264" s="1097">
        <v>1.0252823670609319</v>
      </c>
      <c r="G1264" s="1097">
        <v>0.97303408719492834</v>
      </c>
      <c r="H1264" s="1097">
        <v>1.0279040204616052</v>
      </c>
      <c r="I1264" s="1097">
        <v>1.0068889929242411</v>
      </c>
      <c r="K1264">
        <v>5.3008390293896026</v>
      </c>
      <c r="L1264">
        <v>0</v>
      </c>
      <c r="M1264">
        <v>3.5180681503235215E-3</v>
      </c>
      <c r="N1264">
        <v>0.32873370149593861</v>
      </c>
      <c r="O1264">
        <v>0.14738018678223125</v>
      </c>
      <c r="P1264">
        <v>2.1184569894164527E-2</v>
      </c>
      <c r="Q1264">
        <v>1.2960650564706338E-3</v>
      </c>
      <c r="R1264">
        <v>3.5125287538369677E-3</v>
      </c>
      <c r="S1264">
        <v>0.46834232516683344</v>
      </c>
      <c r="T1264">
        <v>4.0931356953656852</v>
      </c>
      <c r="U1264">
        <v>0</v>
      </c>
      <c r="V1264">
        <v>1.1304767209823808E-2</v>
      </c>
      <c r="W1264">
        <v>0.19255209484367386</v>
      </c>
      <c r="X1264">
        <v>2.6988488544042771E-2</v>
      </c>
      <c r="Y1264">
        <v>9.9266744272275761E-3</v>
      </c>
    </row>
    <row r="1265" spans="1:25" x14ac:dyDescent="0.25">
      <c r="A1265" s="1093"/>
      <c r="B1265" s="1452">
        <v>1015</v>
      </c>
      <c r="C1265" s="1097">
        <v>1.0140755071077894</v>
      </c>
      <c r="D1265" s="1097">
        <v>1.0192225869158815</v>
      </c>
      <c r="E1265" s="1097">
        <v>0.95303193777520856</v>
      </c>
      <c r="F1265" s="1097">
        <v>0.99150342975221151</v>
      </c>
      <c r="G1265" s="1097">
        <v>1.0415101718237758</v>
      </c>
      <c r="H1265" s="1097">
        <v>0.98617468506936745</v>
      </c>
      <c r="I1265" s="1097">
        <v>0.95754222480318263</v>
      </c>
      <c r="K1265">
        <v>5.0725683558521624</v>
      </c>
      <c r="L1265">
        <v>0</v>
      </c>
      <c r="M1265">
        <v>3.8187978405328101E-3</v>
      </c>
      <c r="N1265">
        <v>0.28817443055113334</v>
      </c>
      <c r="O1265">
        <v>0.14525487372301546</v>
      </c>
      <c r="P1265">
        <v>1.9343297293777411E-2</v>
      </c>
      <c r="Q1265">
        <v>1.2246593876873762E-3</v>
      </c>
      <c r="R1265">
        <v>3.8123173346755411E-3</v>
      </c>
      <c r="S1265">
        <v>0.42951689605223359</v>
      </c>
      <c r="T1265">
        <v>3.9672953106256021</v>
      </c>
      <c r="U1265">
        <v>0</v>
      </c>
      <c r="V1265">
        <v>1.1304767209823803E-2</v>
      </c>
      <c r="W1265">
        <v>0.17728087639475829</v>
      </c>
      <c r="X1265">
        <v>2.2405825275536573E-2</v>
      </c>
      <c r="Y1265">
        <v>1.0773899844452801E-2</v>
      </c>
    </row>
    <row r="1266" spans="1:25" x14ac:dyDescent="0.25">
      <c r="A1266" s="1093"/>
      <c r="B1266" s="1452">
        <v>1016</v>
      </c>
      <c r="C1266" s="1097">
        <v>0.96995984426388815</v>
      </c>
      <c r="D1266" s="1097">
        <v>1.023110992473349</v>
      </c>
      <c r="E1266" s="1097">
        <v>0.99237528802325947</v>
      </c>
      <c r="F1266" s="1097">
        <v>1.0011020748580954</v>
      </c>
      <c r="G1266" s="1097">
        <v>1.0128089414443433</v>
      </c>
      <c r="H1266" s="1097">
        <v>1.0004521015354406</v>
      </c>
      <c r="I1266" s="1097">
        <v>1.0273394477799722</v>
      </c>
      <c r="K1266">
        <v>5.219798586910815</v>
      </c>
      <c r="L1266">
        <v>0</v>
      </c>
      <c r="M1266">
        <v>3.7598741713521884E-3</v>
      </c>
      <c r="N1266">
        <v>0.31889606397839509</v>
      </c>
      <c r="O1266">
        <v>0.15197904522671857</v>
      </c>
      <c r="P1266">
        <v>2.0350043619678806E-2</v>
      </c>
      <c r="Q1266">
        <v>1.3230367494001779E-3</v>
      </c>
      <c r="R1266">
        <v>3.7536449189618892E-3</v>
      </c>
      <c r="S1266">
        <v>0.48814571942094587</v>
      </c>
      <c r="T1266">
        <v>4.0006940376694784</v>
      </c>
      <c r="U1266">
        <v>0</v>
      </c>
      <c r="V1266">
        <v>1.1304767209823813E-2</v>
      </c>
      <c r="W1266">
        <v>0.19093700691325879</v>
      </c>
      <c r="X1266">
        <v>2.556700825728796E-2</v>
      </c>
      <c r="Y1266">
        <v>1.0608087118218987E-2</v>
      </c>
    </row>
    <row r="1267" spans="1:25" x14ac:dyDescent="0.25">
      <c r="A1267" s="1093"/>
      <c r="B1267" s="1452">
        <v>1017</v>
      </c>
      <c r="C1267" s="1097">
        <v>1.0176538556687118</v>
      </c>
      <c r="D1267" s="1097">
        <v>1.0027490815337896</v>
      </c>
      <c r="E1267" s="1097">
        <v>0.96324244388186842</v>
      </c>
      <c r="F1267" s="1097">
        <v>1.0256289839964088</v>
      </c>
      <c r="G1267" s="1097">
        <v>1.0178684124490809</v>
      </c>
      <c r="H1267" s="1097">
        <v>1.001643804300498</v>
      </c>
      <c r="I1267" s="1097">
        <v>0.99030815270839578</v>
      </c>
      <c r="K1267">
        <v>5.2737970345823211</v>
      </c>
      <c r="L1267">
        <v>0</v>
      </c>
      <c r="M1267">
        <v>3.9389694954516429E-3</v>
      </c>
      <c r="N1267">
        <v>0.30642674775965756</v>
      </c>
      <c r="O1267">
        <v>0.15041928421685172</v>
      </c>
      <c r="P1267">
        <v>2.0228531030885455E-2</v>
      </c>
      <c r="Q1267">
        <v>1.2394233084936218E-3</v>
      </c>
      <c r="R1267">
        <v>3.932606911630155E-3</v>
      </c>
      <c r="S1267">
        <v>0.45972594806928185</v>
      </c>
      <c r="T1267">
        <v>4.1025011244416625</v>
      </c>
      <c r="U1267">
        <v>0</v>
      </c>
      <c r="V1267">
        <v>1.1304767209823827E-2</v>
      </c>
      <c r="W1267">
        <v>0.18717559824477509</v>
      </c>
      <c r="X1267">
        <v>2.3668125512102029E-2</v>
      </c>
      <c r="Y1267">
        <v>1.1113847372601297E-2</v>
      </c>
    </row>
    <row r="1268" spans="1:25" x14ac:dyDescent="0.25">
      <c r="A1268" s="1093"/>
      <c r="B1268" s="1452">
        <v>1018</v>
      </c>
      <c r="C1268" s="1097">
        <v>1.004697710731264</v>
      </c>
      <c r="D1268" s="1097">
        <v>1.0034338841131172</v>
      </c>
      <c r="E1268" s="1097">
        <v>1.0039905028807665</v>
      </c>
      <c r="F1268" s="1097">
        <v>1.0297436288039945</v>
      </c>
      <c r="G1268" s="1097">
        <v>1.00844757789691</v>
      </c>
      <c r="H1268" s="1097">
        <v>1.0396680498132673</v>
      </c>
      <c r="I1268" s="1097">
        <v>0.9943704525699899</v>
      </c>
      <c r="K1268">
        <v>5.3462449042112006</v>
      </c>
      <c r="L1268">
        <v>0</v>
      </c>
      <c r="M1268">
        <v>3.8156994999016093E-3</v>
      </c>
      <c r="N1268">
        <v>0.33500007839119683</v>
      </c>
      <c r="O1268">
        <v>0.15176811449555788</v>
      </c>
      <c r="P1268">
        <v>2.0988659950518292E-2</v>
      </c>
      <c r="Q1268">
        <v>1.3001458942529362E-3</v>
      </c>
      <c r="R1268">
        <v>3.8097851412743507E-3</v>
      </c>
      <c r="S1268">
        <v>0.47633167285569716</v>
      </c>
      <c r="T1268">
        <v>4.1136510053647006</v>
      </c>
      <c r="U1268">
        <v>0</v>
      </c>
      <c r="V1268">
        <v>1.1304767209823818E-2</v>
      </c>
      <c r="W1268">
        <v>0.199008783437021</v>
      </c>
      <c r="X1268">
        <v>2.6130847298480555E-2</v>
      </c>
      <c r="Y1268">
        <v>1.076674367257722E-2</v>
      </c>
    </row>
    <row r="1269" spans="1:25" x14ac:dyDescent="0.25">
      <c r="A1269" s="1093"/>
      <c r="B1269" s="1452">
        <v>1019</v>
      </c>
      <c r="C1269" s="1097">
        <v>0.97631446395500121</v>
      </c>
      <c r="D1269" s="1097">
        <v>0.9763423182419948</v>
      </c>
      <c r="E1269" s="1097">
        <v>0.98693723293368973</v>
      </c>
      <c r="F1269" s="1097">
        <v>1.0124493645138228</v>
      </c>
      <c r="G1269" s="1097">
        <v>0.97274478857448288</v>
      </c>
      <c r="H1269" s="1097">
        <v>0.98973770736097177</v>
      </c>
      <c r="I1269" s="1097">
        <v>1.0341745754555098</v>
      </c>
      <c r="K1269">
        <v>5.2821590020914746</v>
      </c>
      <c r="L1269">
        <v>0</v>
      </c>
      <c r="M1269">
        <v>3.8516063662162193E-3</v>
      </c>
      <c r="N1269">
        <v>0.32145119647622905</v>
      </c>
      <c r="O1269">
        <v>0.15574459883329086</v>
      </c>
      <c r="P1269">
        <v>2.0506052593036506E-2</v>
      </c>
      <c r="Q1269">
        <v>1.3329895579705961E-3</v>
      </c>
      <c r="R1269">
        <v>3.8452282296476551E-3</v>
      </c>
      <c r="S1269">
        <v>0.4951987940009665</v>
      </c>
      <c r="T1269">
        <v>4.0467357176667962</v>
      </c>
      <c r="U1269">
        <v>0</v>
      </c>
      <c r="V1269">
        <v>1.1304767209823808E-2</v>
      </c>
      <c r="W1269">
        <v>0.19318058646283209</v>
      </c>
      <c r="X1269">
        <v>2.5843768880824274E-2</v>
      </c>
      <c r="Y1269">
        <v>1.0866908546271967E-2</v>
      </c>
    </row>
    <row r="1270" spans="1:25" x14ac:dyDescent="0.25">
      <c r="A1270" s="1093"/>
      <c r="B1270" s="1452">
        <v>1020</v>
      </c>
      <c r="C1270" s="1097">
        <v>1.011944565669018</v>
      </c>
      <c r="D1270" s="1097">
        <v>0.98373830168452736</v>
      </c>
      <c r="E1270" s="1097">
        <v>0.96809004149951572</v>
      </c>
      <c r="F1270" s="1097">
        <v>1.0192369551318445</v>
      </c>
      <c r="G1270" s="1097">
        <v>1.0070390901786543</v>
      </c>
      <c r="H1270" s="1097">
        <v>0.99337625706694443</v>
      </c>
      <c r="I1270" s="1097">
        <v>1.007173676473307</v>
      </c>
      <c r="K1270">
        <v>5.2578832467432042</v>
      </c>
      <c r="L1270">
        <v>0</v>
      </c>
      <c r="M1270">
        <v>3.8943170278195726E-3</v>
      </c>
      <c r="N1270">
        <v>0.30733983941054754</v>
      </c>
      <c r="O1270">
        <v>0.15134387860241263</v>
      </c>
      <c r="P1270">
        <v>2.0224105600957588E-2</v>
      </c>
      <c r="Q1270">
        <v>1.2613406196273979E-3</v>
      </c>
      <c r="R1270">
        <v>3.8879345038674747E-3</v>
      </c>
      <c r="S1270">
        <v>0.46790173877895957</v>
      </c>
      <c r="T1270">
        <v>4.0763028039954632</v>
      </c>
      <c r="U1270">
        <v>0</v>
      </c>
      <c r="V1270">
        <v>1.1304767209823817E-2</v>
      </c>
      <c r="W1270">
        <v>0.18710475618000411</v>
      </c>
      <c r="X1270">
        <v>2.4118799131671552E-2</v>
      </c>
      <c r="Y1270">
        <v>1.0987599737686971E-2</v>
      </c>
    </row>
    <row r="1271" spans="1:25" x14ac:dyDescent="0.25">
      <c r="A1271" s="1093"/>
      <c r="B1271" s="1452">
        <v>1021</v>
      </c>
      <c r="C1271" s="1097">
        <v>0.99639665659205368</v>
      </c>
      <c r="D1271" s="1097">
        <v>1.0039610172995133</v>
      </c>
      <c r="E1271" s="1097">
        <v>1.005465575276578</v>
      </c>
      <c r="F1271" s="1097">
        <v>0.99355613163456535</v>
      </c>
      <c r="G1271" s="1097">
        <v>1.0283680056428088</v>
      </c>
      <c r="H1271" s="1097">
        <v>0.97605135623525019</v>
      </c>
      <c r="I1271" s="1097">
        <v>1.0117144942836036</v>
      </c>
      <c r="K1271">
        <v>5.1352649821267962</v>
      </c>
      <c r="L1271">
        <v>0</v>
      </c>
      <c r="M1271">
        <v>3.4737835914615202E-3</v>
      </c>
      <c r="N1271">
        <v>0.30626748896416089</v>
      </c>
      <c r="O1271">
        <v>0.14758270529084025</v>
      </c>
      <c r="P1271">
        <v>2.0285772428516174E-2</v>
      </c>
      <c r="Q1271">
        <v>1.3123551624906517E-3</v>
      </c>
      <c r="R1271">
        <v>3.4678397188381486E-3</v>
      </c>
      <c r="S1271">
        <v>0.46211753810514633</v>
      </c>
      <c r="T1271">
        <v>3.9689044999370169</v>
      </c>
      <c r="U1271">
        <v>0</v>
      </c>
      <c r="V1271">
        <v>1.130476720982381E-2</v>
      </c>
      <c r="W1271">
        <v>0.18175930116140965</v>
      </c>
      <c r="X1271">
        <v>2.5936117937540405E-2</v>
      </c>
      <c r="Y1271">
        <v>9.8003798024744963E-3</v>
      </c>
    </row>
    <row r="1272" spans="1:25" x14ac:dyDescent="0.25">
      <c r="A1272" s="1093"/>
      <c r="B1272" s="1452">
        <v>1022</v>
      </c>
      <c r="C1272" s="1097">
        <v>1.0058383244842342</v>
      </c>
      <c r="D1272" s="1097">
        <v>0.99337664970518091</v>
      </c>
      <c r="E1272" s="1097">
        <v>0.96500413779670391</v>
      </c>
      <c r="F1272" s="1097">
        <v>0.99479106032309084</v>
      </c>
      <c r="G1272" s="1097">
        <v>0.98047678224901791</v>
      </c>
      <c r="H1272" s="1097">
        <v>0.98517105702587049</v>
      </c>
      <c r="I1272" s="1097">
        <v>1.021788325025536</v>
      </c>
      <c r="K1272">
        <v>5.1377895311323014</v>
      </c>
      <c r="L1272">
        <v>0</v>
      </c>
      <c r="M1272">
        <v>3.8022920920465406E-3</v>
      </c>
      <c r="N1272">
        <v>0.29732310340150186</v>
      </c>
      <c r="O1272">
        <v>0.14811735270277282</v>
      </c>
      <c r="P1272">
        <v>1.9734326906720685E-2</v>
      </c>
      <c r="Q1272">
        <v>1.2606478808554426E-3</v>
      </c>
      <c r="R1272">
        <v>3.7958543337060996E-3</v>
      </c>
      <c r="S1272">
        <v>0.46550769633729061</v>
      </c>
      <c r="T1272">
        <v>3.9789261512473737</v>
      </c>
      <c r="U1272">
        <v>0</v>
      </c>
      <c r="V1272">
        <v>1.1304767209823822E-2</v>
      </c>
      <c r="W1272">
        <v>0.18139332769496824</v>
      </c>
      <c r="X1272">
        <v>2.3501221362511194E-2</v>
      </c>
      <c r="Y1272">
        <v>1.0727374146822493E-2</v>
      </c>
    </row>
    <row r="1273" spans="1:25" x14ac:dyDescent="0.25">
      <c r="A1273" s="1093"/>
      <c r="B1273" s="1452">
        <v>1023</v>
      </c>
      <c r="C1273" s="1097">
        <v>0.99575931370217441</v>
      </c>
      <c r="D1273" s="1097">
        <v>0.99479274708048493</v>
      </c>
      <c r="E1273" s="1097">
        <v>1.0029628396251273</v>
      </c>
      <c r="F1273" s="1097">
        <v>1.0021454464233042</v>
      </c>
      <c r="G1273" s="1097">
        <v>0.99075929868413015</v>
      </c>
      <c r="H1273" s="1097">
        <v>1.0300865266198886</v>
      </c>
      <c r="I1273" s="1097">
        <v>1.0142755213636423</v>
      </c>
      <c r="K1273">
        <v>5.2215550488209228</v>
      </c>
      <c r="L1273">
        <v>0</v>
      </c>
      <c r="M1273">
        <v>3.7333438135023129E-3</v>
      </c>
      <c r="N1273">
        <v>0.32675458855376915</v>
      </c>
      <c r="O1273">
        <v>0.14957170913159926</v>
      </c>
      <c r="P1273">
        <v>2.0478887802036296E-2</v>
      </c>
      <c r="Q1273">
        <v>1.3152064495117978E-3</v>
      </c>
      <c r="R1273">
        <v>3.7273427040023159E-3</v>
      </c>
      <c r="S1273">
        <v>0.47812277803437631</v>
      </c>
      <c r="T1273">
        <v>4.0035300427918834</v>
      </c>
      <c r="U1273">
        <v>0</v>
      </c>
      <c r="V1273">
        <v>1.1304767209823825E-2</v>
      </c>
      <c r="W1273">
        <v>0.19424505392474931</v>
      </c>
      <c r="X1273">
        <v>2.5704260982007395E-2</v>
      </c>
      <c r="Y1273">
        <v>1.0533755050664116E-2</v>
      </c>
    </row>
    <row r="1274" spans="1:25" x14ac:dyDescent="0.25">
      <c r="A1274" s="1093"/>
      <c r="B1274" s="1452">
        <v>1024</v>
      </c>
      <c r="C1274" s="1097">
        <v>1.0157306022929571</v>
      </c>
      <c r="D1274" s="1097">
        <v>1.004080526708373</v>
      </c>
      <c r="E1274" s="1097">
        <v>0.98052589440740778</v>
      </c>
      <c r="F1274" s="1097">
        <v>0.98588058033606485</v>
      </c>
      <c r="G1274" s="1097">
        <v>1.024826415307762</v>
      </c>
      <c r="H1274" s="1097">
        <v>0.99399246421761178</v>
      </c>
      <c r="I1274" s="1097">
        <v>0.99671180497818779</v>
      </c>
      <c r="K1274">
        <v>5.0754531870630482</v>
      </c>
      <c r="L1274">
        <v>0</v>
      </c>
      <c r="M1274">
        <v>3.6288458658756866E-3</v>
      </c>
      <c r="N1274">
        <v>0.29714293141342674</v>
      </c>
      <c r="O1274">
        <v>0.14432085941152911</v>
      </c>
      <c r="P1274">
        <v>1.9718176520532114E-2</v>
      </c>
      <c r="Q1274">
        <v>1.259969874939012E-3</v>
      </c>
      <c r="R1274">
        <v>3.6227013554852158E-3</v>
      </c>
      <c r="S1274">
        <v>0.44695191005329082</v>
      </c>
      <c r="T1274">
        <v>3.9413405810439852</v>
      </c>
      <c r="U1274">
        <v>0</v>
      </c>
      <c r="V1274">
        <v>1.130476720982382E-2</v>
      </c>
      <c r="W1274">
        <v>0.17935631833007315</v>
      </c>
      <c r="X1274">
        <v>2.3825787105070648E-2</v>
      </c>
      <c r="Y1274">
        <v>1.0238030610765758E-2</v>
      </c>
    </row>
    <row r="1275" spans="1:25" x14ac:dyDescent="0.25">
      <c r="A1275" s="1093"/>
      <c r="B1275" s="1452">
        <v>1025</v>
      </c>
      <c r="C1275" s="1097">
        <v>1.0094383908459532</v>
      </c>
      <c r="D1275" s="1097">
        <v>0.97654912388957504</v>
      </c>
      <c r="E1275" s="1097">
        <v>1.0178111301838197</v>
      </c>
      <c r="F1275" s="1097">
        <v>1.0153588997034386</v>
      </c>
      <c r="G1275" s="1097">
        <v>0.96838932291202251</v>
      </c>
      <c r="H1275" s="1097">
        <v>1.0226437864046489</v>
      </c>
      <c r="I1275" s="1097">
        <v>0.98713193675374644</v>
      </c>
      <c r="K1275">
        <v>5.2650609490382783</v>
      </c>
      <c r="L1275">
        <v>0</v>
      </c>
      <c r="M1275">
        <v>3.616731530930718E-3</v>
      </c>
      <c r="N1275">
        <v>0.33077761530731892</v>
      </c>
      <c r="O1275">
        <v>0.15018137923603866</v>
      </c>
      <c r="P1275">
        <v>2.0876162966374925E-2</v>
      </c>
      <c r="Q1275">
        <v>1.3236529860169569E-3</v>
      </c>
      <c r="R1275">
        <v>3.6109516393074094E-3</v>
      </c>
      <c r="S1275">
        <v>0.46442275619999002</v>
      </c>
      <c r="T1275">
        <v>4.0544336340231713</v>
      </c>
      <c r="U1275">
        <v>0</v>
      </c>
      <c r="V1275">
        <v>1.1304767209823817E-2</v>
      </c>
      <c r="W1275">
        <v>0.19468681247134642</v>
      </c>
      <c r="X1275">
        <v>2.6855123514025411E-2</v>
      </c>
      <c r="Y1275">
        <v>1.0204825015798882E-2</v>
      </c>
    </row>
    <row r="1276" spans="1:25" x14ac:dyDescent="0.25">
      <c r="A1276" s="1093"/>
      <c r="B1276" s="1452">
        <v>1026</v>
      </c>
      <c r="C1276" s="1097">
        <v>1.0066382794375714</v>
      </c>
      <c r="D1276" s="1097">
        <v>0.99318938468269957</v>
      </c>
      <c r="E1276" s="1097">
        <v>0.96138606205777455</v>
      </c>
      <c r="F1276" s="1097">
        <v>0.98798685512067608</v>
      </c>
      <c r="G1276" s="1097">
        <v>1.0090678131348982</v>
      </c>
      <c r="H1276" s="1097">
        <v>0.99584034888589845</v>
      </c>
      <c r="I1276" s="1097">
        <v>0.99922325080178609</v>
      </c>
      <c r="K1276">
        <v>5.0986304757205501</v>
      </c>
      <c r="L1276">
        <v>0</v>
      </c>
      <c r="M1276">
        <v>3.8434841317428101E-3</v>
      </c>
      <c r="N1276">
        <v>0.29733271255191457</v>
      </c>
      <c r="O1276">
        <v>0.14709743883483187</v>
      </c>
      <c r="P1276">
        <v>1.9511435172962884E-2</v>
      </c>
      <c r="Q1276">
        <v>1.2557482924195162E-3</v>
      </c>
      <c r="R1276">
        <v>3.8370020884060095E-3</v>
      </c>
      <c r="S1276">
        <v>0.45424865925813818</v>
      </c>
      <c r="T1276">
        <v>3.9521674819816086</v>
      </c>
      <c r="U1276">
        <v>0</v>
      </c>
      <c r="V1276">
        <v>1.1304767209823803E-2</v>
      </c>
      <c r="W1276">
        <v>0.1818546170714965</v>
      </c>
      <c r="X1276">
        <v>2.3020436547607021E-2</v>
      </c>
      <c r="Y1276">
        <v>1.0843660843086899E-2</v>
      </c>
    </row>
    <row r="1277" spans="1:25" x14ac:dyDescent="0.25">
      <c r="A1277" s="1093"/>
      <c r="B1277" s="1452">
        <v>1027</v>
      </c>
      <c r="C1277" s="1097">
        <v>1.0024549124604563</v>
      </c>
      <c r="D1277" s="1097">
        <v>0.99975693729627357</v>
      </c>
      <c r="E1277" s="1097">
        <v>0.99481890476937751</v>
      </c>
      <c r="F1277" s="1097">
        <v>0.99044400830447232</v>
      </c>
      <c r="G1277" s="1097">
        <v>0.95674143442991344</v>
      </c>
      <c r="H1277" s="1097">
        <v>0.97481608401166198</v>
      </c>
      <c r="I1277" s="1097">
        <v>1.023163720022348</v>
      </c>
      <c r="K1277">
        <v>5.1164599194071645</v>
      </c>
      <c r="L1277">
        <v>0</v>
      </c>
      <c r="M1277">
        <v>3.5214907477335833E-3</v>
      </c>
      <c r="N1277">
        <v>0.30083020052068205</v>
      </c>
      <c r="O1277">
        <v>0.1467698041597211</v>
      </c>
      <c r="P1277">
        <v>2.0081128407413499E-2</v>
      </c>
      <c r="Q1277">
        <v>1.2947484013055754E-3</v>
      </c>
      <c r="R1277">
        <v>3.515438684332304E-3</v>
      </c>
      <c r="S1277">
        <v>0.46345217183472215</v>
      </c>
      <c r="T1277">
        <v>3.9577965288254351</v>
      </c>
      <c r="U1277">
        <v>0</v>
      </c>
      <c r="V1277">
        <v>1.1304767209823818E-2</v>
      </c>
      <c r="W1277">
        <v>0.17982165400507633</v>
      </c>
      <c r="X1277">
        <v>2.5180069993411838E-2</v>
      </c>
      <c r="Y1277">
        <v>9.9348981129700822E-3</v>
      </c>
    </row>
    <row r="1278" spans="1:25" x14ac:dyDescent="0.25">
      <c r="A1278" s="1093"/>
      <c r="B1278" s="1452">
        <v>1028</v>
      </c>
      <c r="C1278" s="1097">
        <v>1.0072044796791237</v>
      </c>
      <c r="D1278" s="1097">
        <v>0.98840903945923364</v>
      </c>
      <c r="E1278" s="1097">
        <v>0.98525299257867194</v>
      </c>
      <c r="F1278" s="1097">
        <v>0.97602427222663124</v>
      </c>
      <c r="G1278" s="1097">
        <v>0.96801480561627717</v>
      </c>
      <c r="H1278" s="1097">
        <v>0.98119049402627434</v>
      </c>
      <c r="I1278" s="1097">
        <v>0.97071366173793117</v>
      </c>
      <c r="K1278">
        <v>5.0209323609626173</v>
      </c>
      <c r="L1278">
        <v>0</v>
      </c>
      <c r="M1278">
        <v>3.5633974916030879E-3</v>
      </c>
      <c r="N1278">
        <v>0.2958929103365282</v>
      </c>
      <c r="O1278">
        <v>0.14486895931522659</v>
      </c>
      <c r="P1278">
        <v>1.9552579851995953E-2</v>
      </c>
      <c r="Q1278">
        <v>1.2839039178905434E-3</v>
      </c>
      <c r="R1278">
        <v>3.5572234563722282E-3</v>
      </c>
      <c r="S1278">
        <v>0.43440571385634408</v>
      </c>
      <c r="T1278">
        <v>3.9013532397198358</v>
      </c>
      <c r="U1278">
        <v>0</v>
      </c>
      <c r="V1278">
        <v>1.1304767209823832E-2</v>
      </c>
      <c r="W1278">
        <v>0.1780254368333295</v>
      </c>
      <c r="X1278">
        <v>2.4198038887996348E-2</v>
      </c>
      <c r="Y1278">
        <v>1.0052985068871343E-2</v>
      </c>
    </row>
    <row r="1279" spans="1:25" x14ac:dyDescent="0.25">
      <c r="A1279" s="1093"/>
      <c r="B1279" s="1452">
        <v>1029</v>
      </c>
      <c r="C1279" s="1097">
        <v>0.99222460551977187</v>
      </c>
      <c r="D1279" s="1097">
        <v>0.99785965055510251</v>
      </c>
      <c r="E1279" s="1097">
        <v>1.0058286181504656</v>
      </c>
      <c r="F1279" s="1097">
        <v>1.0306936015249668</v>
      </c>
      <c r="G1279" s="1097">
        <v>1.0254873203071073</v>
      </c>
      <c r="H1279" s="1097">
        <v>1.0342463481519837</v>
      </c>
      <c r="I1279" s="1097">
        <v>1.0142374427955465</v>
      </c>
      <c r="K1279">
        <v>5.3744966548719031</v>
      </c>
      <c r="L1279">
        <v>0</v>
      </c>
      <c r="M1279">
        <v>3.8407321571507611E-3</v>
      </c>
      <c r="N1279">
        <v>0.33903636147490862</v>
      </c>
      <c r="O1279">
        <v>0.15410766994278727</v>
      </c>
      <c r="P1279">
        <v>2.110428332895093E-2</v>
      </c>
      <c r="Q1279">
        <v>1.321500250406518E-3</v>
      </c>
      <c r="R1279">
        <v>3.8347532970423727E-3</v>
      </c>
      <c r="S1279">
        <v>0.49180885409722019</v>
      </c>
      <c r="T1279">
        <v>4.1172086705234934</v>
      </c>
      <c r="U1279">
        <v>0</v>
      </c>
      <c r="V1279">
        <v>1.1304767209823806E-2</v>
      </c>
      <c r="W1279">
        <v>0.20115733290593266</v>
      </c>
      <c r="X1279">
        <v>2.6615888411484243E-2</v>
      </c>
      <c r="Y1279">
        <v>1.0837305587006164E-2</v>
      </c>
    </row>
    <row r="1280" spans="1:25" x14ac:dyDescent="0.25">
      <c r="A1280" s="1093"/>
      <c r="B1280" s="1452">
        <v>1030</v>
      </c>
      <c r="C1280" s="1097">
        <v>0.97302311998188906</v>
      </c>
      <c r="D1280" s="1097">
        <v>0.96364704507825683</v>
      </c>
      <c r="E1280" s="1097">
        <v>1.0336580096554178</v>
      </c>
      <c r="F1280" s="1097">
        <v>0.96872231799164688</v>
      </c>
      <c r="G1280" s="1097">
        <v>1.0031033235464335</v>
      </c>
      <c r="H1280" s="1097">
        <v>0.99537255431634253</v>
      </c>
      <c r="I1280" s="1097">
        <v>0.96376270575127998</v>
      </c>
      <c r="K1280">
        <v>5.0475882558899086</v>
      </c>
      <c r="L1280">
        <v>0</v>
      </c>
      <c r="M1280">
        <v>3.3877265515624686E-3</v>
      </c>
      <c r="N1280">
        <v>0.32465923293621457</v>
      </c>
      <c r="O1280">
        <v>0.14899281984178309</v>
      </c>
      <c r="P1280">
        <v>2.0167516745662861E-2</v>
      </c>
      <c r="Q1280">
        <v>1.3990846512002106E-3</v>
      </c>
      <c r="R1280">
        <v>3.3818969805201248E-3</v>
      </c>
      <c r="S1280">
        <v>0.44852388266663551</v>
      </c>
      <c r="T1280">
        <v>3.8663049492030295</v>
      </c>
      <c r="U1280">
        <v>0</v>
      </c>
      <c r="V1280">
        <v>1.1304767209823818E-2</v>
      </c>
      <c r="W1280">
        <v>0.18908492239361366</v>
      </c>
      <c r="X1280">
        <v>2.7599410750415471E-2</v>
      </c>
      <c r="Y1280">
        <v>9.5574990625700868E-3</v>
      </c>
    </row>
    <row r="1281" spans="1:25" x14ac:dyDescent="0.25">
      <c r="A1281" s="1093"/>
      <c r="B1281" s="1452">
        <v>1031</v>
      </c>
      <c r="C1281" s="1097">
        <v>0.98946965438887213</v>
      </c>
      <c r="D1281" s="1097">
        <v>1.0173952506452006</v>
      </c>
      <c r="E1281" s="1097">
        <v>0.96731849463538533</v>
      </c>
      <c r="F1281" s="1097">
        <v>1.0217545802439258</v>
      </c>
      <c r="G1281" s="1097">
        <v>1.017977330545218</v>
      </c>
      <c r="H1281" s="1097">
        <v>1.0061486644488142</v>
      </c>
      <c r="I1281" s="1097">
        <v>0.99791158981724259</v>
      </c>
      <c r="K1281">
        <v>5.2887138368560125</v>
      </c>
      <c r="L1281">
        <v>0</v>
      </c>
      <c r="M1281">
        <v>3.9963325154114566E-3</v>
      </c>
      <c r="N1281">
        <v>0.31467681714464535</v>
      </c>
      <c r="O1281">
        <v>0.15311188365534248</v>
      </c>
      <c r="P1281">
        <v>2.0286400144502486E-2</v>
      </c>
      <c r="Q1281">
        <v>1.2718896111141714E-3</v>
      </c>
      <c r="R1281">
        <v>3.9898818473041503E-3</v>
      </c>
      <c r="S1281">
        <v>0.47447026188968683</v>
      </c>
      <c r="T1281">
        <v>4.0864721837932034</v>
      </c>
      <c r="U1281">
        <v>0</v>
      </c>
      <c r="V1281">
        <v>1.130476720982381E-2</v>
      </c>
      <c r="W1281">
        <v>0.19167356694222981</v>
      </c>
      <c r="X1281">
        <v>2.4176806420023726E-2</v>
      </c>
      <c r="Y1281">
        <v>1.1275710713550487E-2</v>
      </c>
    </row>
    <row r="1282" spans="1:25" x14ac:dyDescent="0.25">
      <c r="A1282" s="1093"/>
      <c r="B1282" s="1452">
        <v>1032</v>
      </c>
      <c r="C1282" s="1097">
        <v>1.0208009868011632</v>
      </c>
      <c r="D1282" s="1097">
        <v>1.0019940640770975</v>
      </c>
      <c r="E1282" s="1097">
        <v>1.0181301407822565</v>
      </c>
      <c r="F1282" s="1097">
        <v>1.0175726078274534</v>
      </c>
      <c r="G1282" s="1097">
        <v>1.0405558955146208</v>
      </c>
      <c r="H1282" s="1097">
        <v>1.0408049039067406</v>
      </c>
      <c r="I1282" s="1097">
        <v>1.009687783967715</v>
      </c>
      <c r="K1282">
        <v>5.276987558761653</v>
      </c>
      <c r="L1282">
        <v>0</v>
      </c>
      <c r="M1282">
        <v>3.6081389148923618E-3</v>
      </c>
      <c r="N1282">
        <v>0.33031375493925935</v>
      </c>
      <c r="O1282">
        <v>0.14730115397878432</v>
      </c>
      <c r="P1282">
        <v>2.0954860445821098E-2</v>
      </c>
      <c r="Q1282">
        <v>1.2958712298233512E-3</v>
      </c>
      <c r="R1282">
        <v>3.6024856746360245E-3</v>
      </c>
      <c r="S1282">
        <v>0.4716350507006673</v>
      </c>
      <c r="T1282">
        <v>4.0632327896061033</v>
      </c>
      <c r="U1282">
        <v>0</v>
      </c>
      <c r="V1282">
        <v>1.1304767209823827E-2</v>
      </c>
      <c r="W1282">
        <v>0.19437239025570568</v>
      </c>
      <c r="X1282">
        <v>2.6401674082621365E-2</v>
      </c>
      <c r="Y1282">
        <v>1.0180899553291722E-2</v>
      </c>
    </row>
    <row r="1283" spans="1:25" x14ac:dyDescent="0.25">
      <c r="A1283" s="1093"/>
      <c r="B1283" s="1452">
        <v>1033</v>
      </c>
      <c r="C1283" s="1097">
        <v>0.99057017033327222</v>
      </c>
      <c r="D1283" s="1097">
        <v>1.0113245374542714</v>
      </c>
      <c r="E1283" s="1097">
        <v>0.98191759228190123</v>
      </c>
      <c r="F1283" s="1097">
        <v>0.9546030844027189</v>
      </c>
      <c r="G1283" s="1097">
        <v>0.99219197123379599</v>
      </c>
      <c r="H1283" s="1097">
        <v>1.0133512768670909</v>
      </c>
      <c r="I1283" s="1097">
        <v>0.97976766786993086</v>
      </c>
      <c r="K1283">
        <v>4.9471087130774229</v>
      </c>
      <c r="L1283">
        <v>0</v>
      </c>
      <c r="M1283">
        <v>3.652105506212245E-3</v>
      </c>
      <c r="N1283">
        <v>0.30027831154548557</v>
      </c>
      <c r="O1283">
        <v>0.14284307706091598</v>
      </c>
      <c r="P1283">
        <v>1.915211073458405E-2</v>
      </c>
      <c r="Q1283">
        <v>1.2898193468597967E-3</v>
      </c>
      <c r="R1283">
        <v>3.6458413485609608E-3</v>
      </c>
      <c r="S1283">
        <v>0.44134779873743457</v>
      </c>
      <c r="T1283">
        <v>3.8161315456822131</v>
      </c>
      <c r="U1283">
        <v>0</v>
      </c>
      <c r="V1283">
        <v>1.1304767209823818E-2</v>
      </c>
      <c r="W1283">
        <v>0.18107624867253128</v>
      </c>
      <c r="X1283">
        <v>2.3387872247370742E-2</v>
      </c>
      <c r="Y1283">
        <v>1.0303425997852713E-2</v>
      </c>
    </row>
    <row r="1284" spans="1:25" x14ac:dyDescent="0.25">
      <c r="A1284" s="1093"/>
      <c r="B1284" s="1452">
        <v>1034</v>
      </c>
      <c r="C1284" s="1097">
        <v>1.0155750061354079</v>
      </c>
      <c r="D1284" s="1097">
        <v>1.0006355810236223</v>
      </c>
      <c r="E1284" s="1097">
        <v>1.0141442461045371</v>
      </c>
      <c r="F1284" s="1097">
        <v>1.0011042951259446</v>
      </c>
      <c r="G1284" s="1097">
        <v>0.96698509197569704</v>
      </c>
      <c r="H1284" s="1097">
        <v>1.0098355658143752</v>
      </c>
      <c r="I1284" s="1097">
        <v>1.045931434607593</v>
      </c>
      <c r="K1284">
        <v>5.1939705026642589</v>
      </c>
      <c r="L1284">
        <v>0</v>
      </c>
      <c r="M1284">
        <v>3.4930869350525422E-3</v>
      </c>
      <c r="N1284">
        <v>0.31600754096877953</v>
      </c>
      <c r="O1284">
        <v>0.14585139675705797</v>
      </c>
      <c r="P1284">
        <v>2.0625336934297085E-2</v>
      </c>
      <c r="Q1284">
        <v>1.2988475322058036E-3</v>
      </c>
      <c r="R1284">
        <v>3.4873534763599882E-3</v>
      </c>
      <c r="S1284">
        <v>0.47852938081380592</v>
      </c>
      <c r="T1284">
        <v>3.9979709401116126</v>
      </c>
      <c r="U1284">
        <v>0</v>
      </c>
      <c r="V1284">
        <v>1.130476720982381E-2</v>
      </c>
      <c r="W1284">
        <v>0.18645010049051922</v>
      </c>
      <c r="X1284">
        <v>2.6082398133813165E-2</v>
      </c>
      <c r="Y1284">
        <v>9.8555271710361238E-3</v>
      </c>
    </row>
    <row r="1285" spans="1:25" x14ac:dyDescent="0.25">
      <c r="A1285" s="1093"/>
      <c r="B1285" s="1452">
        <v>1035</v>
      </c>
      <c r="C1285" s="1097">
        <v>1.0000148991985305</v>
      </c>
      <c r="D1285" s="1097">
        <v>0.98636425387477622</v>
      </c>
      <c r="E1285" s="1097">
        <v>0.99734482833836402</v>
      </c>
      <c r="F1285" s="1097">
        <v>0.96065774783047209</v>
      </c>
      <c r="G1285" s="1097">
        <v>1.0222085904144618</v>
      </c>
      <c r="H1285" s="1097">
        <v>0.98135038053303336</v>
      </c>
      <c r="I1285" s="1097">
        <v>1.0120505836255473</v>
      </c>
      <c r="K1285">
        <v>4.9725328435707308</v>
      </c>
      <c r="L1285">
        <v>0</v>
      </c>
      <c r="M1285">
        <v>3.4473208579153479E-3</v>
      </c>
      <c r="N1285">
        <v>0.29669476028346808</v>
      </c>
      <c r="O1285">
        <v>0.14340724393759624</v>
      </c>
      <c r="P1285">
        <v>1.9518238635573244E-2</v>
      </c>
      <c r="Q1285">
        <v>1.307763188175153E-3</v>
      </c>
      <c r="R1285">
        <v>3.4412535519580349E-3</v>
      </c>
      <c r="S1285">
        <v>0.45039976465164938</v>
      </c>
      <c r="T1285">
        <v>3.8384659435703377</v>
      </c>
      <c r="U1285">
        <v>0</v>
      </c>
      <c r="V1285">
        <v>1.1304767209823813E-2</v>
      </c>
      <c r="W1285">
        <v>0.17704636973788038</v>
      </c>
      <c r="X1285">
        <v>2.4668814397066724E-2</v>
      </c>
      <c r="Y1285">
        <v>9.725245265113475E-3</v>
      </c>
    </row>
    <row r="1286" spans="1:25" x14ac:dyDescent="0.25">
      <c r="A1286" s="1093"/>
      <c r="B1286" s="1452">
        <v>1036</v>
      </c>
      <c r="C1286" s="1097">
        <v>0.98728563749433274</v>
      </c>
      <c r="D1286" s="1097">
        <v>0.98967480457426704</v>
      </c>
      <c r="E1286" s="1097">
        <v>1.0108058148593506</v>
      </c>
      <c r="F1286" s="1097">
        <v>1.0012411351562125</v>
      </c>
      <c r="G1286" s="1097">
        <v>0.96781885445871885</v>
      </c>
      <c r="H1286" s="1097">
        <v>0.97620035894720592</v>
      </c>
      <c r="I1286" s="1097">
        <v>1.0047418928300578</v>
      </c>
      <c r="K1286">
        <v>5.187932336870567</v>
      </c>
      <c r="L1286">
        <v>0</v>
      </c>
      <c r="M1286">
        <v>3.5139750159374206E-3</v>
      </c>
      <c r="N1286">
        <v>0.31475330420438946</v>
      </c>
      <c r="O1286">
        <v>0.1508082704264338</v>
      </c>
      <c r="P1286">
        <v>2.0528440865970086E-2</v>
      </c>
      <c r="Q1286">
        <v>1.3381597560256852E-3</v>
      </c>
      <c r="R1286">
        <v>3.5080093572670253E-3</v>
      </c>
      <c r="S1286">
        <v>0.4674939600002771</v>
      </c>
      <c r="T1286">
        <v>3.9989346217701724</v>
      </c>
      <c r="U1286">
        <v>0</v>
      </c>
      <c r="V1286">
        <v>1.130476720982381E-2</v>
      </c>
      <c r="W1286">
        <v>0.1861260459562751</v>
      </c>
      <c r="X1286">
        <v>2.6736830072390395E-2</v>
      </c>
      <c r="Y1286">
        <v>9.9139022674813188E-3</v>
      </c>
    </row>
    <row r="1287" spans="1:25" x14ac:dyDescent="0.25">
      <c r="A1287" s="1093"/>
      <c r="B1287" s="1452">
        <v>1037</v>
      </c>
      <c r="C1287" s="1097">
        <v>1.0016034466595547</v>
      </c>
      <c r="D1287" s="1097">
        <v>0.96927222133949664</v>
      </c>
      <c r="E1287" s="1097">
        <v>1.0102293058717891</v>
      </c>
      <c r="F1287" s="1097">
        <v>0.99157957953764186</v>
      </c>
      <c r="G1287" s="1097">
        <v>0.98287288880620671</v>
      </c>
      <c r="H1287" s="1097">
        <v>0.98806830233156107</v>
      </c>
      <c r="I1287" s="1097">
        <v>1.0416524594622825</v>
      </c>
      <c r="K1287">
        <v>5.1551120687362264</v>
      </c>
      <c r="L1287">
        <v>0</v>
      </c>
      <c r="M1287">
        <v>3.5053905302889874E-3</v>
      </c>
      <c r="N1287">
        <v>0.31345018997255286</v>
      </c>
      <c r="O1287">
        <v>0.14846593678823169</v>
      </c>
      <c r="P1287">
        <v>2.039213523857435E-2</v>
      </c>
      <c r="Q1287">
        <v>1.3294148434621351E-3</v>
      </c>
      <c r="R1287">
        <v>3.4994537328197277E-3</v>
      </c>
      <c r="S1287">
        <v>0.47816908176067069</v>
      </c>
      <c r="T1287">
        <v>3.960418002731108</v>
      </c>
      <c r="U1287">
        <v>0</v>
      </c>
      <c r="V1287">
        <v>1.1304767209823818E-2</v>
      </c>
      <c r="W1287">
        <v>0.18542718737835026</v>
      </c>
      <c r="X1287">
        <v>2.6271566191319082E-2</v>
      </c>
      <c r="Y1287">
        <v>9.8897234196022275E-3</v>
      </c>
    </row>
    <row r="1288" spans="1:25" x14ac:dyDescent="0.25">
      <c r="A1288" s="1093"/>
      <c r="B1288" s="1452">
        <v>1038</v>
      </c>
      <c r="C1288" s="1097">
        <v>1.0152869470007542</v>
      </c>
      <c r="D1288" s="1097">
        <v>0.98672288961348253</v>
      </c>
      <c r="E1288" s="1097">
        <v>1.0041011818126622</v>
      </c>
      <c r="F1288" s="1097">
        <v>0.96319964617704346</v>
      </c>
      <c r="G1288" s="1097">
        <v>0.97418031115244264</v>
      </c>
      <c r="H1288" s="1097">
        <v>1.0361379394003412</v>
      </c>
      <c r="I1288" s="1097">
        <v>1.0011299537847327</v>
      </c>
      <c r="K1288">
        <v>5.0014565609008992</v>
      </c>
      <c r="L1288">
        <v>0</v>
      </c>
      <c r="M1288">
        <v>3.5431973029478141E-3</v>
      </c>
      <c r="N1288">
        <v>0.31114261882855881</v>
      </c>
      <c r="O1288">
        <v>0.14142388041168874</v>
      </c>
      <c r="P1288">
        <v>1.9655570549829478E-2</v>
      </c>
      <c r="Q1288">
        <v>1.2953800725431692E-3</v>
      </c>
      <c r="R1288">
        <v>3.5373065555602654E-3</v>
      </c>
      <c r="S1288">
        <v>0.44957165784959174</v>
      </c>
      <c r="T1288">
        <v>3.8478057309390752</v>
      </c>
      <c r="U1288">
        <v>0</v>
      </c>
      <c r="V1288">
        <v>1.1304767209823808E-2</v>
      </c>
      <c r="W1288">
        <v>0.18482232981342012</v>
      </c>
      <c r="X1288">
        <v>2.4443817587163595E-2</v>
      </c>
      <c r="Y1288">
        <v>9.9966983865932904E-3</v>
      </c>
    </row>
    <row r="1289" spans="1:25" x14ac:dyDescent="0.25">
      <c r="A1289" s="1093"/>
      <c r="B1289" s="1452">
        <v>1039</v>
      </c>
      <c r="C1289" s="1097">
        <v>0.96205336125223861</v>
      </c>
      <c r="D1289" s="1097">
        <v>0.97642591564430392</v>
      </c>
      <c r="E1289" s="1097">
        <v>0.99361553757616661</v>
      </c>
      <c r="F1289" s="1097">
        <v>0.98366062674319976</v>
      </c>
      <c r="G1289" s="1097">
        <v>1.0184737642837483</v>
      </c>
      <c r="H1289" s="1097">
        <v>1.0476466580112997</v>
      </c>
      <c r="I1289" s="1097">
        <v>1.0251138489559755</v>
      </c>
      <c r="K1289">
        <v>5.1905551111042758</v>
      </c>
      <c r="L1289">
        <v>0</v>
      </c>
      <c r="M1289">
        <v>3.9637514785786773E-3</v>
      </c>
      <c r="N1289">
        <v>0.33744214916794318</v>
      </c>
      <c r="O1289">
        <v>0.15336198655040334</v>
      </c>
      <c r="P1289">
        <v>2.0096337004928511E-2</v>
      </c>
      <c r="Q1289">
        <v>1.3605157444345176E-3</v>
      </c>
      <c r="R1289">
        <v>3.9573692726624652E-3</v>
      </c>
      <c r="S1289">
        <v>0.49775764061382088</v>
      </c>
      <c r="T1289">
        <v>3.9308392791327593</v>
      </c>
      <c r="U1289">
        <v>0</v>
      </c>
      <c r="V1289">
        <v>1.1304767209823827E-2</v>
      </c>
      <c r="W1289">
        <v>0.20187126080005124</v>
      </c>
      <c r="X1289">
        <v>2.5343729390630832E-2</v>
      </c>
      <c r="Y1289">
        <v>1.1183827695395436E-2</v>
      </c>
    </row>
    <row r="1290" spans="1:25" x14ac:dyDescent="0.25">
      <c r="A1290" s="1093"/>
      <c r="B1290" s="1452">
        <v>1040</v>
      </c>
      <c r="C1290" s="1097">
        <v>0.97221284159466836</v>
      </c>
      <c r="D1290" s="1097">
        <v>0.9839275078014037</v>
      </c>
      <c r="E1290" s="1097">
        <v>0.99719408813223998</v>
      </c>
      <c r="F1290" s="1097">
        <v>0.97141340757591155</v>
      </c>
      <c r="G1290" s="1097">
        <v>0.99960180065289361</v>
      </c>
      <c r="H1290" s="1097">
        <v>1.041916168680167</v>
      </c>
      <c r="I1290" s="1097">
        <v>1.0267426280916705</v>
      </c>
      <c r="K1290">
        <v>5.1090924052510225</v>
      </c>
      <c r="L1290">
        <v>0</v>
      </c>
      <c r="M1290">
        <v>3.8117999662000816E-3</v>
      </c>
      <c r="N1290">
        <v>0.32795687416551167</v>
      </c>
      <c r="O1290">
        <v>0.14931160793358658</v>
      </c>
      <c r="P1290">
        <v>1.9874248342882646E-2</v>
      </c>
      <c r="Q1290">
        <v>1.3463181823766069E-3</v>
      </c>
      <c r="R1290">
        <v>3.8055509951890956E-3</v>
      </c>
      <c r="S1290">
        <v>0.48632395914028864</v>
      </c>
      <c r="T1290">
        <v>3.8814603585533325</v>
      </c>
      <c r="U1290">
        <v>0</v>
      </c>
      <c r="V1290">
        <v>1.1304767209823822E-2</v>
      </c>
      <c r="W1290">
        <v>0.19572135625856196</v>
      </c>
      <c r="X1290">
        <v>2.504438678318455E-2</v>
      </c>
      <c r="Y1290">
        <v>1.0754777652478524E-2</v>
      </c>
    </row>
    <row r="1291" spans="1:25" x14ac:dyDescent="0.25">
      <c r="A1291" s="1093"/>
      <c r="B1291" s="1452">
        <v>1041</v>
      </c>
      <c r="C1291" s="1097">
        <v>0.983715811129108</v>
      </c>
      <c r="D1291" s="1097">
        <v>0.9749829289438301</v>
      </c>
      <c r="E1291" s="1097">
        <v>0.96427698747116131</v>
      </c>
      <c r="F1291" s="1097">
        <v>1.0002761727005802</v>
      </c>
      <c r="G1291" s="1097">
        <v>0.96973908060186031</v>
      </c>
      <c r="H1291" s="1097">
        <v>1.0100584997866977</v>
      </c>
      <c r="I1291" s="1097">
        <v>1.008376894431501</v>
      </c>
      <c r="K1291">
        <v>5.2088240094216207</v>
      </c>
      <c r="L1291">
        <v>0</v>
      </c>
      <c r="M1291">
        <v>4.0441854567473262E-3</v>
      </c>
      <c r="N1291">
        <v>0.31557178898579574</v>
      </c>
      <c r="O1291">
        <v>0.15344688462102074</v>
      </c>
      <c r="P1291">
        <v>1.9878184510107207E-2</v>
      </c>
      <c r="Q1291">
        <v>1.2978433344675931E-3</v>
      </c>
      <c r="R1291">
        <v>4.0375434196607152E-3</v>
      </c>
      <c r="S1291">
        <v>0.47846699920021557</v>
      </c>
      <c r="T1291">
        <v>4.0009581186392067</v>
      </c>
      <c r="U1291">
        <v>0</v>
      </c>
      <c r="V1291">
        <v>1.1304767209823808E-2</v>
      </c>
      <c r="W1291">
        <v>0.19262358782930514</v>
      </c>
      <c r="X1291">
        <v>2.3872071172944709E-2</v>
      </c>
      <c r="Y1291">
        <v>1.1410405955819053E-2</v>
      </c>
    </row>
    <row r="1292" spans="1:25" x14ac:dyDescent="0.25">
      <c r="A1292" s="1093"/>
      <c r="B1292" s="1452">
        <v>1042</v>
      </c>
      <c r="C1292" s="1097">
        <v>0.99251967142704833</v>
      </c>
      <c r="D1292" s="1097">
        <v>0.97512275969612383</v>
      </c>
      <c r="E1292" s="1097">
        <v>1.0159172137041097</v>
      </c>
      <c r="F1292" s="1097">
        <v>1.0019922217649175</v>
      </c>
      <c r="G1292" s="1097">
        <v>0.97826624092807535</v>
      </c>
      <c r="H1292" s="1097">
        <v>0.99094749403330762</v>
      </c>
      <c r="I1292" s="1097">
        <v>0.99484021258964506</v>
      </c>
      <c r="K1292">
        <v>5.1979650374892463</v>
      </c>
      <c r="L1292">
        <v>0</v>
      </c>
      <c r="M1292">
        <v>3.5336865430867425E-3</v>
      </c>
      <c r="N1292">
        <v>0.32135275193230534</v>
      </c>
      <c r="O1292">
        <v>0.150872569139955</v>
      </c>
      <c r="P1292">
        <v>2.0604732801380629E-2</v>
      </c>
      <c r="Q1292">
        <v>1.3448422584840505E-3</v>
      </c>
      <c r="R1292">
        <v>3.5277811209590399E-3</v>
      </c>
      <c r="S1292">
        <v>0.46488203130408912</v>
      </c>
      <c r="T1292">
        <v>4.0012954650731274</v>
      </c>
      <c r="U1292">
        <v>0</v>
      </c>
      <c r="V1292">
        <v>1.1304767209823818E-2</v>
      </c>
      <c r="W1292">
        <v>0.18937910201994793</v>
      </c>
      <c r="X1292">
        <v>2.6964902391082318E-2</v>
      </c>
      <c r="Y1292">
        <v>9.9697787811777027E-3</v>
      </c>
    </row>
    <row r="1293" spans="1:25" x14ac:dyDescent="0.25">
      <c r="A1293" s="1093"/>
      <c r="B1293" s="1452">
        <v>1043</v>
      </c>
      <c r="C1293" s="1097">
        <v>0.99350430432465997</v>
      </c>
      <c r="D1293" s="1097">
        <v>0.97197054983677367</v>
      </c>
      <c r="E1293" s="1097">
        <v>0.99342065735358542</v>
      </c>
      <c r="F1293" s="1097">
        <v>0.99523809321598533</v>
      </c>
      <c r="G1293" s="1097">
        <v>0.97072790044843049</v>
      </c>
      <c r="H1293" s="1097">
        <v>0.97612999621826768</v>
      </c>
      <c r="I1293" s="1097">
        <v>0.98782463109129648</v>
      </c>
      <c r="K1293">
        <v>5.1453651802552409</v>
      </c>
      <c r="L1293">
        <v>0</v>
      </c>
      <c r="M1293">
        <v>3.6263888077093707E-3</v>
      </c>
      <c r="N1293">
        <v>0.30851323347757698</v>
      </c>
      <c r="O1293">
        <v>0.15053558234187497</v>
      </c>
      <c r="P1293">
        <v>2.0114152436931466E-2</v>
      </c>
      <c r="Q1293">
        <v>1.3196374188354147E-3</v>
      </c>
      <c r="R1293">
        <v>3.6201947855617313E-3</v>
      </c>
      <c r="S1293">
        <v>0.45606781877889047</v>
      </c>
      <c r="T1293">
        <v>3.9771288073353039</v>
      </c>
      <c r="U1293">
        <v>0</v>
      </c>
      <c r="V1293">
        <v>1.1304767209823818E-2</v>
      </c>
      <c r="W1293">
        <v>0.18458925619136307</v>
      </c>
      <c r="X1293">
        <v>2.5567172233989202E-2</v>
      </c>
      <c r="Y1293">
        <v>1.0230946852794432E-2</v>
      </c>
    </row>
    <row r="1294" spans="1:25" x14ac:dyDescent="0.25">
      <c r="A1294" s="1093"/>
      <c r="B1294" s="1452">
        <v>1044</v>
      </c>
      <c r="C1294" s="1097">
        <v>0.98399880027626463</v>
      </c>
      <c r="D1294" s="1097">
        <v>1.0209914132156015</v>
      </c>
      <c r="E1294" s="1097">
        <v>0.98959813889027537</v>
      </c>
      <c r="F1294" s="1097">
        <v>1.036390288744532</v>
      </c>
      <c r="G1294" s="1097">
        <v>1.0268740021723743</v>
      </c>
      <c r="H1294" s="1097">
        <v>1.0209845264313075</v>
      </c>
      <c r="I1294" s="1097">
        <v>1.0282118224553807</v>
      </c>
      <c r="K1294">
        <v>5.3986377911729653</v>
      </c>
      <c r="L1294">
        <v>0</v>
      </c>
      <c r="M1294">
        <v>3.941599420129646E-3</v>
      </c>
      <c r="N1294">
        <v>0.33159716947698098</v>
      </c>
      <c r="O1294">
        <v>0.1553008908887438</v>
      </c>
      <c r="P1294">
        <v>2.0999920962432028E-2</v>
      </c>
      <c r="Q1294">
        <v>1.3021221945354179E-3</v>
      </c>
      <c r="R1294">
        <v>3.9354179499253572E-3</v>
      </c>
      <c r="S1294">
        <v>0.50017835451047599</v>
      </c>
      <c r="T1294">
        <v>4.1420788656820706</v>
      </c>
      <c r="U1294">
        <v>0</v>
      </c>
      <c r="V1294">
        <v>1.130476720982383E-2</v>
      </c>
      <c r="W1294">
        <v>0.1989170202432283</v>
      </c>
      <c r="X1294">
        <v>2.5843069893435901E-2</v>
      </c>
      <c r="Y1294">
        <v>1.1121791581436164E-2</v>
      </c>
    </row>
    <row r="1295" spans="1:25" x14ac:dyDescent="0.25">
      <c r="A1295" s="1093"/>
      <c r="B1295" s="1452">
        <v>1045</v>
      </c>
      <c r="C1295" s="1097">
        <v>0.97246360876119164</v>
      </c>
      <c r="D1295" s="1097">
        <v>1.0249832595578658</v>
      </c>
      <c r="E1295" s="1097">
        <v>1.0268527854825358</v>
      </c>
      <c r="F1295" s="1097">
        <v>0.99854023718466389</v>
      </c>
      <c r="G1295" s="1097">
        <v>0.98827523235714732</v>
      </c>
      <c r="H1295" s="1097">
        <v>1.0086493670482801</v>
      </c>
      <c r="I1295" s="1097">
        <v>0.9923571735812764</v>
      </c>
      <c r="K1295">
        <v>5.1993883561508216</v>
      </c>
      <c r="L1295">
        <v>0</v>
      </c>
      <c r="M1295">
        <v>3.5042076650870033E-3</v>
      </c>
      <c r="N1295">
        <v>0.3291574974923433</v>
      </c>
      <c r="O1295">
        <v>0.15011344815005215</v>
      </c>
      <c r="P1295">
        <v>2.0726899766679685E-2</v>
      </c>
      <c r="Q1295">
        <v>1.3579678854370666E-3</v>
      </c>
      <c r="R1295">
        <v>3.4984344268807303E-3</v>
      </c>
      <c r="S1295">
        <v>0.47068226289410925</v>
      </c>
      <c r="T1295">
        <v>3.9861533657967061</v>
      </c>
      <c r="U1295">
        <v>0</v>
      </c>
      <c r="V1295">
        <v>1.1304767209823837E-2</v>
      </c>
      <c r="W1295">
        <v>0.19257060134616444</v>
      </c>
      <c r="X1295">
        <v>2.7440476064506631E-2</v>
      </c>
      <c r="Y1295">
        <v>9.8868427831982925E-3</v>
      </c>
    </row>
    <row r="1296" spans="1:25" x14ac:dyDescent="0.25">
      <c r="A1296" s="1093"/>
      <c r="B1296" s="1452">
        <v>1046</v>
      </c>
      <c r="C1296" s="1097">
        <v>1.0026585520330811</v>
      </c>
      <c r="D1296" s="1097">
        <v>0.98524303410273162</v>
      </c>
      <c r="E1296" s="1097">
        <v>0.99802604345089307</v>
      </c>
      <c r="F1296" s="1097">
        <v>1.03760309813862</v>
      </c>
      <c r="G1296" s="1097">
        <v>1.010257304022633</v>
      </c>
      <c r="H1296" s="1097">
        <v>0.99520661909565</v>
      </c>
      <c r="I1296" s="1097">
        <v>0.97508154063815666</v>
      </c>
      <c r="K1296">
        <v>5.3533377300770058</v>
      </c>
      <c r="L1296">
        <v>0</v>
      </c>
      <c r="M1296">
        <v>3.7618890743122222E-3</v>
      </c>
      <c r="N1296">
        <v>0.32447216767599441</v>
      </c>
      <c r="O1296">
        <v>0.15453582697222779</v>
      </c>
      <c r="P1296">
        <v>2.0987093345694267E-2</v>
      </c>
      <c r="Q1296">
        <v>1.305671793177628E-3</v>
      </c>
      <c r="R1296">
        <v>3.7558436878029613E-3</v>
      </c>
      <c r="S1296">
        <v>0.46430644218959</v>
      </c>
      <c r="T1296">
        <v>4.1458248976048777</v>
      </c>
      <c r="U1296">
        <v>0</v>
      </c>
      <c r="V1296">
        <v>1.1304767209823818E-2</v>
      </c>
      <c r="W1296">
        <v>0.19353268830534839</v>
      </c>
      <c r="X1296">
        <v>2.6459919359945488E-2</v>
      </c>
      <c r="Y1296">
        <v>1.0614301006831918E-2</v>
      </c>
    </row>
    <row r="1297" spans="1:25" x14ac:dyDescent="0.25">
      <c r="A1297" s="1093"/>
      <c r="B1297" s="1452">
        <v>1047</v>
      </c>
      <c r="C1297" s="1097">
        <v>1.0157678808554793</v>
      </c>
      <c r="D1297" s="1097">
        <v>0.9733195227121838</v>
      </c>
      <c r="E1297" s="1097">
        <v>1.0037855132230318</v>
      </c>
      <c r="F1297" s="1097">
        <v>1.0104141573581802</v>
      </c>
      <c r="G1297" s="1097">
        <v>0.99321752254299789</v>
      </c>
      <c r="H1297" s="1097">
        <v>1.020245752474342</v>
      </c>
      <c r="I1297" s="1097">
        <v>0.98778664668780536</v>
      </c>
      <c r="K1297">
        <v>5.2294600370191509</v>
      </c>
      <c r="L1297">
        <v>0</v>
      </c>
      <c r="M1297">
        <v>3.680355939638111E-3</v>
      </c>
      <c r="N1297">
        <v>0.32290212622334746</v>
      </c>
      <c r="O1297">
        <v>0.14910830320211982</v>
      </c>
      <c r="P1297">
        <v>2.0558032472865254E-2</v>
      </c>
      <c r="Q1297">
        <v>1.3015182047450106E-3</v>
      </c>
      <c r="R1297">
        <v>3.6744317422838109E-3</v>
      </c>
      <c r="S1297">
        <v>0.45980702444515087</v>
      </c>
      <c r="T1297">
        <v>4.0364590054857761</v>
      </c>
      <c r="U1297">
        <v>0</v>
      </c>
      <c r="V1297">
        <v>1.1304767209823811E-2</v>
      </c>
      <c r="W1297">
        <v>0.19184843144197947</v>
      </c>
      <c r="X1297">
        <v>2.5792527897409129E-2</v>
      </c>
      <c r="Y1297">
        <v>1.0384224633286789E-2</v>
      </c>
    </row>
    <row r="1298" spans="1:25" x14ac:dyDescent="0.25">
      <c r="A1298" s="1093"/>
      <c r="B1298" s="1452">
        <v>1048</v>
      </c>
      <c r="C1298" s="1097">
        <v>0.99935212710578258</v>
      </c>
      <c r="D1298" s="1097">
        <v>0.98486867630904684</v>
      </c>
      <c r="E1298" s="1097">
        <v>0.99522828141830533</v>
      </c>
      <c r="F1298" s="1097">
        <v>0.98016380280229443</v>
      </c>
      <c r="G1298" s="1097">
        <v>0.99272718908405289</v>
      </c>
      <c r="H1298" s="1097">
        <v>1.0082137580602344</v>
      </c>
      <c r="I1298" s="1097">
        <v>1.0403582343763675</v>
      </c>
      <c r="K1298">
        <v>5.1039597723597891</v>
      </c>
      <c r="L1298">
        <v>0</v>
      </c>
      <c r="M1298">
        <v>3.6342221447843641E-3</v>
      </c>
      <c r="N1298">
        <v>0.31084975459484088</v>
      </c>
      <c r="O1298">
        <v>0.14656317974086808</v>
      </c>
      <c r="P1298">
        <v>1.9959688748091908E-2</v>
      </c>
      <c r="Q1298">
        <v>1.307046342994757E-3</v>
      </c>
      <c r="R1298">
        <v>3.6281200058371969E-3</v>
      </c>
      <c r="S1298">
        <v>0.47642060520930923</v>
      </c>
      <c r="T1298">
        <v>3.9166665148913049</v>
      </c>
      <c r="U1298">
        <v>0</v>
      </c>
      <c r="V1298">
        <v>1.1304767209823822E-2</v>
      </c>
      <c r="W1298">
        <v>0.18575927751954407</v>
      </c>
      <c r="X1298">
        <v>2.4881696111603208E-2</v>
      </c>
      <c r="Y1298">
        <v>1.0253344130354844E-2</v>
      </c>
    </row>
    <row r="1299" spans="1:25" x14ac:dyDescent="0.25">
      <c r="A1299" s="1093"/>
      <c r="B1299" s="1452">
        <v>1049</v>
      </c>
      <c r="C1299" s="1097">
        <v>1.0399135116690335</v>
      </c>
      <c r="D1299" s="1097">
        <v>1.0060584750848469</v>
      </c>
      <c r="E1299" s="1097">
        <v>0.98884508197199605</v>
      </c>
      <c r="F1299" s="1097">
        <v>0.99015368474123933</v>
      </c>
      <c r="G1299" s="1097">
        <v>0.97131089892198275</v>
      </c>
      <c r="H1299" s="1097">
        <v>1.0050007623524611</v>
      </c>
      <c r="I1299" s="1097">
        <v>0.95494959393485235</v>
      </c>
      <c r="K1299">
        <v>5.0609207768503399</v>
      </c>
      <c r="L1299">
        <v>0</v>
      </c>
      <c r="M1299">
        <v>3.5340764429324521E-3</v>
      </c>
      <c r="N1299">
        <v>0.29662059633431492</v>
      </c>
      <c r="O1299">
        <v>0.14124442752016472</v>
      </c>
      <c r="P1299">
        <v>1.9800051774955703E-2</v>
      </c>
      <c r="Q1299">
        <v>1.2385867044425705E-3</v>
      </c>
      <c r="R1299">
        <v>3.5281834453991575E-3</v>
      </c>
      <c r="S1299">
        <v>0.42149062743043597</v>
      </c>
      <c r="T1299">
        <v>3.9573818968782861</v>
      </c>
      <c r="U1299">
        <v>0</v>
      </c>
      <c r="V1299">
        <v>1.1304767209823827E-2</v>
      </c>
      <c r="W1299">
        <v>0.17802668384587317</v>
      </c>
      <c r="X1299">
        <v>2.384811636880849E-2</v>
      </c>
      <c r="Y1299">
        <v>9.9709157807614905E-3</v>
      </c>
    </row>
    <row r="1300" spans="1:25" x14ac:dyDescent="0.25">
      <c r="A1300" s="1093"/>
      <c r="B1300" s="1452">
        <v>1050</v>
      </c>
      <c r="C1300" s="1097">
        <v>1.0079259256698345</v>
      </c>
      <c r="D1300" s="1097">
        <v>1.0271662562662207</v>
      </c>
      <c r="E1300" s="1097">
        <v>0.99421482987102416</v>
      </c>
      <c r="F1300" s="1097">
        <v>1.0227882149673129</v>
      </c>
      <c r="G1300" s="1097">
        <v>0.97747324226831123</v>
      </c>
      <c r="H1300" s="1097">
        <v>0.9764184111841403</v>
      </c>
      <c r="I1300" s="1097">
        <v>1.0123563248510501</v>
      </c>
      <c r="K1300">
        <v>5.2606061446062924</v>
      </c>
      <c r="L1300">
        <v>0</v>
      </c>
      <c r="M1300">
        <v>3.5880816763249595E-3</v>
      </c>
      <c r="N1300">
        <v>0.3059879728620099</v>
      </c>
      <c r="O1300">
        <v>0.14913492507624435</v>
      </c>
      <c r="P1300">
        <v>2.0670991949680601E-2</v>
      </c>
      <c r="Q1300">
        <v>1.2732024433798627E-3</v>
      </c>
      <c r="R1300">
        <v>3.5821196596346068E-3</v>
      </c>
      <c r="S1300">
        <v>0.46639885986651453</v>
      </c>
      <c r="T1300">
        <v>4.0871211713656406</v>
      </c>
      <c r="U1300">
        <v>0</v>
      </c>
      <c r="V1300">
        <v>1.1304767209823808E-2</v>
      </c>
      <c r="W1300">
        <v>0.18297968929896441</v>
      </c>
      <c r="X1300">
        <v>2.56171829106982E-2</v>
      </c>
      <c r="Y1300">
        <v>1.0123343640026027E-2</v>
      </c>
    </row>
    <row r="1301" spans="1:25" x14ac:dyDescent="0.25">
      <c r="A1301" s="1093"/>
      <c r="B1301" s="1452">
        <v>1051</v>
      </c>
      <c r="C1301" s="1097">
        <v>0.98376919318111866</v>
      </c>
      <c r="D1301" s="1097">
        <v>0.98586405013039535</v>
      </c>
      <c r="E1301" s="1097">
        <v>0.98786377522442037</v>
      </c>
      <c r="F1301" s="1097">
        <v>1.0309163415259646</v>
      </c>
      <c r="G1301" s="1097">
        <v>0.98586556352963672</v>
      </c>
      <c r="H1301" s="1097">
        <v>1.028308119935833</v>
      </c>
      <c r="I1301" s="1097">
        <v>0.99012968242627875</v>
      </c>
      <c r="K1301">
        <v>5.3706097242183146</v>
      </c>
      <c r="L1301">
        <v>0</v>
      </c>
      <c r="M1301">
        <v>4.0201957403234439E-3</v>
      </c>
      <c r="N1301">
        <v>0.33647527380653208</v>
      </c>
      <c r="O1301">
        <v>0.15674668487920204</v>
      </c>
      <c r="P1301">
        <v>2.080349482693563E-2</v>
      </c>
      <c r="Q1301">
        <v>1.3188181876723228E-3</v>
      </c>
      <c r="R1301">
        <v>4.0139027276323612E-3</v>
      </c>
      <c r="S1301">
        <v>0.48433224450004503</v>
      </c>
      <c r="T1301">
        <v>4.1204271438962943</v>
      </c>
      <c r="U1301">
        <v>0</v>
      </c>
      <c r="V1301">
        <v>1.1304767209823822E-2</v>
      </c>
      <c r="W1301">
        <v>0.20208183812876551</v>
      </c>
      <c r="X1301">
        <v>2.5782156240468021E-2</v>
      </c>
      <c r="Y1301">
        <v>1.1343595555265472E-2</v>
      </c>
    </row>
    <row r="1302" spans="1:25" x14ac:dyDescent="0.25">
      <c r="A1302" s="1093"/>
      <c r="B1302" s="1452">
        <v>1052</v>
      </c>
      <c r="C1302" s="1097">
        <v>1.0298034847470019</v>
      </c>
      <c r="D1302" s="1097">
        <v>1.0143333485014823</v>
      </c>
      <c r="E1302" s="1097">
        <v>0.98924124465690066</v>
      </c>
      <c r="F1302" s="1097">
        <v>0.99644056865397612</v>
      </c>
      <c r="G1302" s="1097">
        <v>0.97012446644422956</v>
      </c>
      <c r="H1302" s="1097">
        <v>0.98943356108363067</v>
      </c>
      <c r="I1302" s="1097">
        <v>1.0014568530390575</v>
      </c>
      <c r="K1302">
        <v>5.1109348893344455</v>
      </c>
      <c r="L1302">
        <v>0</v>
      </c>
      <c r="M1302">
        <v>3.5212636912872772E-3</v>
      </c>
      <c r="N1302">
        <v>0.29588798945301559</v>
      </c>
      <c r="O1302">
        <v>0.14305656364670805</v>
      </c>
      <c r="P1302">
        <v>2.002608934554435E-2</v>
      </c>
      <c r="Q1302">
        <v>1.247081313563163E-3</v>
      </c>
      <c r="R1302">
        <v>3.5153372440583216E-3</v>
      </c>
      <c r="S1302">
        <v>0.44520097090078675</v>
      </c>
      <c r="T1302">
        <v>3.982459088553548</v>
      </c>
      <c r="U1302">
        <v>0</v>
      </c>
      <c r="V1302">
        <v>1.1304767209823813E-2</v>
      </c>
      <c r="W1302">
        <v>0.17753908668006968</v>
      </c>
      <c r="X1302">
        <v>2.4284567243604668E-2</v>
      </c>
      <c r="Y1302">
        <v>9.9346114350112088E-3</v>
      </c>
    </row>
    <row r="1303" spans="1:25" x14ac:dyDescent="0.25">
      <c r="A1303" s="1093"/>
      <c r="B1303" s="1452">
        <v>1053</v>
      </c>
      <c r="C1303" s="1097">
        <v>0.98622272746596207</v>
      </c>
      <c r="D1303" s="1097">
        <v>0.99750160904435436</v>
      </c>
      <c r="E1303" s="1097">
        <v>1.0064447666697589</v>
      </c>
      <c r="F1303" s="1097">
        <v>0.99122471775634924</v>
      </c>
      <c r="G1303" s="1097">
        <v>1.0088800823876476</v>
      </c>
      <c r="H1303" s="1097">
        <v>1.0116624161263665</v>
      </c>
      <c r="I1303" s="1097">
        <v>1.0125578447353545</v>
      </c>
      <c r="K1303">
        <v>5.1629468898584845</v>
      </c>
      <c r="L1303">
        <v>0</v>
      </c>
      <c r="M1303">
        <v>3.6310254700978703E-3</v>
      </c>
      <c r="N1303">
        <v>0.32107864066142561</v>
      </c>
      <c r="O1303">
        <v>0.14911243735895002</v>
      </c>
      <c r="P1303">
        <v>2.0310535200606106E-2</v>
      </c>
      <c r="Q1303">
        <v>1.3304330293889674E-3</v>
      </c>
      <c r="R1303">
        <v>3.6250171693721672E-3</v>
      </c>
      <c r="S1303">
        <v>0.47374249478691288</v>
      </c>
      <c r="T1303">
        <v>3.9594698081686839</v>
      </c>
      <c r="U1303">
        <v>0</v>
      </c>
      <c r="V1303">
        <v>1.130476720982382E-2</v>
      </c>
      <c r="W1303">
        <v>0.19042365627728045</v>
      </c>
      <c r="X1303">
        <v>2.5935550188519771E-2</v>
      </c>
      <c r="Y1303">
        <v>1.0244575277614311E-2</v>
      </c>
    </row>
    <row r="1304" spans="1:25" x14ac:dyDescent="0.25">
      <c r="A1304" s="1093"/>
      <c r="B1304" s="1452">
        <v>1054</v>
      </c>
      <c r="C1304" s="1097">
        <v>1.0400324018453804</v>
      </c>
      <c r="D1304" s="1097">
        <v>0.99033924199959378</v>
      </c>
      <c r="E1304" s="1097">
        <v>0.97578069701029146</v>
      </c>
      <c r="F1304" s="1097">
        <v>1.0375153772204362</v>
      </c>
      <c r="G1304" s="1097">
        <v>0.99931303453494169</v>
      </c>
      <c r="H1304" s="1097">
        <v>0.96935518970806323</v>
      </c>
      <c r="I1304" s="1097">
        <v>0.97125869788663122</v>
      </c>
      <c r="K1304">
        <v>5.285299634682131</v>
      </c>
      <c r="L1304">
        <v>0</v>
      </c>
      <c r="M1304">
        <v>3.6936246559129597E-3</v>
      </c>
      <c r="N1304">
        <v>0.2982307637666492</v>
      </c>
      <c r="O1304">
        <v>0.14928273800574035</v>
      </c>
      <c r="P1304">
        <v>2.0543700761855133E-2</v>
      </c>
      <c r="Q1304">
        <v>1.2322382652196766E-3</v>
      </c>
      <c r="R1304">
        <v>3.6875301595446401E-3</v>
      </c>
      <c r="S1304">
        <v>0.44067687626162727</v>
      </c>
      <c r="T1304">
        <v>4.1483899546142622</v>
      </c>
      <c r="U1304">
        <v>0</v>
      </c>
      <c r="V1304">
        <v>1.1304767209823825E-2</v>
      </c>
      <c r="W1304">
        <v>0.18059986722070789</v>
      </c>
      <c r="X1304">
        <v>2.4623581312127333E-2</v>
      </c>
      <c r="Y1304">
        <v>1.0421241760482747E-2</v>
      </c>
    </row>
    <row r="1305" spans="1:25" x14ac:dyDescent="0.25">
      <c r="A1305" s="1093"/>
      <c r="B1305" s="1452">
        <v>1055</v>
      </c>
      <c r="C1305" s="1097">
        <v>0.98619679013096151</v>
      </c>
      <c r="D1305" s="1097">
        <v>1.0092276374176192</v>
      </c>
      <c r="E1305" s="1097">
        <v>1.0477072328926935</v>
      </c>
      <c r="F1305" s="1097">
        <v>0.99413391366376702</v>
      </c>
      <c r="G1305" s="1097">
        <v>0.99277403868354208</v>
      </c>
      <c r="H1305" s="1097">
        <v>1.0111511795519519</v>
      </c>
      <c r="I1305" s="1097">
        <v>0.96426518211578949</v>
      </c>
      <c r="K1305">
        <v>5.1592396596000976</v>
      </c>
      <c r="L1305">
        <v>0</v>
      </c>
      <c r="M1305">
        <v>3.3202316051159811E-3</v>
      </c>
      <c r="N1305">
        <v>0.33169771537611636</v>
      </c>
      <c r="O1305">
        <v>0.1477027017931043</v>
      </c>
      <c r="P1305">
        <v>2.0854122991587294E-2</v>
      </c>
      <c r="Q1305">
        <v>1.3711066184522128E-3</v>
      </c>
      <c r="R1305">
        <v>3.3147508596883734E-3</v>
      </c>
      <c r="S1305">
        <v>0.45113290198238964</v>
      </c>
      <c r="T1305">
        <v>3.9660063330155451</v>
      </c>
      <c r="U1305">
        <v>0</v>
      </c>
      <c r="V1305">
        <v>1.1304767209823818E-2</v>
      </c>
      <c r="W1305">
        <v>0.19140772585511037</v>
      </c>
      <c r="X1305">
        <v>2.8400026504659521E-2</v>
      </c>
      <c r="Y1305">
        <v>9.3677389987357421E-3</v>
      </c>
    </row>
    <row r="1306" spans="1:25" x14ac:dyDescent="0.25">
      <c r="A1306" s="1093"/>
      <c r="B1306" s="1452">
        <v>1056</v>
      </c>
      <c r="C1306" s="1097">
        <v>0.97028680061987338</v>
      </c>
      <c r="D1306" s="1097">
        <v>0.99983410283805041</v>
      </c>
      <c r="E1306" s="1097">
        <v>1.0075706151000561</v>
      </c>
      <c r="F1306" s="1097">
        <v>1.0177014526392356</v>
      </c>
      <c r="G1306" s="1097">
        <v>1.0068174694114322</v>
      </c>
      <c r="H1306" s="1097">
        <v>1.0384863909487518</v>
      </c>
      <c r="I1306" s="1097">
        <v>1.0265880157577092</v>
      </c>
      <c r="K1306">
        <v>5.3439923309482094</v>
      </c>
      <c r="L1306">
        <v>0</v>
      </c>
      <c r="M1306">
        <v>3.876699925334977E-3</v>
      </c>
      <c r="N1306">
        <v>0.34397675855033188</v>
      </c>
      <c r="O1306">
        <v>0.15543164355149761</v>
      </c>
      <c r="P1306">
        <v>2.0950305899014306E-2</v>
      </c>
      <c r="Q1306">
        <v>1.3523196136382071E-3</v>
      </c>
      <c r="R1306">
        <v>3.8706131117376072E-3</v>
      </c>
      <c r="S1306">
        <v>0.50429600273774822</v>
      </c>
      <c r="T1306">
        <v>4.0650883502102984</v>
      </c>
      <c r="U1306">
        <v>0</v>
      </c>
      <c r="V1306">
        <v>1.1304767209823834E-2</v>
      </c>
      <c r="W1306">
        <v>0.20384951444308913</v>
      </c>
      <c r="X1306">
        <v>2.6810107385256753E-2</v>
      </c>
      <c r="Y1306">
        <v>1.0938648161102234E-2</v>
      </c>
    </row>
    <row r="1307" spans="1:25" x14ac:dyDescent="0.25">
      <c r="A1307" s="1093"/>
      <c r="B1307" s="1452">
        <v>1057</v>
      </c>
      <c r="C1307" s="1097">
        <v>0.98252124883947678</v>
      </c>
      <c r="D1307" s="1097">
        <v>1.0339332873733076</v>
      </c>
      <c r="E1307" s="1097">
        <v>0.98277541639258348</v>
      </c>
      <c r="F1307" s="1097">
        <v>1.0169752807123709</v>
      </c>
      <c r="G1307" s="1097">
        <v>0.96461295564606409</v>
      </c>
      <c r="H1307" s="1097">
        <v>0.95562949303661138</v>
      </c>
      <c r="I1307" s="1097">
        <v>1.0047311620388584</v>
      </c>
      <c r="K1307">
        <v>5.2376096959622691</v>
      </c>
      <c r="L1307">
        <v>0</v>
      </c>
      <c r="M1307">
        <v>3.6596050440760586E-3</v>
      </c>
      <c r="N1307">
        <v>0.30166403640745049</v>
      </c>
      <c r="O1307">
        <v>0.15204762633736463</v>
      </c>
      <c r="P1307">
        <v>2.0403117418402603E-2</v>
      </c>
      <c r="Q1307">
        <v>1.2898947957436251E-3</v>
      </c>
      <c r="R1307">
        <v>3.6533564431236844E-3</v>
      </c>
      <c r="S1307">
        <v>0.46799996443640829</v>
      </c>
      <c r="T1307">
        <v>4.0653608701775932</v>
      </c>
      <c r="U1307">
        <v>0</v>
      </c>
      <c r="V1307">
        <v>1.1304767209823815E-2</v>
      </c>
      <c r="W1307">
        <v>0.18180516812361555</v>
      </c>
      <c r="X1307">
        <v>2.5415835427982821E-2</v>
      </c>
      <c r="Y1307">
        <v>1.0324664228837297E-2</v>
      </c>
    </row>
    <row r="1308" spans="1:25" x14ac:dyDescent="0.25">
      <c r="A1308" s="1093"/>
      <c r="B1308" s="1452">
        <v>1058</v>
      </c>
      <c r="C1308" s="1097">
        <v>0.99813743874071092</v>
      </c>
      <c r="D1308" s="1097">
        <v>0.9914175210072006</v>
      </c>
      <c r="E1308" s="1097">
        <v>1.0422411152108697</v>
      </c>
      <c r="F1308" s="1097">
        <v>1.0176010843318477</v>
      </c>
      <c r="G1308" s="1097">
        <v>1.0147342800327037</v>
      </c>
      <c r="H1308" s="1097">
        <v>0.99930338992769918</v>
      </c>
      <c r="I1308" s="1097">
        <v>1.019932338360952</v>
      </c>
      <c r="K1308">
        <v>5.28820632347339</v>
      </c>
      <c r="L1308">
        <v>0</v>
      </c>
      <c r="M1308">
        <v>3.3811537604358046E-3</v>
      </c>
      <c r="N1308">
        <v>0.33238146677253994</v>
      </c>
      <c r="O1308">
        <v>0.15060401545215515</v>
      </c>
      <c r="P1308">
        <v>2.1351156654100509E-2</v>
      </c>
      <c r="Q1308">
        <v>1.3581886895800944E-3</v>
      </c>
      <c r="R1308">
        <v>3.3756363035305076E-3</v>
      </c>
      <c r="S1308">
        <v>0.48016481821125012</v>
      </c>
      <c r="T1308">
        <v>4.0603099599615859</v>
      </c>
      <c r="U1308">
        <v>0</v>
      </c>
      <c r="V1308">
        <v>1.1304767209823806E-2</v>
      </c>
      <c r="W1308">
        <v>0.192490939973257</v>
      </c>
      <c r="X1308">
        <v>2.8706722094586575E-2</v>
      </c>
      <c r="Y1308">
        <v>9.5398059114173497E-3</v>
      </c>
    </row>
    <row r="1309" spans="1:25" x14ac:dyDescent="0.25">
      <c r="A1309" s="1093"/>
      <c r="B1309" s="1452">
        <v>1059</v>
      </c>
      <c r="C1309" s="1097">
        <v>1.0186298502758064</v>
      </c>
      <c r="D1309" s="1097">
        <v>1.0247531288410885</v>
      </c>
      <c r="E1309" s="1097">
        <v>1.0347185527698284</v>
      </c>
      <c r="F1309" s="1097">
        <v>1.0223898510690714</v>
      </c>
      <c r="G1309" s="1097">
        <v>0.98222460839408299</v>
      </c>
      <c r="H1309" s="1097">
        <v>1.0162187155418245</v>
      </c>
      <c r="I1309" s="1097">
        <v>1.0159699233335417</v>
      </c>
      <c r="K1309">
        <v>5.2849240067362002</v>
      </c>
      <c r="L1309">
        <v>0</v>
      </c>
      <c r="M1309">
        <v>3.3942147991035164E-3</v>
      </c>
      <c r="N1309">
        <v>0.32634260232825063</v>
      </c>
      <c r="O1309">
        <v>0.14652841189772539</v>
      </c>
      <c r="P1309">
        <v>2.1285255633629041E-2</v>
      </c>
      <c r="Q1309">
        <v>1.305138263661957E-3</v>
      </c>
      <c r="R1309">
        <v>3.3887936934490024E-3</v>
      </c>
      <c r="S1309">
        <v>0.47072903327806792</v>
      </c>
      <c r="T1309">
        <v>4.0803655720897778</v>
      </c>
      <c r="U1309">
        <v>0</v>
      </c>
      <c r="V1309">
        <v>1.1304767209823813E-2</v>
      </c>
      <c r="W1309">
        <v>0.18993225392480709</v>
      </c>
      <c r="X1309">
        <v>2.7559403516261894E-2</v>
      </c>
      <c r="Y1309">
        <v>9.5769896998462185E-3</v>
      </c>
    </row>
    <row r="1310" spans="1:25" x14ac:dyDescent="0.25">
      <c r="A1310" s="1093"/>
      <c r="B1310" s="1452">
        <v>1060</v>
      </c>
      <c r="C1310" s="1097">
        <v>1.0065976862366794</v>
      </c>
      <c r="D1310" s="1097">
        <v>1.0479232128373082</v>
      </c>
      <c r="E1310" s="1097">
        <v>0.96183586009225663</v>
      </c>
      <c r="F1310" s="1097">
        <v>0.99059356343137384</v>
      </c>
      <c r="G1310" s="1097">
        <v>1.0213232580008182</v>
      </c>
      <c r="H1310" s="1097">
        <v>1.0398154586002004</v>
      </c>
      <c r="I1310" s="1097">
        <v>1.0040540470690165</v>
      </c>
      <c r="K1310">
        <v>5.1244057026289704</v>
      </c>
      <c r="L1310">
        <v>0</v>
      </c>
      <c r="M1310">
        <v>3.9348097472406713E-3</v>
      </c>
      <c r="N1310">
        <v>0.30482786325140659</v>
      </c>
      <c r="O1310">
        <v>0.14434829780938871</v>
      </c>
      <c r="P1310">
        <v>1.9592612858064382E-2</v>
      </c>
      <c r="Q1310">
        <v>1.2296251168484723E-3</v>
      </c>
      <c r="R1310">
        <v>3.9284710266347051E-3</v>
      </c>
      <c r="S1310">
        <v>0.46071620896572596</v>
      </c>
      <c r="T1310">
        <v>3.9625379501751241</v>
      </c>
      <c r="U1310">
        <v>0</v>
      </c>
      <c r="V1310">
        <v>1.1304767209823808E-2</v>
      </c>
      <c r="W1310">
        <v>0.18638062816123119</v>
      </c>
      <c r="X1310">
        <v>2.237192875611918E-2</v>
      </c>
      <c r="Y1310">
        <v>1.1102159045844275E-2</v>
      </c>
    </row>
    <row r="1311" spans="1:25" x14ac:dyDescent="0.25">
      <c r="A1311" s="1093"/>
      <c r="B1311" s="1452">
        <v>1061</v>
      </c>
      <c r="C1311" s="1097">
        <v>0.98610680560637487</v>
      </c>
      <c r="D1311" s="1097">
        <v>0.99507067516322212</v>
      </c>
      <c r="E1311" s="1097">
        <v>1.0361418974403787</v>
      </c>
      <c r="F1311" s="1097">
        <v>1.0373136426758502</v>
      </c>
      <c r="G1311" s="1097">
        <v>1.0174320744046723</v>
      </c>
      <c r="H1311" s="1097">
        <v>1.0237306378724347</v>
      </c>
      <c r="I1311" s="1097">
        <v>1.0011661099925804</v>
      </c>
      <c r="K1311">
        <v>5.409898140705435</v>
      </c>
      <c r="L1311">
        <v>0</v>
      </c>
      <c r="M1311">
        <v>3.6150230366811024E-3</v>
      </c>
      <c r="N1311">
        <v>0.34904971365597093</v>
      </c>
      <c r="O1311">
        <v>0.15534497700781935</v>
      </c>
      <c r="P1311">
        <v>2.1671310448566693E-2</v>
      </c>
      <c r="Q1311">
        <v>1.3657559515345742E-3</v>
      </c>
      <c r="R1311">
        <v>3.6093739571712658E-3</v>
      </c>
      <c r="S1311">
        <v>0.48932143133649486</v>
      </c>
      <c r="T1311">
        <v>4.1397442689162487</v>
      </c>
      <c r="U1311">
        <v>0</v>
      </c>
      <c r="V1311">
        <v>1.130476720982383E-2</v>
      </c>
      <c r="W1311">
        <v>0.20295713506251112</v>
      </c>
      <c r="X1311">
        <v>2.8944063830338974E-2</v>
      </c>
      <c r="Y1311">
        <v>1.0200366365631814E-2</v>
      </c>
    </row>
    <row r="1312" spans="1:25" x14ac:dyDescent="0.25">
      <c r="A1312" s="1093"/>
      <c r="B1312" s="1452">
        <v>1062</v>
      </c>
      <c r="C1312" s="1097">
        <v>1.0138589156261677</v>
      </c>
      <c r="D1312" s="1097">
        <v>1.0379116024321826</v>
      </c>
      <c r="E1312" s="1097">
        <v>1.0196459610058357</v>
      </c>
      <c r="F1312" s="1097">
        <v>0.98229091498370713</v>
      </c>
      <c r="G1312" s="1097">
        <v>1.0246088628334413</v>
      </c>
      <c r="H1312" s="1097">
        <v>1.0016428395516526</v>
      </c>
      <c r="I1312" s="1097">
        <v>0.97006968515181113</v>
      </c>
      <c r="K1312">
        <v>5.0483900509948825</v>
      </c>
      <c r="L1312">
        <v>0</v>
      </c>
      <c r="M1312">
        <v>3.3172795643723382E-3</v>
      </c>
      <c r="N1312">
        <v>0.30501505124048389</v>
      </c>
      <c r="O1312">
        <v>0.14112448941355851</v>
      </c>
      <c r="P1312">
        <v>2.014896132949804E-2</v>
      </c>
      <c r="Q1312">
        <v>1.2881450944006937E-3</v>
      </c>
      <c r="R1312">
        <v>3.3116851768201561E-3</v>
      </c>
      <c r="S1312">
        <v>0.43301307875450834</v>
      </c>
      <c r="T1312">
        <v>3.9221654440834235</v>
      </c>
      <c r="U1312">
        <v>0</v>
      </c>
      <c r="V1312">
        <v>1.1304767209823825E-2</v>
      </c>
      <c r="W1312">
        <v>0.17930396900433476</v>
      </c>
      <c r="X1312">
        <v>2.5672664107502116E-2</v>
      </c>
      <c r="Y1312">
        <v>9.3590751448963429E-3</v>
      </c>
    </row>
    <row r="1313" spans="1:25" x14ac:dyDescent="0.25">
      <c r="A1313" s="1093"/>
      <c r="B1313" s="1452">
        <v>1063</v>
      </c>
      <c r="C1313" s="1097">
        <v>0.95742732448905132</v>
      </c>
      <c r="D1313" s="1097">
        <v>1.0423972053626713</v>
      </c>
      <c r="E1313" s="1097">
        <v>1.0014358985750049</v>
      </c>
      <c r="F1313" s="1097">
        <v>0.98081953073553851</v>
      </c>
      <c r="G1313" s="1097">
        <v>1.0187913936471118</v>
      </c>
      <c r="H1313" s="1097">
        <v>1.0061631672397857</v>
      </c>
      <c r="I1313" s="1097">
        <v>1.0152543055006906</v>
      </c>
      <c r="K1313">
        <v>5.1243601303023381</v>
      </c>
      <c r="L1313">
        <v>0</v>
      </c>
      <c r="M1313">
        <v>3.6550388124639154E-3</v>
      </c>
      <c r="N1313">
        <v>0.31843367626955349</v>
      </c>
      <c r="O1313">
        <v>0.14947224563289718</v>
      </c>
      <c r="P1313">
        <v>2.0076064834079609E-2</v>
      </c>
      <c r="Q1313">
        <v>1.340771282139587E-3</v>
      </c>
      <c r="R1313">
        <v>3.6488933175162323E-3</v>
      </c>
      <c r="S1313">
        <v>0.4797577365939999</v>
      </c>
      <c r="T1313">
        <v>3.9185217227425913</v>
      </c>
      <c r="U1313">
        <v>0</v>
      </c>
      <c r="V1313">
        <v>1.1304767209823808E-2</v>
      </c>
      <c r="W1313">
        <v>0.18949370941861843</v>
      </c>
      <c r="X1313">
        <v>2.5653530718455303E-2</v>
      </c>
      <c r="Y1313">
        <v>1.0312051095127117E-2</v>
      </c>
    </row>
    <row r="1314" spans="1:25" x14ac:dyDescent="0.25">
      <c r="A1314" s="1093"/>
      <c r="B1314" s="1452">
        <v>1064</v>
      </c>
      <c r="C1314" s="1097">
        <v>0.9840658899743342</v>
      </c>
      <c r="D1314" s="1097">
        <v>0.96667845868553304</v>
      </c>
      <c r="E1314" s="1097">
        <v>1.0107678683872421</v>
      </c>
      <c r="F1314" s="1097">
        <v>1.0038852677052388</v>
      </c>
      <c r="G1314" s="1097">
        <v>1.0092551119291087</v>
      </c>
      <c r="H1314" s="1097">
        <v>1.0354826278824285</v>
      </c>
      <c r="I1314" s="1097">
        <v>0.98558999895319122</v>
      </c>
      <c r="K1314">
        <v>5.2472993168130015</v>
      </c>
      <c r="L1314">
        <v>0</v>
      </c>
      <c r="M1314">
        <v>3.7851545607965839E-3</v>
      </c>
      <c r="N1314">
        <v>0.33903970966087754</v>
      </c>
      <c r="O1314">
        <v>0.15313571273645088</v>
      </c>
      <c r="P1314">
        <v>2.0608705075965114E-2</v>
      </c>
      <c r="Q1314">
        <v>1.3551793252488387E-3</v>
      </c>
      <c r="R1314">
        <v>3.7791123483049099E-3</v>
      </c>
      <c r="S1314">
        <v>0.4745603653725432</v>
      </c>
      <c r="T1314">
        <v>4.0094999863194545</v>
      </c>
      <c r="U1314">
        <v>0</v>
      </c>
      <c r="V1314">
        <v>1.1304767209823803E-2</v>
      </c>
      <c r="W1314">
        <v>0.20049266014554748</v>
      </c>
      <c r="X1314">
        <v>2.6628213161692702E-2</v>
      </c>
      <c r="Y1314">
        <v>1.0680060017888614E-2</v>
      </c>
    </row>
    <row r="1315" spans="1:25" x14ac:dyDescent="0.25">
      <c r="A1315" s="1093"/>
      <c r="B1315" s="1452">
        <v>1065</v>
      </c>
      <c r="C1315" s="1097">
        <v>1.0186301879311945</v>
      </c>
      <c r="D1315" s="1097">
        <v>0.98778689612923076</v>
      </c>
      <c r="E1315" s="1097">
        <v>0.97160523503090812</v>
      </c>
      <c r="F1315" s="1097">
        <v>0.97760022024896287</v>
      </c>
      <c r="G1315" s="1097">
        <v>0.98297030641907834</v>
      </c>
      <c r="H1315" s="1097">
        <v>1.0068956371552444</v>
      </c>
      <c r="I1315" s="1097">
        <v>0.97995598710331233</v>
      </c>
      <c r="K1315">
        <v>5.0353907511609197</v>
      </c>
      <c r="L1315">
        <v>0</v>
      </c>
      <c r="M1315">
        <v>3.7277369426028427E-3</v>
      </c>
      <c r="N1315">
        <v>0.29726648711284204</v>
      </c>
      <c r="O1315">
        <v>0.14387760265287225</v>
      </c>
      <c r="P1315">
        <v>1.940594060434726E-2</v>
      </c>
      <c r="Q1315">
        <v>1.2548530807181409E-3</v>
      </c>
      <c r="R1315">
        <v>3.7214531841634015E-3</v>
      </c>
      <c r="S1315">
        <v>0.43881172090044029</v>
      </c>
      <c r="T1315">
        <v>3.9093446691398706</v>
      </c>
      <c r="U1315">
        <v>0</v>
      </c>
      <c r="V1315">
        <v>1.1304767209823829E-2</v>
      </c>
      <c r="W1315">
        <v>0.18053387364758039</v>
      </c>
      <c r="X1315">
        <v>2.3080009752907152E-2</v>
      </c>
      <c r="Y1315">
        <v>1.0517110817955776E-2</v>
      </c>
    </row>
    <row r="1316" spans="1:25" x14ac:dyDescent="0.25">
      <c r="A1316" s="1093"/>
      <c r="B1316" s="1452">
        <v>1066</v>
      </c>
      <c r="C1316" s="1097">
        <v>0.98245357660409682</v>
      </c>
      <c r="D1316" s="1097">
        <v>1.0221387161381059</v>
      </c>
      <c r="E1316" s="1097">
        <v>0.98578858632876354</v>
      </c>
      <c r="F1316" s="1097">
        <v>0.98156540807242143</v>
      </c>
      <c r="G1316" s="1097">
        <v>1.0122375463123654</v>
      </c>
      <c r="H1316" s="1097">
        <v>1.0043777027748446</v>
      </c>
      <c r="I1316" s="1097">
        <v>1.0006459873559768</v>
      </c>
      <c r="K1316">
        <v>5.0942576868234708</v>
      </c>
      <c r="L1316">
        <v>0</v>
      </c>
      <c r="M1316">
        <v>3.7063811194997555E-3</v>
      </c>
      <c r="N1316">
        <v>0.30827042191736959</v>
      </c>
      <c r="O1316">
        <v>0.14735566177112766</v>
      </c>
      <c r="P1316">
        <v>1.9786463166724551E-2</v>
      </c>
      <c r="Q1316">
        <v>1.2993019215680941E-3</v>
      </c>
      <c r="R1316">
        <v>3.7001429564952749E-3</v>
      </c>
      <c r="S1316">
        <v>0.46253449338739294</v>
      </c>
      <c r="T1316">
        <v>3.9234357513304232</v>
      </c>
      <c r="U1316">
        <v>0</v>
      </c>
      <c r="V1316">
        <v>1.1304767209823808E-2</v>
      </c>
      <c r="W1316">
        <v>0.18540463647133124</v>
      </c>
      <c r="X1316">
        <v>2.4415541323110999E-2</v>
      </c>
      <c r="Y1316">
        <v>1.0456886487606731E-2</v>
      </c>
    </row>
    <row r="1317" spans="1:25" x14ac:dyDescent="0.25">
      <c r="A1317" s="1093"/>
      <c r="B1317" s="1452">
        <v>1067</v>
      </c>
      <c r="C1317" s="1097">
        <v>0.98963478556181628</v>
      </c>
      <c r="D1317" s="1097">
        <v>0.98396655512765541</v>
      </c>
      <c r="E1317" s="1097">
        <v>1.0270074894591439</v>
      </c>
      <c r="F1317" s="1097">
        <v>1.017155039834496</v>
      </c>
      <c r="G1317" s="1097">
        <v>1.0068433695027834</v>
      </c>
      <c r="H1317" s="1097">
        <v>1.0193807659547283</v>
      </c>
      <c r="I1317" s="1097">
        <v>0.98284688602973636</v>
      </c>
      <c r="K1317">
        <v>5.2924782705156259</v>
      </c>
      <c r="L1317">
        <v>0</v>
      </c>
      <c r="M1317">
        <v>3.6020135044247791E-3</v>
      </c>
      <c r="N1317">
        <v>0.33851540013285381</v>
      </c>
      <c r="O1317">
        <v>0.15272899571123907</v>
      </c>
      <c r="P1317">
        <v>2.1075477149774962E-2</v>
      </c>
      <c r="Q1317">
        <v>1.3565602440158903E-3</v>
      </c>
      <c r="R1317">
        <v>3.5962488883775974E-3</v>
      </c>
      <c r="S1317">
        <v>0.47102620453249261</v>
      </c>
      <c r="T1317">
        <v>4.0604437934533122</v>
      </c>
      <c r="U1317">
        <v>0</v>
      </c>
      <c r="V1317">
        <v>1.130476720982382E-2</v>
      </c>
      <c r="W1317">
        <v>0.19802502423333268</v>
      </c>
      <c r="X1317">
        <v>2.784453854565179E-2</v>
      </c>
      <c r="Y1317">
        <v>1.0163273919169304E-2</v>
      </c>
    </row>
    <row r="1318" spans="1:25" x14ac:dyDescent="0.25">
      <c r="A1318" s="1093"/>
      <c r="B1318" s="1452">
        <v>1068</v>
      </c>
      <c r="C1318" s="1097">
        <v>1.0041690756597705</v>
      </c>
      <c r="D1318" s="1097">
        <v>1.0158412375326038</v>
      </c>
      <c r="E1318" s="1097">
        <v>1.0093200001084173</v>
      </c>
      <c r="F1318" s="1097">
        <v>0.99647638819506623</v>
      </c>
      <c r="G1318" s="1097">
        <v>0.97521122169280272</v>
      </c>
      <c r="H1318" s="1097">
        <v>1.0213331917118094</v>
      </c>
      <c r="I1318" s="1097">
        <v>1.0004354945083687</v>
      </c>
      <c r="K1318">
        <v>5.1638210667224476</v>
      </c>
      <c r="L1318">
        <v>0</v>
      </c>
      <c r="M1318">
        <v>3.5712692085290328E-3</v>
      </c>
      <c r="N1318">
        <v>0.31850258671788739</v>
      </c>
      <c r="O1318">
        <v>0.14607551394249538</v>
      </c>
      <c r="P1318">
        <v>2.0393895399321349E-2</v>
      </c>
      <c r="Q1318">
        <v>1.3003525436923735E-3</v>
      </c>
      <c r="R1318">
        <v>3.5654465399906662E-3</v>
      </c>
      <c r="S1318">
        <v>0.46187916530208478</v>
      </c>
      <c r="T1318">
        <v>3.9800893391810424</v>
      </c>
      <c r="U1318">
        <v>0</v>
      </c>
      <c r="V1318">
        <v>1.1304767209823832E-2</v>
      </c>
      <c r="W1318">
        <v>0.18853109162788176</v>
      </c>
      <c r="X1318">
        <v>2.5673953335768232E-2</v>
      </c>
      <c r="Y1318">
        <v>1.0076224130979786E-2</v>
      </c>
    </row>
    <row r="1319" spans="1:25" x14ac:dyDescent="0.25">
      <c r="A1319" s="1093"/>
      <c r="B1319" s="1452">
        <v>1069</v>
      </c>
      <c r="C1319" s="1097">
        <v>1.017692473345291</v>
      </c>
      <c r="D1319" s="1097">
        <v>1.0253681045183984</v>
      </c>
      <c r="E1319" s="1097">
        <v>1.0112347697381718</v>
      </c>
      <c r="F1319" s="1097">
        <v>0.97763012085404699</v>
      </c>
      <c r="G1319" s="1097">
        <v>1.0177064989744575</v>
      </c>
      <c r="H1319" s="1097">
        <v>0.99488789528330246</v>
      </c>
      <c r="I1319" s="1097">
        <v>1.0121999351161579</v>
      </c>
      <c r="K1319">
        <v>5.0376394668544373</v>
      </c>
      <c r="L1319">
        <v>0</v>
      </c>
      <c r="M1319">
        <v>3.3416847920224478E-3</v>
      </c>
      <c r="N1319">
        <v>0.29969882440707374</v>
      </c>
      <c r="O1319">
        <v>0.1408307093594304</v>
      </c>
      <c r="P1319">
        <v>2.0013593831579423E-2</v>
      </c>
      <c r="Q1319">
        <v>1.2803769570135968E-3</v>
      </c>
      <c r="R1319">
        <v>3.3359839795153727E-3</v>
      </c>
      <c r="S1319">
        <v>0.44816810076769592</v>
      </c>
      <c r="T1319">
        <v>3.9045803821914316</v>
      </c>
      <c r="U1319">
        <v>0</v>
      </c>
      <c r="V1319">
        <v>1.1304767209823817E-2</v>
      </c>
      <c r="W1319">
        <v>0.1771727470944682</v>
      </c>
      <c r="X1319">
        <v>2.516792043198527E-2</v>
      </c>
      <c r="Y1319">
        <v>9.4277454164388534E-3</v>
      </c>
    </row>
    <row r="1320" spans="1:25" x14ac:dyDescent="0.25">
      <c r="A1320" s="1093"/>
      <c r="B1320" s="1452">
        <v>1070</v>
      </c>
      <c r="C1320" s="1097">
        <v>0.96801667007105341</v>
      </c>
      <c r="D1320" s="1097">
        <v>1.0207954906513981</v>
      </c>
      <c r="E1320" s="1097">
        <v>1.0289013106338332</v>
      </c>
      <c r="F1320" s="1097">
        <v>0.97509417414628274</v>
      </c>
      <c r="G1320" s="1097">
        <v>1.0021854270121502</v>
      </c>
      <c r="H1320" s="1097">
        <v>1.0130036340181181</v>
      </c>
      <c r="I1320" s="1097">
        <v>1.0298481766066292</v>
      </c>
      <c r="K1320">
        <v>5.1073342739505794</v>
      </c>
      <c r="L1320">
        <v>0</v>
      </c>
      <c r="M1320">
        <v>3.4433343132850344E-3</v>
      </c>
      <c r="N1320">
        <v>0.32539409302952738</v>
      </c>
      <c r="O1320">
        <v>0.14744651759428173</v>
      </c>
      <c r="P1320">
        <v>2.0375609180678891E-2</v>
      </c>
      <c r="Q1320">
        <v>1.3688010633541184E-3</v>
      </c>
      <c r="R1320">
        <v>3.4375501611854623E-3</v>
      </c>
      <c r="S1320">
        <v>0.482251282337819</v>
      </c>
      <c r="T1320">
        <v>3.8923096443281313</v>
      </c>
      <c r="U1320">
        <v>0</v>
      </c>
      <c r="V1320">
        <v>1.1304767209823806E-2</v>
      </c>
      <c r="W1320">
        <v>0.19011037859793459</v>
      </c>
      <c r="X1320">
        <v>2.7064185561078667E-2</v>
      </c>
      <c r="Y1320">
        <v>9.714779200049671E-3</v>
      </c>
    </row>
    <row r="1321" spans="1:25" x14ac:dyDescent="0.25">
      <c r="A1321" s="1093"/>
      <c r="B1321" s="1452">
        <v>1071</v>
      </c>
      <c r="C1321" s="1097">
        <v>1.0193261247276197</v>
      </c>
      <c r="D1321" s="1097">
        <v>0.98160316117864899</v>
      </c>
      <c r="E1321" s="1097">
        <v>1.0222325502165739</v>
      </c>
      <c r="F1321" s="1097">
        <v>1.0153667768188701</v>
      </c>
      <c r="G1321" s="1097">
        <v>1.0199887943896042</v>
      </c>
      <c r="H1321" s="1097">
        <v>1.0316293013784854</v>
      </c>
      <c r="I1321" s="1097">
        <v>1.0147169183110085</v>
      </c>
      <c r="K1321">
        <v>5.2719888920132334</v>
      </c>
      <c r="L1321">
        <v>0</v>
      </c>
      <c r="M1321">
        <v>3.5721745346091621E-3</v>
      </c>
      <c r="N1321">
        <v>0.331008861692762</v>
      </c>
      <c r="O1321">
        <v>0.14829542125530892</v>
      </c>
      <c r="P1321">
        <v>2.098572967395728E-2</v>
      </c>
      <c r="Q1321">
        <v>1.3130127512656188E-3</v>
      </c>
      <c r="R1321">
        <v>3.5665156160442552E-3</v>
      </c>
      <c r="S1321">
        <v>0.47399997573372943</v>
      </c>
      <c r="T1321">
        <v>4.05390676033646</v>
      </c>
      <c r="U1321">
        <v>0</v>
      </c>
      <c r="V1321">
        <v>1.1304767209823815E-2</v>
      </c>
      <c r="W1321">
        <v>0.19424940554397996</v>
      </c>
      <c r="X1321">
        <v>2.6851371312986278E-2</v>
      </c>
      <c r="Y1321">
        <v>1.0079245421527322E-2</v>
      </c>
    </row>
    <row r="1322" spans="1:25" x14ac:dyDescent="0.25">
      <c r="A1322" s="1093"/>
      <c r="B1322" s="1452">
        <v>1072</v>
      </c>
      <c r="C1322" s="1097">
        <v>1.0047405444135729</v>
      </c>
      <c r="D1322" s="1097">
        <v>0.98315668580104232</v>
      </c>
      <c r="E1322" s="1097">
        <v>0.97153676057521854</v>
      </c>
      <c r="F1322" s="1097">
        <v>0.98982251660175347</v>
      </c>
      <c r="G1322" s="1097">
        <v>0.98536816628348345</v>
      </c>
      <c r="H1322" s="1097">
        <v>1.0141320319944533</v>
      </c>
      <c r="I1322" s="1097">
        <v>1.0317190453566214</v>
      </c>
      <c r="K1322">
        <v>5.1430496582500425</v>
      </c>
      <c r="L1322">
        <v>0</v>
      </c>
      <c r="M1322">
        <v>3.8617433309038776E-3</v>
      </c>
      <c r="N1322">
        <v>0.30790022582324333</v>
      </c>
      <c r="O1322">
        <v>0.14796997472153314</v>
      </c>
      <c r="P1322">
        <v>1.9784062748291063E-2</v>
      </c>
      <c r="Q1322">
        <v>1.2745173520534113E-3</v>
      </c>
      <c r="R1322">
        <v>3.855359804608962E-3</v>
      </c>
      <c r="S1322">
        <v>0.47509385073502641</v>
      </c>
      <c r="T1322">
        <v>3.9582292723437389</v>
      </c>
      <c r="U1322">
        <v>0</v>
      </c>
      <c r="V1322">
        <v>1.1304767209823811E-2</v>
      </c>
      <c r="W1322">
        <v>0.18700070733453525</v>
      </c>
      <c r="X1322">
        <v>2.360312235747174E-2</v>
      </c>
      <c r="Y1322">
        <v>1.0895541150621772E-2</v>
      </c>
    </row>
    <row r="1323" spans="1:25" x14ac:dyDescent="0.25">
      <c r="A1323" s="1093"/>
      <c r="B1323" s="1452">
        <v>1073</v>
      </c>
      <c r="C1323" s="1097">
        <v>0.99385037595391346</v>
      </c>
      <c r="D1323" s="1097">
        <v>0.99175704102062723</v>
      </c>
      <c r="E1323" s="1097">
        <v>0.95898900542283461</v>
      </c>
      <c r="F1323" s="1097">
        <v>0.99271305811685262</v>
      </c>
      <c r="G1323" s="1097">
        <v>0.99708071650657304</v>
      </c>
      <c r="H1323" s="1097">
        <v>1.0297350460601358</v>
      </c>
      <c r="I1323" s="1097">
        <v>0.98246681216493292</v>
      </c>
      <c r="K1323">
        <v>5.1521805010160957</v>
      </c>
      <c r="L1323">
        <v>0</v>
      </c>
      <c r="M1323">
        <v>4.0673503630011543E-3</v>
      </c>
      <c r="N1323">
        <v>0.31243742779241557</v>
      </c>
      <c r="O1323">
        <v>0.14985609260230007</v>
      </c>
      <c r="P1323">
        <v>1.9587862419978001E-2</v>
      </c>
      <c r="Q1323">
        <v>1.2699615300205444E-3</v>
      </c>
      <c r="R1323">
        <v>4.0607480888851166E-3</v>
      </c>
      <c r="S1323">
        <v>0.46056812834474897</v>
      </c>
      <c r="T1323">
        <v>3.9713776670531993</v>
      </c>
      <c r="U1323">
        <v>0</v>
      </c>
      <c r="V1323">
        <v>1.1304767209823827E-2</v>
      </c>
      <c r="W1323">
        <v>0.19141133806623614</v>
      </c>
      <c r="X1323">
        <v>2.2897874148841708E-2</v>
      </c>
      <c r="Y1323">
        <v>1.1475984122639898E-2</v>
      </c>
    </row>
    <row r="1324" spans="1:25" x14ac:dyDescent="0.25">
      <c r="A1324" s="1093"/>
      <c r="B1324" s="1452">
        <v>1074</v>
      </c>
      <c r="C1324" s="1097">
        <v>0.95170185914065064</v>
      </c>
      <c r="D1324" s="1097">
        <v>0.96746382230302952</v>
      </c>
      <c r="E1324" s="1097">
        <v>0.97346283605679707</v>
      </c>
      <c r="F1324" s="1097">
        <v>1.0094356466517054</v>
      </c>
      <c r="G1324" s="1097">
        <v>1.0278670123644214</v>
      </c>
      <c r="H1324" s="1097">
        <v>1.0010791999245083</v>
      </c>
      <c r="I1324" s="1097">
        <v>1.0223719585338948</v>
      </c>
      <c r="K1324">
        <v>5.3008402238767749</v>
      </c>
      <c r="L1324">
        <v>0</v>
      </c>
      <c r="M1324">
        <v>4.1139477286168203E-3</v>
      </c>
      <c r="N1324">
        <v>0.32989342218967926</v>
      </c>
      <c r="O1324">
        <v>0.16028288037829677</v>
      </c>
      <c r="P1324">
        <v>2.0291524219897855E-2</v>
      </c>
      <c r="Q1324">
        <v>1.3565117098296448E-3</v>
      </c>
      <c r="R1324">
        <v>4.1071922687835865E-3</v>
      </c>
      <c r="S1324">
        <v>0.50420164137238854</v>
      </c>
      <c r="T1324">
        <v>4.0364135239341898</v>
      </c>
      <c r="U1324">
        <v>0</v>
      </c>
      <c r="V1324">
        <v>1.1304767209823825E-2</v>
      </c>
      <c r="W1324">
        <v>0.20009252050247453</v>
      </c>
      <c r="X1324">
        <v>2.5402948899144535E-2</v>
      </c>
      <c r="Y1324">
        <v>1.1607238920878369E-2</v>
      </c>
    </row>
    <row r="1325" spans="1:25" x14ac:dyDescent="0.25">
      <c r="A1325" s="1093"/>
      <c r="B1325" s="1452">
        <v>1075</v>
      </c>
      <c r="C1325" s="1097">
        <v>1.0007685845041434</v>
      </c>
      <c r="D1325" s="1097">
        <v>0.97241528511429975</v>
      </c>
      <c r="E1325" s="1097">
        <v>1.043236444561159</v>
      </c>
      <c r="F1325" s="1097">
        <v>1.0381273183768651</v>
      </c>
      <c r="G1325" s="1097">
        <v>0.98933626927520324</v>
      </c>
      <c r="H1325" s="1097">
        <v>1.0097796156234875</v>
      </c>
      <c r="I1325" s="1097">
        <v>0.9790406467057432</v>
      </c>
      <c r="K1325">
        <v>5.3855299258015084</v>
      </c>
      <c r="L1325">
        <v>0</v>
      </c>
      <c r="M1325">
        <v>3.4958729870187108E-3</v>
      </c>
      <c r="N1325">
        <v>0.34468747469905808</v>
      </c>
      <c r="O1325">
        <v>0.15439970207124809</v>
      </c>
      <c r="P1325">
        <v>2.1708516171969727E-2</v>
      </c>
      <c r="Q1325">
        <v>1.3662786622380234E-3</v>
      </c>
      <c r="R1325">
        <v>3.4903389586675273E-3</v>
      </c>
      <c r="S1325">
        <v>0.47127404719381566</v>
      </c>
      <c r="T1325">
        <v>4.1420841736699252</v>
      </c>
      <c r="U1325">
        <v>0</v>
      </c>
      <c r="V1325">
        <v>1.1304767209823824E-2</v>
      </c>
      <c r="W1325">
        <v>0.19948725034751538</v>
      </c>
      <c r="X1325">
        <v>2.9359285432291514E-2</v>
      </c>
      <c r="Y1325">
        <v>9.8639643719680217E-3</v>
      </c>
    </row>
    <row r="1326" spans="1:25" x14ac:dyDescent="0.25">
      <c r="A1326" s="1093"/>
      <c r="B1326" s="1452">
        <v>1076</v>
      </c>
      <c r="C1326" s="1097">
        <v>0.99252372353643603</v>
      </c>
      <c r="D1326" s="1097">
        <v>1.0232917338185248</v>
      </c>
      <c r="E1326" s="1097">
        <v>0.96779251941551803</v>
      </c>
      <c r="F1326" s="1097">
        <v>0.99021356259555227</v>
      </c>
      <c r="G1326" s="1097">
        <v>1.0274439808477678</v>
      </c>
      <c r="H1326" s="1097">
        <v>1.0455227225014603</v>
      </c>
      <c r="I1326" s="1097">
        <v>1.0206559843500544</v>
      </c>
      <c r="K1326">
        <v>5.1599729121114626</v>
      </c>
      <c r="L1326">
        <v>0</v>
      </c>
      <c r="M1326">
        <v>3.9991163749371183E-3</v>
      </c>
      <c r="N1326">
        <v>0.31534327525035089</v>
      </c>
      <c r="O1326">
        <v>0.14757422476429041</v>
      </c>
      <c r="P1326">
        <v>1.974983664153546E-2</v>
      </c>
      <c r="Q1326">
        <v>1.2655730720189107E-3</v>
      </c>
      <c r="R1326">
        <v>3.9927067729916147E-3</v>
      </c>
      <c r="S1326">
        <v>0.47811820680505507</v>
      </c>
      <c r="T1326">
        <v>3.9602651450167841</v>
      </c>
      <c r="U1326">
        <v>0</v>
      </c>
      <c r="V1326">
        <v>1.1304767209823808E-2</v>
      </c>
      <c r="W1326">
        <v>0.1920166111929455</v>
      </c>
      <c r="X1326">
        <v>2.3057987591388291E-2</v>
      </c>
      <c r="Y1326">
        <v>1.1283694169216138E-2</v>
      </c>
    </row>
    <row r="1327" spans="1:25" x14ac:dyDescent="0.25">
      <c r="A1327" s="1093"/>
      <c r="B1327" s="1452">
        <v>1077</v>
      </c>
      <c r="C1327" s="1097">
        <v>0.97855781439025069</v>
      </c>
      <c r="D1327" s="1097">
        <v>0.99394957563489994</v>
      </c>
      <c r="E1327" s="1097">
        <v>1.0253931485981185</v>
      </c>
      <c r="F1327" s="1097">
        <v>0.99672166507617854</v>
      </c>
      <c r="G1327" s="1097">
        <v>1.0151223697624259</v>
      </c>
      <c r="H1327" s="1097">
        <v>1.005917787034754</v>
      </c>
      <c r="I1327" s="1097">
        <v>0.97331865726628974</v>
      </c>
      <c r="K1327">
        <v>5.1829116434953653</v>
      </c>
      <c r="L1327">
        <v>0</v>
      </c>
      <c r="M1327">
        <v>3.5203825984730201E-3</v>
      </c>
      <c r="N1327">
        <v>0.32925008512751408</v>
      </c>
      <c r="O1327">
        <v>0.15079095563698977</v>
      </c>
      <c r="P1327">
        <v>2.0624122112561035E-2</v>
      </c>
      <c r="Q1327">
        <v>1.3645296792983953E-3</v>
      </c>
      <c r="R1327">
        <v>3.5145563688785226E-3</v>
      </c>
      <c r="S1327">
        <v>0.4603382194625793</v>
      </c>
      <c r="T1327">
        <v>3.9790740684863608</v>
      </c>
      <c r="U1327">
        <v>0</v>
      </c>
      <c r="V1327">
        <v>1.1304767209823813E-2</v>
      </c>
      <c r="W1327">
        <v>0.19281156198897981</v>
      </c>
      <c r="X1327">
        <v>2.7426755398716418E-2</v>
      </c>
      <c r="Y1327">
        <v>9.9324046221361019E-3</v>
      </c>
    </row>
    <row r="1328" spans="1:25" x14ac:dyDescent="0.25">
      <c r="A1328" s="1093"/>
      <c r="B1328" s="1452">
        <v>1078</v>
      </c>
      <c r="C1328" s="1097">
        <v>0.97664255438679315</v>
      </c>
      <c r="D1328" s="1097">
        <v>1.0040599456199799</v>
      </c>
      <c r="E1328" s="1097">
        <v>0.98799614865878782</v>
      </c>
      <c r="F1328" s="1097">
        <v>1.020070259280647</v>
      </c>
      <c r="G1328" s="1097">
        <v>0.97323951813578702</v>
      </c>
      <c r="H1328" s="1097">
        <v>0.99050993338210791</v>
      </c>
      <c r="I1328" s="1097">
        <v>0.98602907394176154</v>
      </c>
      <c r="K1328">
        <v>5.2877731656459854</v>
      </c>
      <c r="L1328">
        <v>0</v>
      </c>
      <c r="M1328">
        <v>3.8305095884163848E-3</v>
      </c>
      <c r="N1328">
        <v>0.32070040792724408</v>
      </c>
      <c r="O1328">
        <v>0.15508678750501581</v>
      </c>
      <c r="P1328">
        <v>2.0556855303827455E-2</v>
      </c>
      <c r="Q1328">
        <v>1.3189098392666593E-3</v>
      </c>
      <c r="R1328">
        <v>3.8242186085166358E-3</v>
      </c>
      <c r="S1328">
        <v>0.47251990717835513</v>
      </c>
      <c r="T1328">
        <v>4.0770598341447544</v>
      </c>
      <c r="U1328">
        <v>0</v>
      </c>
      <c r="V1328">
        <v>1.1304767209823806E-2</v>
      </c>
      <c r="W1328">
        <v>0.19259032467839052</v>
      </c>
      <c r="X1328">
        <v>2.5834129086260101E-2</v>
      </c>
      <c r="Y1328">
        <v>1.0807533752947011E-2</v>
      </c>
    </row>
    <row r="1329" spans="1:25" x14ac:dyDescent="0.25">
      <c r="A1329" s="1093"/>
      <c r="B1329" s="1452">
        <v>1079</v>
      </c>
      <c r="C1329" s="1097">
        <v>0.99394128025633888</v>
      </c>
      <c r="D1329" s="1097">
        <v>0.96524463295338925</v>
      </c>
      <c r="E1329" s="1097">
        <v>0.98367255730363512</v>
      </c>
      <c r="F1329" s="1097">
        <v>0.96772450176683433</v>
      </c>
      <c r="G1329" s="1097">
        <v>1.0224760938034971</v>
      </c>
      <c r="H1329" s="1097">
        <v>1.0446435200754896</v>
      </c>
      <c r="I1329" s="1097">
        <v>0.97757881205208896</v>
      </c>
      <c r="K1329">
        <v>5.0472494262742034</v>
      </c>
      <c r="L1329">
        <v>0</v>
      </c>
      <c r="M1329">
        <v>3.8609581719101765E-3</v>
      </c>
      <c r="N1329">
        <v>0.31913105139967213</v>
      </c>
      <c r="O1329">
        <v>0.14698446356269279</v>
      </c>
      <c r="P1329">
        <v>1.9468036806567987E-2</v>
      </c>
      <c r="Q1329">
        <v>1.3116412669007184E-3</v>
      </c>
      <c r="R1329">
        <v>3.8546211137031167E-3</v>
      </c>
      <c r="S1329">
        <v>0.45376003268769793</v>
      </c>
      <c r="T1329">
        <v>3.8683709144543701</v>
      </c>
      <c r="U1329">
        <v>0</v>
      </c>
      <c r="V1329">
        <v>1.1304767209823824E-2</v>
      </c>
      <c r="W1329">
        <v>0.19221416638182251</v>
      </c>
      <c r="X1329">
        <v>2.3817236009133033E-2</v>
      </c>
      <c r="Y1329">
        <v>1.0893453553725474E-2</v>
      </c>
    </row>
    <row r="1330" spans="1:25" x14ac:dyDescent="0.25">
      <c r="A1330" s="1093"/>
      <c r="B1330" s="1452">
        <v>1080</v>
      </c>
      <c r="C1330" s="1097">
        <v>1.0039673337872825</v>
      </c>
      <c r="D1330" s="1097">
        <v>1.0285818429179936</v>
      </c>
      <c r="E1330" s="1097">
        <v>1.0469104273387737</v>
      </c>
      <c r="F1330" s="1097">
        <v>1.0018961332975524</v>
      </c>
      <c r="G1330" s="1097">
        <v>1.0338027442662878</v>
      </c>
      <c r="H1330" s="1097">
        <v>0.99185037027877998</v>
      </c>
      <c r="I1330" s="1097">
        <v>1.0308672210596295</v>
      </c>
      <c r="K1330">
        <v>5.1884260097531385</v>
      </c>
      <c r="L1330">
        <v>0</v>
      </c>
      <c r="M1330">
        <v>3.2051523838544172E-3</v>
      </c>
      <c r="N1330">
        <v>0.31944252077140894</v>
      </c>
      <c r="O1330">
        <v>0.14513624114892376</v>
      </c>
      <c r="P1330">
        <v>2.1083945740050861E-2</v>
      </c>
      <c r="Q1330">
        <v>1.3357571903855425E-3</v>
      </c>
      <c r="R1330">
        <v>3.1998003645497554E-3</v>
      </c>
      <c r="S1330">
        <v>0.47141921202222814</v>
      </c>
      <c r="T1330">
        <v>3.9970709836034111</v>
      </c>
      <c r="U1330">
        <v>0</v>
      </c>
      <c r="V1330">
        <v>1.1304767209823815E-2</v>
      </c>
      <c r="W1330">
        <v>0.18443198797852267</v>
      </c>
      <c r="X1330">
        <v>2.8163065984268276E-2</v>
      </c>
      <c r="Y1330">
        <v>9.0428801234188651E-3</v>
      </c>
    </row>
    <row r="1331" spans="1:25" x14ac:dyDescent="0.25">
      <c r="A1331" s="1093"/>
      <c r="B1331" s="1452">
        <v>1081</v>
      </c>
      <c r="C1331" s="1097">
        <v>0.97838853250532187</v>
      </c>
      <c r="D1331" s="1097">
        <v>1.006917906695119</v>
      </c>
      <c r="E1331" s="1097">
        <v>0.98512928062714034</v>
      </c>
      <c r="F1331" s="1097">
        <v>0.98149325077190497</v>
      </c>
      <c r="G1331" s="1097">
        <v>0.99899695332131522</v>
      </c>
      <c r="H1331" s="1097">
        <v>1.0009346395915537</v>
      </c>
      <c r="I1331" s="1097">
        <v>1.0058880004355626</v>
      </c>
      <c r="K1331">
        <v>5.1039878053894645</v>
      </c>
      <c r="L1331">
        <v>0</v>
      </c>
      <c r="M1331">
        <v>3.7362461435825564E-3</v>
      </c>
      <c r="N1331">
        <v>0.31014542614640478</v>
      </c>
      <c r="O1331">
        <v>0.14886597255261547</v>
      </c>
      <c r="P1331">
        <v>1.9798427062185622E-2</v>
      </c>
      <c r="Q1331">
        <v>1.3118053388442663E-3</v>
      </c>
      <c r="R1331">
        <v>3.729935620778235E-3</v>
      </c>
      <c r="S1331">
        <v>0.46759033414914325</v>
      </c>
      <c r="T1331">
        <v>3.9232291301189268</v>
      </c>
      <c r="U1331">
        <v>0</v>
      </c>
      <c r="V1331">
        <v>1.130476720982382E-2</v>
      </c>
      <c r="W1331">
        <v>0.18661629453629891</v>
      </c>
      <c r="X1331">
        <v>2.4590875966589522E-2</v>
      </c>
      <c r="Y1331">
        <v>1.054108283143269E-2</v>
      </c>
    </row>
    <row r="1332" spans="1:25" x14ac:dyDescent="0.25">
      <c r="A1332" s="1093"/>
      <c r="B1332" s="1452">
        <v>1082</v>
      </c>
      <c r="C1332" s="1097">
        <v>1.0100839067140495</v>
      </c>
      <c r="D1332" s="1097">
        <v>0.97068037468251356</v>
      </c>
      <c r="E1332" s="1097">
        <v>1.0034913817197562</v>
      </c>
      <c r="F1332" s="1097">
        <v>0.97967484534553817</v>
      </c>
      <c r="G1332" s="1097">
        <v>1.0230803627007707</v>
      </c>
      <c r="H1332" s="1097">
        <v>0.98323973291593303</v>
      </c>
      <c r="I1332" s="1097">
        <v>1.0393634847234205</v>
      </c>
      <c r="K1332">
        <v>5.0785138378823333</v>
      </c>
      <c r="L1332">
        <v>0</v>
      </c>
      <c r="M1332">
        <v>3.4643935475202549E-3</v>
      </c>
      <c r="N1332">
        <v>0.30365525564719603</v>
      </c>
      <c r="O1332">
        <v>0.1455516188312391</v>
      </c>
      <c r="P1332">
        <v>2.00280560760406E-2</v>
      </c>
      <c r="Q1332">
        <v>1.3099349265894237E-3</v>
      </c>
      <c r="R1332">
        <v>3.4584258420815245E-3</v>
      </c>
      <c r="S1332">
        <v>0.46732049540719023</v>
      </c>
      <c r="T1332">
        <v>3.9136959986315736</v>
      </c>
      <c r="U1332">
        <v>0</v>
      </c>
      <c r="V1332">
        <v>1.1304767209823803E-2</v>
      </c>
      <c r="W1332">
        <v>0.18044891432262908</v>
      </c>
      <c r="X1332">
        <v>2.5430989067446889E-2</v>
      </c>
      <c r="Y1332">
        <v>9.7737754680447854E-3</v>
      </c>
    </row>
    <row r="1333" spans="1:25" x14ac:dyDescent="0.25">
      <c r="A1333" s="1093"/>
      <c r="B1333" s="1452">
        <v>1083</v>
      </c>
      <c r="C1333" s="1097">
        <v>1.0278851353481859</v>
      </c>
      <c r="D1333" s="1097">
        <v>0.99722104728229655</v>
      </c>
      <c r="E1333" s="1097">
        <v>1.0017126191728334</v>
      </c>
      <c r="F1333" s="1097">
        <v>0.9615333111129748</v>
      </c>
      <c r="G1333" s="1097">
        <v>1.0168750964063493</v>
      </c>
      <c r="H1333" s="1097">
        <v>0.98851174623078453</v>
      </c>
      <c r="I1333" s="1097">
        <v>1.0133462353506433</v>
      </c>
      <c r="K1333">
        <v>4.9494610213401558</v>
      </c>
      <c r="L1333">
        <v>0</v>
      </c>
      <c r="M1333">
        <v>3.3358013676167897E-3</v>
      </c>
      <c r="N1333">
        <v>0.290840748030118</v>
      </c>
      <c r="O1333">
        <v>0.13892205263173213</v>
      </c>
      <c r="P1333">
        <v>1.9545333289186482E-2</v>
      </c>
      <c r="Q1333">
        <v>1.2714976030406807E-3</v>
      </c>
      <c r="R1333">
        <v>3.3299781680993993E-3</v>
      </c>
      <c r="S1333">
        <v>0.43939523151927284</v>
      </c>
      <c r="T1333">
        <v>3.8414369892150448</v>
      </c>
      <c r="U1333">
        <v>0</v>
      </c>
      <c r="V1333">
        <v>1.130476720982383E-2</v>
      </c>
      <c r="W1333">
        <v>0.17304136047043642</v>
      </c>
      <c r="X1333">
        <v>2.4298092036157737E-2</v>
      </c>
      <c r="Y1333">
        <v>9.4107725348553019E-3</v>
      </c>
    </row>
    <row r="1334" spans="1:25" x14ac:dyDescent="0.25">
      <c r="A1334" s="1093"/>
      <c r="B1334" s="1452">
        <v>1084</v>
      </c>
      <c r="C1334" s="1097">
        <v>1.031006305376208</v>
      </c>
      <c r="D1334" s="1097">
        <v>0.96459417421886651</v>
      </c>
      <c r="E1334" s="1097">
        <v>1.0277964445800893</v>
      </c>
      <c r="F1334" s="1097">
        <v>1.0294490106827339</v>
      </c>
      <c r="G1334" s="1097">
        <v>1.0153187789151548</v>
      </c>
      <c r="H1334" s="1097">
        <v>1.0229842531322382</v>
      </c>
      <c r="I1334" s="1097">
        <v>0.97435882544197761</v>
      </c>
      <c r="K1334">
        <v>5.3130105847405522</v>
      </c>
      <c r="L1334">
        <v>0</v>
      </c>
      <c r="M1334">
        <v>3.5337059433193339E-3</v>
      </c>
      <c r="N1334">
        <v>0.33287976329098623</v>
      </c>
      <c r="O1334">
        <v>0.14953486781574613</v>
      </c>
      <c r="P1334">
        <v>2.1241585881190111E-2</v>
      </c>
      <c r="Q1334">
        <v>1.3133956922248293E-3</v>
      </c>
      <c r="R1334">
        <v>3.5281377575137659E-3</v>
      </c>
      <c r="S1334">
        <v>0.45523257580533716</v>
      </c>
      <c r="T1334">
        <v>4.1094201993026527</v>
      </c>
      <c r="U1334">
        <v>0</v>
      </c>
      <c r="V1334">
        <v>1.1304767209823811E-2</v>
      </c>
      <c r="W1334">
        <v>0.19462638171149937</v>
      </c>
      <c r="X1334">
        <v>2.7491829553588018E-2</v>
      </c>
      <c r="Y1334">
        <v>9.9707866633092692E-3</v>
      </c>
    </row>
    <row r="1335" spans="1:25" x14ac:dyDescent="0.25">
      <c r="A1335" s="1093"/>
      <c r="B1335" s="1452">
        <v>1085</v>
      </c>
      <c r="C1335" s="1097">
        <v>1.0024330984897174</v>
      </c>
      <c r="D1335" s="1097">
        <v>0.98737897575835631</v>
      </c>
      <c r="E1335" s="1097">
        <v>0.9919105811612311</v>
      </c>
      <c r="F1335" s="1097">
        <v>1.0037118786955828</v>
      </c>
      <c r="G1335" s="1097">
        <v>1.0036826560113397</v>
      </c>
      <c r="H1335" s="1097">
        <v>1.0463877048292152</v>
      </c>
      <c r="I1335" s="1097">
        <v>0.97955241368334023</v>
      </c>
      <c r="K1335">
        <v>5.2169912451801679</v>
      </c>
      <c r="L1335">
        <v>0</v>
      </c>
      <c r="M1335">
        <v>3.8734403764206179E-3</v>
      </c>
      <c r="N1335">
        <v>0.32810119901174783</v>
      </c>
      <c r="O1335">
        <v>0.14956367107359264</v>
      </c>
      <c r="P1335">
        <v>2.0276559090781947E-2</v>
      </c>
      <c r="Q1335">
        <v>1.2979918980263339E-3</v>
      </c>
      <c r="R1335">
        <v>3.8673206172202962E-3</v>
      </c>
      <c r="S1335">
        <v>0.46298007532444885</v>
      </c>
      <c r="T1335">
        <v>4.0111823482767948</v>
      </c>
      <c r="U1335">
        <v>0</v>
      </c>
      <c r="V1335">
        <v>1.1304767209823813E-2</v>
      </c>
      <c r="W1335">
        <v>0.19651056461278524</v>
      </c>
      <c r="X1335">
        <v>2.485084512114278E-2</v>
      </c>
      <c r="Y1335">
        <v>1.0929343320226251E-2</v>
      </c>
    </row>
    <row r="1336" spans="1:25" x14ac:dyDescent="0.25">
      <c r="A1336" s="1093"/>
      <c r="B1336" s="1452">
        <v>1086</v>
      </c>
      <c r="C1336" s="1097">
        <v>1.0373605303932298</v>
      </c>
      <c r="D1336" s="1097">
        <v>0.98485036281000315</v>
      </c>
      <c r="E1336" s="1097">
        <v>1.0035892648472566</v>
      </c>
      <c r="F1336" s="1097">
        <v>0.96783229473521692</v>
      </c>
      <c r="G1336" s="1097">
        <v>0.9954275999452401</v>
      </c>
      <c r="H1336" s="1097">
        <v>1.0024946906743626</v>
      </c>
      <c r="I1336" s="1097">
        <v>0.99951273395816242</v>
      </c>
      <c r="K1336">
        <v>4.9791215022750608</v>
      </c>
      <c r="L1336">
        <v>0</v>
      </c>
      <c r="M1336">
        <v>3.377517396539945E-3</v>
      </c>
      <c r="N1336">
        <v>0.29613007331607677</v>
      </c>
      <c r="O1336">
        <v>0.13919939401502227</v>
      </c>
      <c r="P1336">
        <v>1.9667728860736148E-2</v>
      </c>
      <c r="Q1336">
        <v>1.2682246907788194E-3</v>
      </c>
      <c r="R1336">
        <v>3.3717413865191853E-3</v>
      </c>
      <c r="S1336">
        <v>0.43531325992420256</v>
      </c>
      <c r="T1336">
        <v>3.8663744039368333</v>
      </c>
      <c r="U1336">
        <v>0</v>
      </c>
      <c r="V1336">
        <v>1.1304767209823811E-2</v>
      </c>
      <c r="W1336">
        <v>0.1759654168906313</v>
      </c>
      <c r="X1336">
        <v>2.4375210862395517E-2</v>
      </c>
      <c r="Y1336">
        <v>9.5287985785805079E-3</v>
      </c>
    </row>
    <row r="1337" spans="1:25" x14ac:dyDescent="0.25">
      <c r="A1337" s="1093"/>
      <c r="B1337" s="1452">
        <v>1087</v>
      </c>
      <c r="C1337" s="1097">
        <v>1.0129279141117498</v>
      </c>
      <c r="D1337" s="1097">
        <v>0.96874927794213128</v>
      </c>
      <c r="E1337" s="1097">
        <v>1.0272097014928563</v>
      </c>
      <c r="F1337" s="1097">
        <v>0.99386938649839518</v>
      </c>
      <c r="G1337" s="1097">
        <v>0.97887916360029326</v>
      </c>
      <c r="H1337" s="1097">
        <v>0.99235371018064478</v>
      </c>
      <c r="I1337" s="1097">
        <v>0.97211865590198687</v>
      </c>
      <c r="K1337">
        <v>5.1285651277516537</v>
      </c>
      <c r="L1337">
        <v>0</v>
      </c>
      <c r="M1337">
        <v>3.3670723161062953E-3</v>
      </c>
      <c r="N1337">
        <v>0.31659899712840445</v>
      </c>
      <c r="O1337">
        <v>0.14670708338360894</v>
      </c>
      <c r="P1337">
        <v>2.0516772697032105E-2</v>
      </c>
      <c r="Q1337">
        <v>1.3338809084207505E-3</v>
      </c>
      <c r="R1337">
        <v>3.3614074627357736E-3</v>
      </c>
      <c r="S1337">
        <v>0.44293299504431022</v>
      </c>
      <c r="T1337">
        <v>3.9674634514440581</v>
      </c>
      <c r="U1337">
        <v>0</v>
      </c>
      <c r="V1337">
        <v>1.1304767209823837E-2</v>
      </c>
      <c r="W1337">
        <v>0.1851794978937911</v>
      </c>
      <c r="X1337">
        <v>2.7033752774556337E-2</v>
      </c>
      <c r="Y1337">
        <v>9.4995941210108299E-3</v>
      </c>
    </row>
    <row r="1338" spans="1:25" x14ac:dyDescent="0.25">
      <c r="A1338" s="1093"/>
      <c r="B1338" s="1452">
        <v>1088</v>
      </c>
      <c r="C1338" s="1097">
        <v>1.0151590939416717</v>
      </c>
      <c r="D1338" s="1097">
        <v>0.96545598824786305</v>
      </c>
      <c r="E1338" s="1097">
        <v>0.98136259033501549</v>
      </c>
      <c r="F1338" s="1097">
        <v>0.98919010252826023</v>
      </c>
      <c r="G1338" s="1097">
        <v>0.99837845174624795</v>
      </c>
      <c r="H1338" s="1097">
        <v>1.0028899409852321</v>
      </c>
      <c r="I1338" s="1097">
        <v>0.99327677500439093</v>
      </c>
      <c r="K1338">
        <v>5.1112855276993727</v>
      </c>
      <c r="L1338">
        <v>0</v>
      </c>
      <c r="M1338">
        <v>3.7272421658248183E-3</v>
      </c>
      <c r="N1338">
        <v>0.30596492746500431</v>
      </c>
      <c r="O1338">
        <v>0.14715516997255984</v>
      </c>
      <c r="P1338">
        <v>1.9812439413884622E-2</v>
      </c>
      <c r="Q1338">
        <v>1.2815461279598239E-3</v>
      </c>
      <c r="R1338">
        <v>3.7210079306200143E-3</v>
      </c>
      <c r="S1338">
        <v>0.45205249351370225</v>
      </c>
      <c r="T1338">
        <v>3.9544665032905977</v>
      </c>
      <c r="U1338">
        <v>0</v>
      </c>
      <c r="V1338">
        <v>1.1304767209823827E-2</v>
      </c>
      <c r="W1338">
        <v>0.18457553066444618</v>
      </c>
      <c r="X1338">
        <v>2.4162531779147775E-2</v>
      </c>
      <c r="Y1338">
        <v>1.0515852497448663E-2</v>
      </c>
    </row>
    <row r="1339" spans="1:25" x14ac:dyDescent="0.25">
      <c r="A1339" s="1093"/>
      <c r="B1339" s="1452">
        <v>1089</v>
      </c>
      <c r="C1339" s="1097">
        <v>0.99111454673981625</v>
      </c>
      <c r="D1339" s="1097">
        <v>0.97141381034184682</v>
      </c>
      <c r="E1339" s="1097">
        <v>1.0175670363565616</v>
      </c>
      <c r="F1339" s="1097">
        <v>0.97811103428949031</v>
      </c>
      <c r="G1339" s="1097">
        <v>0.9957987873000762</v>
      </c>
      <c r="H1339" s="1097">
        <v>0.97765406270503052</v>
      </c>
      <c r="I1339" s="1097">
        <v>0.9953633260655792</v>
      </c>
      <c r="K1339">
        <v>5.0705446756924966</v>
      </c>
      <c r="L1339">
        <v>0</v>
      </c>
      <c r="M1339">
        <v>3.4014841456321771E-3</v>
      </c>
      <c r="N1339">
        <v>0.31082430011928658</v>
      </c>
      <c r="O1339">
        <v>0.14766464264050352</v>
      </c>
      <c r="P1339">
        <v>2.0141052010113101E-2</v>
      </c>
      <c r="Q1339">
        <v>1.3506916094398022E-3</v>
      </c>
      <c r="R1339">
        <v>3.3955819249712263E-3</v>
      </c>
      <c r="S1339">
        <v>0.45438826500726365</v>
      </c>
      <c r="T1339">
        <v>3.9057287612468552</v>
      </c>
      <c r="U1339">
        <v>0</v>
      </c>
      <c r="V1339">
        <v>1.1304767209823806E-2</v>
      </c>
      <c r="W1339">
        <v>0.1829726519844537</v>
      </c>
      <c r="X1339">
        <v>2.6579272325036905E-2</v>
      </c>
      <c r="Y1339">
        <v>9.5961737603849802E-3</v>
      </c>
    </row>
    <row r="1340" spans="1:25" x14ac:dyDescent="0.25">
      <c r="A1340" s="1093"/>
      <c r="B1340" s="1452">
        <v>1090</v>
      </c>
      <c r="C1340" s="1097">
        <v>0.99291618143017168</v>
      </c>
      <c r="D1340" s="1097">
        <v>0.99933922033269473</v>
      </c>
      <c r="E1340" s="1097">
        <v>0.96380723310613303</v>
      </c>
      <c r="F1340" s="1097">
        <v>0.9872807276045914</v>
      </c>
      <c r="G1340" s="1097">
        <v>1.0270926714476205</v>
      </c>
      <c r="H1340" s="1097">
        <v>0.99161654440680391</v>
      </c>
      <c r="I1340" s="1097">
        <v>1.0389974933744499</v>
      </c>
      <c r="K1340">
        <v>5.1241855339653224</v>
      </c>
      <c r="L1340">
        <v>0</v>
      </c>
      <c r="M1340">
        <v>3.848189065327432E-3</v>
      </c>
      <c r="N1340">
        <v>0.29984344966772219</v>
      </c>
      <c r="O1340">
        <v>0.14858927924390977</v>
      </c>
      <c r="P1340">
        <v>1.963551724110648E-2</v>
      </c>
      <c r="Q1340">
        <v>1.2726648824195248E-3</v>
      </c>
      <c r="R1340">
        <v>3.8416667892289852E-3</v>
      </c>
      <c r="S1340">
        <v>0.47717006086064889</v>
      </c>
      <c r="T1340">
        <v>3.9490374501106036</v>
      </c>
      <c r="U1340">
        <v>0</v>
      </c>
      <c r="V1340">
        <v>1.1304767209823824E-2</v>
      </c>
      <c r="W1340">
        <v>0.18308264113502457</v>
      </c>
      <c r="X1340">
        <v>2.3399382246415388E-2</v>
      </c>
      <c r="Y1340">
        <v>1.085684364374569E-2</v>
      </c>
    </row>
    <row r="1341" spans="1:25" x14ac:dyDescent="0.25">
      <c r="A1341" s="1093"/>
      <c r="B1341" s="1452">
        <v>1091</v>
      </c>
      <c r="C1341" s="1097">
        <v>1.0055563466952038</v>
      </c>
      <c r="D1341" s="1097">
        <v>0.99016014273391206</v>
      </c>
      <c r="E1341" s="1097">
        <v>0.97587200171634048</v>
      </c>
      <c r="F1341" s="1097">
        <v>0.98467515752028434</v>
      </c>
      <c r="G1341" s="1097">
        <v>1.0149937744578752</v>
      </c>
      <c r="H1341" s="1097">
        <v>1.0081777124585638</v>
      </c>
      <c r="I1341" s="1097">
        <v>0.98446359789190274</v>
      </c>
      <c r="K1341">
        <v>5.0884028140208661</v>
      </c>
      <c r="L1341">
        <v>0</v>
      </c>
      <c r="M1341">
        <v>3.770781034343165E-3</v>
      </c>
      <c r="N1341">
        <v>0.30453650793910975</v>
      </c>
      <c r="O1341">
        <v>0.14654550730135102</v>
      </c>
      <c r="P1341">
        <v>1.9639968198562834E-2</v>
      </c>
      <c r="Q1341">
        <v>1.2746797322393936E-3</v>
      </c>
      <c r="R1341">
        <v>3.7644783361608929E-3</v>
      </c>
      <c r="S1341">
        <v>0.44927438883877663</v>
      </c>
      <c r="T1341">
        <v>3.9371027916341745</v>
      </c>
      <c r="U1341">
        <v>0</v>
      </c>
      <c r="V1341">
        <v>1.1304767209823834E-2</v>
      </c>
      <c r="W1341">
        <v>0.18440687332417088</v>
      </c>
      <c r="X1341">
        <v>2.3684929358518625E-2</v>
      </c>
      <c r="Y1341">
        <v>1.0638703182315648E-2</v>
      </c>
    </row>
    <row r="1342" spans="1:25" x14ac:dyDescent="0.25">
      <c r="A1342" s="1093"/>
      <c r="B1342" s="1452">
        <v>1092</v>
      </c>
      <c r="C1342" s="1097">
        <v>0.99769669474035316</v>
      </c>
      <c r="D1342" s="1097">
        <v>1.0224313426019904</v>
      </c>
      <c r="E1342" s="1097">
        <v>0.99841505526600627</v>
      </c>
      <c r="F1342" s="1097">
        <v>1.0015439331080973</v>
      </c>
      <c r="G1342" s="1097">
        <v>0.99819132387757814</v>
      </c>
      <c r="H1342" s="1097">
        <v>1.0166784261805273</v>
      </c>
      <c r="I1342" s="1097">
        <v>1.0202583151403937</v>
      </c>
      <c r="K1342">
        <v>5.1985396088488143</v>
      </c>
      <c r="L1342">
        <v>0</v>
      </c>
      <c r="M1342">
        <v>3.6703088848078157E-3</v>
      </c>
      <c r="N1342">
        <v>0.31693112572131332</v>
      </c>
      <c r="O1342">
        <v>0.14769114685881979</v>
      </c>
      <c r="P1342">
        <v>2.0385398527318035E-2</v>
      </c>
      <c r="Q1342">
        <v>1.2932937959625741E-3</v>
      </c>
      <c r="R1342">
        <v>3.6643277085745408E-3</v>
      </c>
      <c r="S1342">
        <v>0.47462528048262115</v>
      </c>
      <c r="T1342">
        <v>4.0016987058508269</v>
      </c>
      <c r="U1342">
        <v>0</v>
      </c>
      <c r="V1342">
        <v>1.1304767209823806E-2</v>
      </c>
      <c r="W1342">
        <v>0.18898504933699103</v>
      </c>
      <c r="X1342">
        <v>2.5275152378754055E-2</v>
      </c>
      <c r="Y1342">
        <v>1.0355669862617909E-2</v>
      </c>
    </row>
    <row r="1343" spans="1:25" x14ac:dyDescent="0.25">
      <c r="A1343" s="1093"/>
      <c r="B1343" s="1452">
        <v>1093</v>
      </c>
      <c r="C1343" s="1097">
        <v>1.0223210478538634</v>
      </c>
      <c r="D1343" s="1097">
        <v>0.96589033874964869</v>
      </c>
      <c r="E1343" s="1097">
        <v>1.0187746317158375</v>
      </c>
      <c r="F1343" s="1097">
        <v>1.0105668916608592</v>
      </c>
      <c r="G1343" s="1097">
        <v>0.98694635784868001</v>
      </c>
      <c r="H1343" s="1097">
        <v>0.96770876348634172</v>
      </c>
      <c r="I1343" s="1097">
        <v>0.95426457326072067</v>
      </c>
      <c r="K1343">
        <v>5.1768415096319398</v>
      </c>
      <c r="L1343">
        <v>0</v>
      </c>
      <c r="M1343">
        <v>3.3713260814972356E-3</v>
      </c>
      <c r="N1343">
        <v>0.3091831459640681</v>
      </c>
      <c r="O1343">
        <v>0.14821147137353252</v>
      </c>
      <c r="P1343">
        <v>2.0655691141603091E-2</v>
      </c>
      <c r="Q1343">
        <v>1.3137951208691933E-3</v>
      </c>
      <c r="R1343">
        <v>3.3656055676448337E-3</v>
      </c>
      <c r="S1343">
        <v>0.43267793048144676</v>
      </c>
      <c r="T1343">
        <v>4.0351774539280383</v>
      </c>
      <c r="U1343">
        <v>0</v>
      </c>
      <c r="V1343">
        <v>1.1304767209823817E-2</v>
      </c>
      <c r="W1343">
        <v>0.18185987998978051</v>
      </c>
      <c r="X1343">
        <v>2.6951636650634013E-2</v>
      </c>
      <c r="Y1343">
        <v>9.5114582859939789E-3</v>
      </c>
    </row>
    <row r="1344" spans="1:25" x14ac:dyDescent="0.25">
      <c r="A1344" s="1093"/>
      <c r="B1344" s="1452">
        <v>1094</v>
      </c>
      <c r="C1344" s="1097">
        <v>0.99767989436564009</v>
      </c>
      <c r="D1344" s="1097">
        <v>0.96275774205948461</v>
      </c>
      <c r="E1344" s="1097">
        <v>0.99320980447571128</v>
      </c>
      <c r="F1344" s="1097">
        <v>1.0112289687487255</v>
      </c>
      <c r="G1344" s="1097">
        <v>1.0156733294390816</v>
      </c>
      <c r="H1344" s="1097">
        <v>1.0224532371865074</v>
      </c>
      <c r="I1344" s="1097">
        <v>1.0093701260320778</v>
      </c>
      <c r="K1344">
        <v>5.2683280992449566</v>
      </c>
      <c r="L1344">
        <v>0</v>
      </c>
      <c r="M1344">
        <v>3.8596403205896938E-3</v>
      </c>
      <c r="N1344">
        <v>0.32818571185814949</v>
      </c>
      <c r="O1344">
        <v>0.15290151875192701</v>
      </c>
      <c r="P1344">
        <v>2.0509367056417187E-2</v>
      </c>
      <c r="Q1344">
        <v>1.3188906031751807E-3</v>
      </c>
      <c r="R1344">
        <v>3.8534459331469309E-3</v>
      </c>
      <c r="S1344">
        <v>0.4801788433976007</v>
      </c>
      <c r="T1344">
        <v>4.0410577293282977</v>
      </c>
      <c r="U1344">
        <v>0</v>
      </c>
      <c r="V1344">
        <v>1.1304767209823818E-2</v>
      </c>
      <c r="W1344">
        <v>0.19638778167342696</v>
      </c>
      <c r="X1344">
        <v>2.5599551349826756E-2</v>
      </c>
      <c r="Y1344">
        <v>1.0890132403752899E-2</v>
      </c>
    </row>
    <row r="1345" spans="1:25" x14ac:dyDescent="0.25">
      <c r="A1345" s="1093"/>
      <c r="B1345" s="1452">
        <v>1095</v>
      </c>
      <c r="C1345" s="1097">
        <v>1.0109707945889577</v>
      </c>
      <c r="D1345" s="1097">
        <v>0.95321228037175831</v>
      </c>
      <c r="E1345" s="1097">
        <v>0.98551637080549159</v>
      </c>
      <c r="F1345" s="1097">
        <v>0.99918706493375076</v>
      </c>
      <c r="G1345" s="1097">
        <v>1.0005846579378705</v>
      </c>
      <c r="H1345" s="1097">
        <v>0.98973727976721404</v>
      </c>
      <c r="I1345" s="1097">
        <v>1.0303285871712218</v>
      </c>
      <c r="K1345">
        <v>5.1802600530122609</v>
      </c>
      <c r="L1345">
        <v>0</v>
      </c>
      <c r="M1345">
        <v>3.7173844064551063E-3</v>
      </c>
      <c r="N1345">
        <v>0.30893765593046008</v>
      </c>
      <c r="O1345">
        <v>0.14990565165168532</v>
      </c>
      <c r="P1345">
        <v>2.0148732398998136E-2</v>
      </c>
      <c r="Q1345">
        <v>1.2981035653967469E-3</v>
      </c>
      <c r="R1345">
        <v>3.7111469627358821E-3</v>
      </c>
      <c r="S1345">
        <v>0.47349366640764395</v>
      </c>
      <c r="T1345">
        <v>3.9939060264716923</v>
      </c>
      <c r="U1345">
        <v>0</v>
      </c>
      <c r="V1345">
        <v>1.130476720982382E-2</v>
      </c>
      <c r="W1345">
        <v>0.18584045784170902</v>
      </c>
      <c r="X1345">
        <v>2.4943244329208445E-2</v>
      </c>
      <c r="Y1345">
        <v>1.0487984649358819E-2</v>
      </c>
    </row>
    <row r="1346" spans="1:25" x14ac:dyDescent="0.25">
      <c r="A1346" s="1093"/>
      <c r="B1346" s="1452">
        <v>1096</v>
      </c>
      <c r="C1346" s="1097">
        <v>0.97559611139327629</v>
      </c>
      <c r="D1346" s="1097">
        <v>0.98096868571611306</v>
      </c>
      <c r="E1346" s="1097">
        <v>1.0108367268517933</v>
      </c>
      <c r="F1346" s="1097">
        <v>0.99594543959675308</v>
      </c>
      <c r="G1346" s="1097">
        <v>0.97281208703383226</v>
      </c>
      <c r="H1346" s="1097">
        <v>0.96285366670166983</v>
      </c>
      <c r="I1346" s="1097">
        <v>0.97648912404836274</v>
      </c>
      <c r="K1346">
        <v>5.15513553879308</v>
      </c>
      <c r="L1346">
        <v>0</v>
      </c>
      <c r="M1346">
        <v>3.5010641872038756E-3</v>
      </c>
      <c r="N1346">
        <v>0.31361529466380106</v>
      </c>
      <c r="O1346">
        <v>0.15234464928390923</v>
      </c>
      <c r="P1346">
        <v>2.0379421459337316E-2</v>
      </c>
      <c r="Q1346">
        <v>1.3590239111595244E-3</v>
      </c>
      <c r="R1346">
        <v>3.4950060683590803E-3</v>
      </c>
      <c r="S1346">
        <v>0.45604521484097238</v>
      </c>
      <c r="T1346">
        <v>3.9777798869157137</v>
      </c>
      <c r="U1346">
        <v>0</v>
      </c>
      <c r="V1346">
        <v>1.1304767209823817E-2</v>
      </c>
      <c r="W1346">
        <v>0.18544924976543808</v>
      </c>
      <c r="X1346">
        <v>2.6986934881497494E-2</v>
      </c>
      <c r="Y1346">
        <v>9.8771539802733187E-3</v>
      </c>
    </row>
    <row r="1347" spans="1:25" x14ac:dyDescent="0.25">
      <c r="A1347" s="1093"/>
      <c r="B1347" s="1452">
        <v>1097</v>
      </c>
      <c r="C1347" s="1097">
        <v>1.0024177937685366</v>
      </c>
      <c r="D1347" s="1097">
        <v>0.97188408906377755</v>
      </c>
      <c r="E1347" s="1097">
        <v>1.0298087405303946</v>
      </c>
      <c r="F1347" s="1097">
        <v>1.001496075163737</v>
      </c>
      <c r="G1347" s="1097">
        <v>0.98580652977180072</v>
      </c>
      <c r="H1347" s="1097">
        <v>0.96568320966073506</v>
      </c>
      <c r="I1347" s="1097">
        <v>0.98447088324088206</v>
      </c>
      <c r="K1347">
        <v>5.165389376879701</v>
      </c>
      <c r="L1347">
        <v>0</v>
      </c>
      <c r="M1347">
        <v>3.3137231609147309E-3</v>
      </c>
      <c r="N1347">
        <v>0.31397582455909118</v>
      </c>
      <c r="O1347">
        <v>0.14911681995156728</v>
      </c>
      <c r="P1347">
        <v>2.0732643030665687E-2</v>
      </c>
      <c r="Q1347">
        <v>1.3490735525852561E-3</v>
      </c>
      <c r="R1347">
        <v>3.3080376453441525E-3</v>
      </c>
      <c r="S1347">
        <v>0.45089831670227443</v>
      </c>
      <c r="T1347">
        <v>3.9975863043909303</v>
      </c>
      <c r="U1347">
        <v>0</v>
      </c>
      <c r="V1347">
        <v>1.130476720982381E-2</v>
      </c>
      <c r="W1347">
        <v>0.18332903340948858</v>
      </c>
      <c r="X1347">
        <v>2.7753512646377407E-2</v>
      </c>
      <c r="Y1347">
        <v>9.3487669424693019E-3</v>
      </c>
    </row>
    <row r="1348" spans="1:25" x14ac:dyDescent="0.25">
      <c r="A1348" s="1093"/>
      <c r="B1348" s="1452">
        <v>1098</v>
      </c>
      <c r="C1348" s="1097">
        <v>1.0017060126957136</v>
      </c>
      <c r="D1348" s="1097">
        <v>0.95673792113527512</v>
      </c>
      <c r="E1348" s="1097">
        <v>1.0141203901161167</v>
      </c>
      <c r="F1348" s="1097">
        <v>0.98163253346222046</v>
      </c>
      <c r="G1348" s="1097">
        <v>0.98056696664009779</v>
      </c>
      <c r="H1348" s="1097">
        <v>0.98402256364432306</v>
      </c>
      <c r="I1348" s="1097">
        <v>1.0069790107822165</v>
      </c>
      <c r="K1348">
        <v>5.0910239564157722</v>
      </c>
      <c r="L1348">
        <v>0</v>
      </c>
      <c r="M1348">
        <v>3.4453588108705564E-3</v>
      </c>
      <c r="N1348">
        <v>0.31164387967333484</v>
      </c>
      <c r="O1348">
        <v>0.1476206336737613</v>
      </c>
      <c r="P1348">
        <v>2.0176876726812627E-2</v>
      </c>
      <c r="Q1348">
        <v>1.3406464996548796E-3</v>
      </c>
      <c r="R1348">
        <v>3.4394404225254185E-3</v>
      </c>
      <c r="S1348">
        <v>0.45878908381648864</v>
      </c>
      <c r="T1348">
        <v>3.920212195242982</v>
      </c>
      <c r="U1348">
        <v>0</v>
      </c>
      <c r="V1348">
        <v>1.1304767209823832E-2</v>
      </c>
      <c r="W1348">
        <v>0.18387839881200163</v>
      </c>
      <c r="X1348">
        <v>2.634327192634002E-2</v>
      </c>
      <c r="Y1348">
        <v>9.720121222911016E-3</v>
      </c>
    </row>
    <row r="1349" spans="1:25" x14ac:dyDescent="0.25">
      <c r="A1349" s="1093"/>
      <c r="B1349" s="1452">
        <v>1099</v>
      </c>
      <c r="C1349" s="1097">
        <v>0.98939298405887854</v>
      </c>
      <c r="D1349" s="1097">
        <v>1.0228627781547674</v>
      </c>
      <c r="E1349" s="1097">
        <v>0.95351186895075912</v>
      </c>
      <c r="F1349" s="1097">
        <v>1.018318663291581</v>
      </c>
      <c r="G1349" s="1097">
        <v>1.0207373918579192</v>
      </c>
      <c r="H1349" s="1097">
        <v>0.98162543653624001</v>
      </c>
      <c r="I1349" s="1097">
        <v>1.0160009716119909</v>
      </c>
      <c r="K1349">
        <v>5.2581830387373882</v>
      </c>
      <c r="L1349">
        <v>0</v>
      </c>
      <c r="M1349">
        <v>3.9914935030262695E-3</v>
      </c>
      <c r="N1349">
        <v>0.30164768639765266</v>
      </c>
      <c r="O1349">
        <v>0.15267348992831944</v>
      </c>
      <c r="P1349">
        <v>2.0027457467054522E-2</v>
      </c>
      <c r="Q1349">
        <v>1.2539536889185877E-3</v>
      </c>
      <c r="R1349">
        <v>3.9848674429498777E-3</v>
      </c>
      <c r="S1349">
        <v>0.47648092560494748</v>
      </c>
      <c r="T1349">
        <v>4.0745282073976705</v>
      </c>
      <c r="U1349">
        <v>0</v>
      </c>
      <c r="V1349">
        <v>1.1304767209823808E-2</v>
      </c>
      <c r="W1349">
        <v>0.18550730102700458</v>
      </c>
      <c r="X1349">
        <v>2.3504336452057836E-2</v>
      </c>
      <c r="Y1349">
        <v>1.1261539624013654E-2</v>
      </c>
    </row>
    <row r="1350" spans="1:25" x14ac:dyDescent="0.25">
      <c r="A1350" s="1093"/>
      <c r="B1350" s="1452">
        <v>1100</v>
      </c>
      <c r="C1350" s="1097">
        <v>1.0066292050621291</v>
      </c>
      <c r="D1350" s="1097">
        <v>1.0417407240408318</v>
      </c>
      <c r="E1350" s="1097">
        <v>0.974481173462313</v>
      </c>
      <c r="F1350" s="1097">
        <v>1.0152546281399131</v>
      </c>
      <c r="G1350" s="1097">
        <v>0.98436260829375699</v>
      </c>
      <c r="H1350" s="1097">
        <v>1.033642629982519</v>
      </c>
      <c r="I1350" s="1097">
        <v>0.98214784203754513</v>
      </c>
      <c r="K1350">
        <v>5.2400441374887006</v>
      </c>
      <c r="L1350">
        <v>0</v>
      </c>
      <c r="M1350">
        <v>3.9129731704990829E-3</v>
      </c>
      <c r="N1350">
        <v>0.31474667068372381</v>
      </c>
      <c r="O1350">
        <v>0.1479389089630366</v>
      </c>
      <c r="P1350">
        <v>2.0211070140727035E-2</v>
      </c>
      <c r="Q1350">
        <v>1.2462074716834933E-3</v>
      </c>
      <c r="R1350">
        <v>3.9067857619444826E-3</v>
      </c>
      <c r="S1350">
        <v>0.45950841909449958</v>
      </c>
      <c r="T1350">
        <v>4.0595504004772049</v>
      </c>
      <c r="U1350">
        <v>0</v>
      </c>
      <c r="V1350">
        <v>1.1304767209823824E-2</v>
      </c>
      <c r="W1350">
        <v>0.19077176136742563</v>
      </c>
      <c r="X1350">
        <v>2.3731244656887002E-2</v>
      </c>
      <c r="Y1350">
        <v>1.1040874832238064E-2</v>
      </c>
    </row>
    <row r="1351" spans="1:25" x14ac:dyDescent="0.25">
      <c r="A1351" s="1093"/>
      <c r="B1351" s="1452">
        <v>1101</v>
      </c>
      <c r="C1351" s="1097">
        <v>1.022871161648665</v>
      </c>
      <c r="D1351" s="1097">
        <v>0.95424740681870235</v>
      </c>
      <c r="E1351" s="1097">
        <v>0.98709046912919229</v>
      </c>
      <c r="F1351" s="1097">
        <v>1.0157537337521467</v>
      </c>
      <c r="G1351" s="1097">
        <v>1.0226155494552642</v>
      </c>
      <c r="H1351" s="1097">
        <v>1.0096745754610916</v>
      </c>
      <c r="I1351" s="1097">
        <v>0.99249726052933862</v>
      </c>
      <c r="K1351">
        <v>5.2472645143691121</v>
      </c>
      <c r="L1351">
        <v>0</v>
      </c>
      <c r="M1351">
        <v>3.795957781265825E-3</v>
      </c>
      <c r="N1351">
        <v>0.31696288828482294</v>
      </c>
      <c r="O1351">
        <v>0.15050845564589971</v>
      </c>
      <c r="P1351">
        <v>2.0412285064608175E-2</v>
      </c>
      <c r="Q1351">
        <v>1.2841906256175325E-3</v>
      </c>
      <c r="R1351">
        <v>3.7898159315137587E-3</v>
      </c>
      <c r="S1351">
        <v>0.46067754021622692</v>
      </c>
      <c r="T1351">
        <v>4.0599235404253617</v>
      </c>
      <c r="U1351">
        <v>0</v>
      </c>
      <c r="V1351">
        <v>1.1304767209823811E-2</v>
      </c>
      <c r="W1351">
        <v>0.19046337307247935</v>
      </c>
      <c r="X1351">
        <v>2.5023306512808076E-2</v>
      </c>
      <c r="Y1351">
        <v>1.0710309161216739E-2</v>
      </c>
    </row>
    <row r="1352" spans="1:25" x14ac:dyDescent="0.25">
      <c r="A1352" s="1093"/>
      <c r="B1352" s="1452">
        <v>1102</v>
      </c>
      <c r="C1352" s="1097">
        <v>0.9886779575122393</v>
      </c>
      <c r="D1352" s="1097">
        <v>1.0119571290893412</v>
      </c>
      <c r="E1352" s="1097">
        <v>1.0219404962070404</v>
      </c>
      <c r="F1352" s="1097">
        <v>0.99728142341232262</v>
      </c>
      <c r="G1352" s="1097">
        <v>0.9786151632417992</v>
      </c>
      <c r="H1352" s="1097">
        <v>0.97641422204717121</v>
      </c>
      <c r="I1352" s="1097">
        <v>0.98320281583255287</v>
      </c>
      <c r="K1352">
        <v>5.1504857471146783</v>
      </c>
      <c r="L1352">
        <v>0</v>
      </c>
      <c r="M1352">
        <v>3.3844382679011895E-3</v>
      </c>
      <c r="N1352">
        <v>0.31330418467618998</v>
      </c>
      <c r="O1352">
        <v>0.1483591227526789</v>
      </c>
      <c r="P1352">
        <v>2.0552376384727671E-2</v>
      </c>
      <c r="Q1352">
        <v>1.3369944078440732E-3</v>
      </c>
      <c r="R1352">
        <v>3.378671011070688E-3</v>
      </c>
      <c r="S1352">
        <v>0.4533889531059162</v>
      </c>
      <c r="T1352">
        <v>3.9817361962813829</v>
      </c>
      <c r="U1352">
        <v>0</v>
      </c>
      <c r="V1352">
        <v>1.1304767209823832E-2</v>
      </c>
      <c r="W1352">
        <v>0.18389534155657364</v>
      </c>
      <c r="X1352">
        <v>2.7065195769747769E-2</v>
      </c>
      <c r="Y1352">
        <v>9.5483822266148634E-3</v>
      </c>
    </row>
    <row r="1353" spans="1:25" x14ac:dyDescent="0.25">
      <c r="A1353" s="1093"/>
      <c r="B1353" s="1452">
        <v>1103</v>
      </c>
      <c r="C1353" s="1097">
        <v>0.98638110331494278</v>
      </c>
      <c r="D1353" s="1097">
        <v>0.9990042333692476</v>
      </c>
      <c r="E1353" s="1097">
        <v>0.95820769428111319</v>
      </c>
      <c r="F1353" s="1097">
        <v>1.0141889446301953</v>
      </c>
      <c r="G1353" s="1097">
        <v>1.0103259159233757</v>
      </c>
      <c r="H1353" s="1097">
        <v>0.98155089214864089</v>
      </c>
      <c r="I1353" s="1097">
        <v>0.99687975253104</v>
      </c>
      <c r="K1353">
        <v>5.241033994488415</v>
      </c>
      <c r="L1353">
        <v>0</v>
      </c>
      <c r="M1353">
        <v>3.9856577855564316E-3</v>
      </c>
      <c r="N1353">
        <v>0.30543864946359683</v>
      </c>
      <c r="O1353">
        <v>0.15383107092776738</v>
      </c>
      <c r="P1353">
        <v>1.9994125456541362E-2</v>
      </c>
      <c r="Q1353">
        <v>1.2749801147145616E-3</v>
      </c>
      <c r="R1353">
        <v>3.979014011103869E-3</v>
      </c>
      <c r="S1353">
        <v>0.46945209999221421</v>
      </c>
      <c r="T1353">
        <v>4.0573939912679222</v>
      </c>
      <c r="U1353">
        <v>0</v>
      </c>
      <c r="V1353">
        <v>1.1304767209823815E-2</v>
      </c>
      <c r="W1353">
        <v>0.18722528533482249</v>
      </c>
      <c r="X1353">
        <v>2.3880671116734059E-2</v>
      </c>
      <c r="Y1353">
        <v>1.1244997378728451E-2</v>
      </c>
    </row>
    <row r="1354" spans="1:25" x14ac:dyDescent="0.25">
      <c r="A1354" s="1093"/>
      <c r="B1354" s="1452">
        <v>1104</v>
      </c>
      <c r="C1354" s="1097">
        <v>1.01016454667358</v>
      </c>
      <c r="D1354" s="1097">
        <v>1.0016231236613253</v>
      </c>
      <c r="E1354" s="1097">
        <v>0.9920753398862292</v>
      </c>
      <c r="F1354" s="1097">
        <v>0.98995464645019549</v>
      </c>
      <c r="G1354" s="1097">
        <v>0.96195181012915509</v>
      </c>
      <c r="H1354" s="1097">
        <v>1.0177416945619997</v>
      </c>
      <c r="I1354" s="1097">
        <v>0.97472853143641047</v>
      </c>
      <c r="K1354">
        <v>5.1111568546474251</v>
      </c>
      <c r="L1354">
        <v>0</v>
      </c>
      <c r="M1354">
        <v>3.6650728838264397E-3</v>
      </c>
      <c r="N1354">
        <v>0.31058218963722012</v>
      </c>
      <c r="O1354">
        <v>0.14554391082843326</v>
      </c>
      <c r="P1354">
        <v>1.9951282815966899E-2</v>
      </c>
      <c r="Q1354">
        <v>1.2808807769792371E-3</v>
      </c>
      <c r="R1354">
        <v>3.6590367491212473E-3</v>
      </c>
      <c r="S1354">
        <v>0.44548079630272658</v>
      </c>
      <c r="T1354">
        <v>3.9561831001855259</v>
      </c>
      <c r="U1354">
        <v>0</v>
      </c>
      <c r="V1354">
        <v>1.1304767209823825E-2</v>
      </c>
      <c r="W1354">
        <v>0.18599702952184288</v>
      </c>
      <c r="X1354">
        <v>2.449821629634984E-2</v>
      </c>
      <c r="Y1354">
        <v>1.0340717207257256E-2</v>
      </c>
    </row>
    <row r="1355" spans="1:25" x14ac:dyDescent="0.25">
      <c r="A1355" s="1093"/>
      <c r="B1355" s="1452">
        <v>1105</v>
      </c>
      <c r="C1355" s="1097">
        <v>1.0061307521199174</v>
      </c>
      <c r="D1355" s="1097">
        <v>0.98847090668714266</v>
      </c>
      <c r="E1355" s="1097">
        <v>0.99973450937370067</v>
      </c>
      <c r="F1355" s="1097">
        <v>0.99926482731097321</v>
      </c>
      <c r="G1355" s="1097">
        <v>0.9899133088030756</v>
      </c>
      <c r="H1355" s="1097">
        <v>1.0066709782116674</v>
      </c>
      <c r="I1355" s="1097">
        <v>0.97476778812192599</v>
      </c>
      <c r="K1355">
        <v>5.161750702519905</v>
      </c>
      <c r="L1355">
        <v>0</v>
      </c>
      <c r="M1355">
        <v>3.6343304738140534E-3</v>
      </c>
      <c r="N1355">
        <v>0.3150474758166078</v>
      </c>
      <c r="O1355">
        <v>0.14807093110579683</v>
      </c>
      <c r="P1355">
        <v>2.025121102498505E-2</v>
      </c>
      <c r="Q1355">
        <v>1.3013700414672453E-3</v>
      </c>
      <c r="R1355">
        <v>3.628335431931212E-3</v>
      </c>
      <c r="S1355">
        <v>0.44997700204736313</v>
      </c>
      <c r="T1355">
        <v>3.9924268588747736</v>
      </c>
      <c r="U1355">
        <v>0</v>
      </c>
      <c r="V1355">
        <v>1.1304767209823813E-2</v>
      </c>
      <c r="W1355">
        <v>0.18769427190157026</v>
      </c>
      <c r="X1355">
        <v>2.5428856598455642E-2</v>
      </c>
      <c r="Y1355">
        <v>1.0253952940943533E-2</v>
      </c>
    </row>
    <row r="1356" spans="1:25" x14ac:dyDescent="0.25">
      <c r="A1356" s="1093"/>
      <c r="B1356" s="1452">
        <v>1106</v>
      </c>
      <c r="C1356" s="1097">
        <v>1.0134334103645402</v>
      </c>
      <c r="D1356" s="1097">
        <v>0.96958023285840322</v>
      </c>
      <c r="E1356" s="1097">
        <v>0.97551629308530829</v>
      </c>
      <c r="F1356" s="1097">
        <v>0.9980414057009086</v>
      </c>
      <c r="G1356" s="1097">
        <v>1.0020569013217433</v>
      </c>
      <c r="H1356" s="1097">
        <v>1.0051442435503448</v>
      </c>
      <c r="I1356" s="1097">
        <v>0.96695249857313115</v>
      </c>
      <c r="K1356">
        <v>5.1448225535693579</v>
      </c>
      <c r="L1356">
        <v>0</v>
      </c>
      <c r="M1356">
        <v>3.8155077772330896E-3</v>
      </c>
      <c r="N1356">
        <v>0.30782890552512143</v>
      </c>
      <c r="O1356">
        <v>0.14863352665943436</v>
      </c>
      <c r="P1356">
        <v>1.9850495536688082E-2</v>
      </c>
      <c r="Q1356">
        <v>1.2750478533354926E-3</v>
      </c>
      <c r="R1356">
        <v>3.8091965987063978E-3</v>
      </c>
      <c r="S1356">
        <v>0.44413496158243027</v>
      </c>
      <c r="T1356">
        <v>3.9905911751902754</v>
      </c>
      <c r="U1356">
        <v>0</v>
      </c>
      <c r="V1356">
        <v>1.1304767209823817E-2</v>
      </c>
      <c r="W1356">
        <v>0.18644609475065155</v>
      </c>
      <c r="X1356">
        <v>2.3998810033778226E-2</v>
      </c>
      <c r="Y1356">
        <v>1.0765080406347081E-2</v>
      </c>
    </row>
    <row r="1357" spans="1:25" x14ac:dyDescent="0.25">
      <c r="A1357" s="1093"/>
      <c r="B1357" s="1452">
        <v>1107</v>
      </c>
      <c r="C1357" s="1097">
        <v>0.9858118016757329</v>
      </c>
      <c r="D1357" s="1097">
        <v>0.9619772925298572</v>
      </c>
      <c r="E1357" s="1097">
        <v>1.0152124928329278</v>
      </c>
      <c r="F1357" s="1097">
        <v>0.99186079802979943</v>
      </c>
      <c r="G1357" s="1097">
        <v>0.99462480802379649</v>
      </c>
      <c r="H1357" s="1097">
        <v>0.99638662643832054</v>
      </c>
      <c r="I1357" s="1097">
        <v>0.98368179956374779</v>
      </c>
      <c r="K1357">
        <v>5.1576340090731465</v>
      </c>
      <c r="L1357">
        <v>0</v>
      </c>
      <c r="M1357">
        <v>3.5657259381943547E-3</v>
      </c>
      <c r="N1357">
        <v>0.32358826770178967</v>
      </c>
      <c r="O1357">
        <v>0.15120186589516069</v>
      </c>
      <c r="P1357">
        <v>2.0391270546839604E-2</v>
      </c>
      <c r="Q1357">
        <v>1.3605500656168705E-3</v>
      </c>
      <c r="R1357">
        <v>3.5597390669699523E-3</v>
      </c>
      <c r="S1357">
        <v>0.4611634135516503</v>
      </c>
      <c r="T1357">
        <v>3.9609243625159571</v>
      </c>
      <c r="U1357">
        <v>0</v>
      </c>
      <c r="V1357">
        <v>1.130476720982382E-2</v>
      </c>
      <c r="W1357">
        <v>0.19078643078296006</v>
      </c>
      <c r="X1357">
        <v>2.6858973298090102E-2</v>
      </c>
      <c r="Y1357">
        <v>1.0060094376478295E-2</v>
      </c>
    </row>
    <row r="1358" spans="1:25" x14ac:dyDescent="0.25">
      <c r="A1358" s="1093"/>
      <c r="B1358" s="1452">
        <v>1108</v>
      </c>
      <c r="C1358" s="1097">
        <v>0.95480483518263037</v>
      </c>
      <c r="D1358" s="1097">
        <v>0.97693780267472641</v>
      </c>
      <c r="E1358" s="1097">
        <v>1.0460732871126581</v>
      </c>
      <c r="F1358" s="1097">
        <v>1.0082078178258873</v>
      </c>
      <c r="G1358" s="1097">
        <v>1.0125689736557912</v>
      </c>
      <c r="H1358" s="1097">
        <v>0.99957218004604498</v>
      </c>
      <c r="I1358" s="1097">
        <v>0.97115567326996988</v>
      </c>
      <c r="K1358">
        <v>5.2766428796466096</v>
      </c>
      <c r="L1358">
        <v>0</v>
      </c>
      <c r="M1358">
        <v>3.495137575772704E-3</v>
      </c>
      <c r="N1358">
        <v>0.34749207145585376</v>
      </c>
      <c r="O1358">
        <v>0.15679268280716716</v>
      </c>
      <c r="P1358">
        <v>2.1210299287946838E-2</v>
      </c>
      <c r="Q1358">
        <v>1.4327773985083803E-3</v>
      </c>
      <c r="R1358">
        <v>3.4893826144881592E-3</v>
      </c>
      <c r="S1358">
        <v>0.4756822386595187</v>
      </c>
      <c r="T1358">
        <v>4.0223551241534432</v>
      </c>
      <c r="U1358">
        <v>0</v>
      </c>
      <c r="V1358">
        <v>1.130476720982382E-2</v>
      </c>
      <c r="W1358">
        <v>0.2007365987520576</v>
      </c>
      <c r="X1358">
        <v>2.9780813213269409E-2</v>
      </c>
      <c r="Y1358">
        <v>9.8612616703037045E-3</v>
      </c>
    </row>
    <row r="1359" spans="1:25" x14ac:dyDescent="0.25">
      <c r="A1359" s="1093"/>
      <c r="B1359" s="1452">
        <v>1109</v>
      </c>
      <c r="C1359" s="1097">
        <v>1.0015876239469685</v>
      </c>
      <c r="D1359" s="1097">
        <v>0.98579912112632262</v>
      </c>
      <c r="E1359" s="1097">
        <v>0.99054430908790936</v>
      </c>
      <c r="F1359" s="1097">
        <v>0.98996360964256191</v>
      </c>
      <c r="G1359" s="1097">
        <v>1.0013103290341518</v>
      </c>
      <c r="H1359" s="1097">
        <v>1.0291593610743301</v>
      </c>
      <c r="I1359" s="1097">
        <v>1.001107180035695</v>
      </c>
      <c r="K1359">
        <v>5.1463402377489729</v>
      </c>
      <c r="L1359">
        <v>0</v>
      </c>
      <c r="M1359">
        <v>3.7739793576510266E-3</v>
      </c>
      <c r="N1359">
        <v>0.31836844033149891</v>
      </c>
      <c r="O1359">
        <v>0.14777195150047426</v>
      </c>
      <c r="P1359">
        <v>2.0017796106774708E-2</v>
      </c>
      <c r="Q1359">
        <v>1.2983901988992564E-3</v>
      </c>
      <c r="R1359">
        <v>3.7678328724434131E-3</v>
      </c>
      <c r="S1359">
        <v>0.46505671646577157</v>
      </c>
      <c r="T1359">
        <v>3.9564099931072132</v>
      </c>
      <c r="U1359">
        <v>0</v>
      </c>
      <c r="V1359">
        <v>1.1304767209823829E-2</v>
      </c>
      <c r="W1359">
        <v>0.19085851150996813</v>
      </c>
      <c r="X1359">
        <v>2.4611634445793191E-2</v>
      </c>
      <c r="Y1359">
        <v>1.0648183357956781E-2</v>
      </c>
    </row>
    <row r="1360" spans="1:25" x14ac:dyDescent="0.25">
      <c r="A1360" s="1093"/>
      <c r="B1360" s="1452">
        <v>1110</v>
      </c>
      <c r="C1360" s="1097">
        <v>0.9764921970031214</v>
      </c>
      <c r="D1360" s="1097">
        <v>0.99607970587006955</v>
      </c>
      <c r="E1360" s="1097">
        <v>0.96894127586763834</v>
      </c>
      <c r="F1360" s="1097">
        <v>1.0297578370468288</v>
      </c>
      <c r="G1360" s="1097">
        <v>0.97597148807134004</v>
      </c>
      <c r="H1360" s="1097">
        <v>0.97483968846641655</v>
      </c>
      <c r="I1360" s="1097">
        <v>0.97386665321968868</v>
      </c>
      <c r="K1360">
        <v>5.3192115568691971</v>
      </c>
      <c r="L1360">
        <v>0</v>
      </c>
      <c r="M1360">
        <v>3.9742110636372778E-3</v>
      </c>
      <c r="N1360">
        <v>0.31443455420454691</v>
      </c>
      <c r="O1360">
        <v>0.15764422664438052</v>
      </c>
      <c r="P1360">
        <v>2.0425034468749204E-2</v>
      </c>
      <c r="Q1360">
        <v>1.301600741006989E-3</v>
      </c>
      <c r="R1360">
        <v>3.9676414484594181E-3</v>
      </c>
      <c r="S1360">
        <v>0.46819390850165177</v>
      </c>
      <c r="T1360">
        <v>4.1182679971466287</v>
      </c>
      <c r="U1360">
        <v>0</v>
      </c>
      <c r="V1360">
        <v>1.130476720982381E-2</v>
      </c>
      <c r="W1360">
        <v>0.1913114464680287</v>
      </c>
      <c r="X1360">
        <v>2.5121733451117564E-2</v>
      </c>
      <c r="Y1360">
        <v>1.1212857648441151E-2</v>
      </c>
    </row>
    <row r="1361" spans="1:25" x14ac:dyDescent="0.25">
      <c r="A1361" s="1093"/>
      <c r="B1361" s="1452">
        <v>1111</v>
      </c>
      <c r="C1361" s="1097">
        <v>1.0026553484829099</v>
      </c>
      <c r="D1361" s="1097">
        <v>0.95493761086764761</v>
      </c>
      <c r="E1361" s="1097">
        <v>0.98170868719778792</v>
      </c>
      <c r="F1361" s="1097">
        <v>0.98342415294797814</v>
      </c>
      <c r="G1361" s="1097">
        <v>1.0326802551912715</v>
      </c>
      <c r="H1361" s="1097">
        <v>1.005671924593986</v>
      </c>
      <c r="I1361" s="1097">
        <v>1.0136210422279348</v>
      </c>
      <c r="K1361">
        <v>5.1112829583548898</v>
      </c>
      <c r="L1361">
        <v>0</v>
      </c>
      <c r="M1361">
        <v>3.7759466112139185E-3</v>
      </c>
      <c r="N1361">
        <v>0.31027987906671817</v>
      </c>
      <c r="O1361">
        <v>0.14876267393682208</v>
      </c>
      <c r="P1361">
        <v>1.9778255798453069E-2</v>
      </c>
      <c r="Q1361">
        <v>1.3036169963446479E-3</v>
      </c>
      <c r="R1361">
        <v>3.769611518316918E-3</v>
      </c>
      <c r="S1361">
        <v>0.46636143479937392</v>
      </c>
      <c r="T1361">
        <v>3.9313729728235676</v>
      </c>
      <c r="U1361">
        <v>0</v>
      </c>
      <c r="V1361">
        <v>1.1304767209823834E-2</v>
      </c>
      <c r="W1361">
        <v>0.18713422362332302</v>
      </c>
      <c r="X1361">
        <v>2.4338259246364482E-2</v>
      </c>
      <c r="Y1361">
        <v>1.0653209946988493E-2</v>
      </c>
    </row>
    <row r="1362" spans="1:25" x14ac:dyDescent="0.25">
      <c r="A1362" s="1093"/>
      <c r="B1362" s="1452">
        <v>1112</v>
      </c>
      <c r="C1362" s="1097">
        <v>1.0002482555973886</v>
      </c>
      <c r="D1362" s="1097">
        <v>0.99316609678184786</v>
      </c>
      <c r="E1362" s="1097">
        <v>1.0124048091046136</v>
      </c>
      <c r="F1362" s="1097">
        <v>0.96539370573751482</v>
      </c>
      <c r="G1362" s="1097">
        <v>0.99575631948799637</v>
      </c>
      <c r="H1362" s="1097">
        <v>1.0063165856423182</v>
      </c>
      <c r="I1362" s="1097">
        <v>1.0161970745999511</v>
      </c>
      <c r="K1362">
        <v>5.0155873827249975</v>
      </c>
      <c r="L1362">
        <v>0</v>
      </c>
      <c r="M1362">
        <v>3.4311923986847489E-3</v>
      </c>
      <c r="N1362">
        <v>0.30879343649025359</v>
      </c>
      <c r="O1362">
        <v>0.14327936164522034</v>
      </c>
      <c r="P1362">
        <v>1.9850913030123724E-2</v>
      </c>
      <c r="Q1362">
        <v>1.3207542309223205E-3</v>
      </c>
      <c r="R1362">
        <v>3.4253321421062141E-3</v>
      </c>
      <c r="S1362">
        <v>0.45796781757382515</v>
      </c>
      <c r="T1362">
        <v>3.8555680422102228</v>
      </c>
      <c r="U1362">
        <v>0</v>
      </c>
      <c r="V1362">
        <v>1.130476720982382E-2</v>
      </c>
      <c r="W1362">
        <v>0.18240605041228769</v>
      </c>
      <c r="X1362">
        <v>2.5421850033563939E-2</v>
      </c>
      <c r="Y1362">
        <v>9.6802501453300913E-3</v>
      </c>
    </row>
    <row r="1363" spans="1:25" x14ac:dyDescent="0.25">
      <c r="A1363" s="1093"/>
      <c r="B1363" s="1452">
        <v>1113</v>
      </c>
      <c r="C1363" s="1097">
        <v>1.0152241298802878</v>
      </c>
      <c r="D1363" s="1097">
        <v>0.99906600869350359</v>
      </c>
      <c r="E1363" s="1097">
        <v>1.0241817138741893</v>
      </c>
      <c r="F1363" s="1097">
        <v>1.0038435044828171</v>
      </c>
      <c r="G1363" s="1097">
        <v>1.0281437206337969</v>
      </c>
      <c r="H1363" s="1097">
        <v>0.97770020630706145</v>
      </c>
      <c r="I1363" s="1097">
        <v>1.0069117262898881</v>
      </c>
      <c r="K1363">
        <v>5.1706509040673678</v>
      </c>
      <c r="L1363">
        <v>0</v>
      </c>
      <c r="M1363">
        <v>3.3232640460962152E-3</v>
      </c>
      <c r="N1363">
        <v>0.30969153284382184</v>
      </c>
      <c r="O1363">
        <v>0.14611648330218768</v>
      </c>
      <c r="P1363">
        <v>2.0718329510663297E-2</v>
      </c>
      <c r="Q1363">
        <v>1.3112084814329008E-3</v>
      </c>
      <c r="R1363">
        <v>3.3176453909975539E-3</v>
      </c>
      <c r="S1363">
        <v>0.45604016146214632</v>
      </c>
      <c r="T1363">
        <v>4.0076564998900626</v>
      </c>
      <c r="U1363">
        <v>0</v>
      </c>
      <c r="V1363">
        <v>1.130476720982383E-2</v>
      </c>
      <c r="W1363">
        <v>0.18150399433978892</v>
      </c>
      <c r="X1363">
        <v>2.6937626517333061E-2</v>
      </c>
      <c r="Y1363">
        <v>9.3759191652024974E-3</v>
      </c>
    </row>
    <row r="1364" spans="1:25" x14ac:dyDescent="0.25">
      <c r="A1364" s="1093"/>
      <c r="B1364" s="1452">
        <v>1114</v>
      </c>
      <c r="C1364" s="1097">
        <v>0.99673175304642381</v>
      </c>
      <c r="D1364" s="1097">
        <v>0.97510184270067157</v>
      </c>
      <c r="E1364" s="1097">
        <v>0.96017370915011757</v>
      </c>
      <c r="F1364" s="1097">
        <v>1.0167440906657821</v>
      </c>
      <c r="G1364" s="1097">
        <v>1.0007880650649326</v>
      </c>
      <c r="H1364" s="1097">
        <v>1.0130264261384034</v>
      </c>
      <c r="I1364" s="1097">
        <v>1.0022008793630295</v>
      </c>
      <c r="K1364">
        <v>5.2757585421408111</v>
      </c>
      <c r="L1364">
        <v>0</v>
      </c>
      <c r="M1364">
        <v>4.1037972997741354E-3</v>
      </c>
      <c r="N1364">
        <v>0.31635282274962562</v>
      </c>
      <c r="O1364">
        <v>0.1540463829692266</v>
      </c>
      <c r="P1364">
        <v>2.0098993840572118E-2</v>
      </c>
      <c r="Q1364">
        <v>1.2762268871043376E-3</v>
      </c>
      <c r="R1364">
        <v>4.0971857720522621E-3</v>
      </c>
      <c r="S1364">
        <v>0.47635125454751903</v>
      </c>
      <c r="T1364">
        <v>4.0673604281815905</v>
      </c>
      <c r="U1364">
        <v>0</v>
      </c>
      <c r="V1364">
        <v>1.1304767209823815E-2</v>
      </c>
      <c r="W1364">
        <v>0.19365060460878775</v>
      </c>
      <c r="X1364">
        <v>2.3744712877125811E-2</v>
      </c>
      <c r="Y1364">
        <v>1.1578959797155763E-2</v>
      </c>
    </row>
    <row r="1365" spans="1:25" x14ac:dyDescent="0.25">
      <c r="A1365" s="1093"/>
      <c r="B1365" s="1452">
        <v>1115</v>
      </c>
      <c r="C1365" s="1097">
        <v>1.0092184222738432</v>
      </c>
      <c r="D1365" s="1097">
        <v>1.0175796991554185</v>
      </c>
      <c r="E1365" s="1097">
        <v>0.96563670328847573</v>
      </c>
      <c r="F1365" s="1097">
        <v>0.97668385244047629</v>
      </c>
      <c r="G1365" s="1097">
        <v>1.0290951312324077</v>
      </c>
      <c r="H1365" s="1097">
        <v>0.98757773061655718</v>
      </c>
      <c r="I1365" s="1097">
        <v>1.0284877741398091</v>
      </c>
      <c r="K1365">
        <v>5.038595604777476</v>
      </c>
      <c r="L1365">
        <v>0</v>
      </c>
      <c r="M1365">
        <v>3.6891518614453533E-3</v>
      </c>
      <c r="N1365">
        <v>0.28901074560503809</v>
      </c>
      <c r="O1365">
        <v>0.14352849975321835</v>
      </c>
      <c r="P1365">
        <v>1.9390113431559722E-2</v>
      </c>
      <c r="Q1365">
        <v>1.2450756162923522E-3</v>
      </c>
      <c r="R1365">
        <v>3.6828055625962438E-3</v>
      </c>
      <c r="S1365">
        <v>0.45816155249853896</v>
      </c>
      <c r="T1365">
        <v>3.9064228269889916</v>
      </c>
      <c r="U1365">
        <v>0</v>
      </c>
      <c r="V1365">
        <v>1.130476720982381E-2</v>
      </c>
      <c r="W1365">
        <v>0.17624488638986954</v>
      </c>
      <c r="X1365">
        <v>2.2885593894192147E-2</v>
      </c>
      <c r="Y1365">
        <v>1.0407889688800661E-2</v>
      </c>
    </row>
    <row r="1366" spans="1:25" x14ac:dyDescent="0.25">
      <c r="A1366" s="1093"/>
      <c r="B1366" s="1452">
        <v>1116</v>
      </c>
      <c r="C1366" s="1097">
        <v>1.0107256293127755</v>
      </c>
      <c r="D1366" s="1097">
        <v>0.98897658387861187</v>
      </c>
      <c r="E1366" s="1097">
        <v>0.97374969215638674</v>
      </c>
      <c r="F1366" s="1097">
        <v>0.9953640890621871</v>
      </c>
      <c r="G1366" s="1097">
        <v>1.0220765179600688</v>
      </c>
      <c r="H1366" s="1097">
        <v>1.0113618619056524</v>
      </c>
      <c r="I1366" s="1097">
        <v>0.9992989970120113</v>
      </c>
      <c r="K1366">
        <v>5.1459248633222856</v>
      </c>
      <c r="L1366">
        <v>0</v>
      </c>
      <c r="M1366">
        <v>3.8229286267347984E-3</v>
      </c>
      <c r="N1366">
        <v>0.30681614529347306</v>
      </c>
      <c r="O1366">
        <v>0.14750758822496432</v>
      </c>
      <c r="P1366">
        <v>1.9841210866030284E-2</v>
      </c>
      <c r="Q1366">
        <v>1.2664243680253608E-3</v>
      </c>
      <c r="R1366">
        <v>3.8166271726174507E-3</v>
      </c>
      <c r="S1366">
        <v>0.45852559738067877</v>
      </c>
      <c r="T1366">
        <v>3.9801095289916644</v>
      </c>
      <c r="U1366">
        <v>0</v>
      </c>
      <c r="V1366">
        <v>1.1304767209823827E-2</v>
      </c>
      <c r="W1366">
        <v>0.18605857102770751</v>
      </c>
      <c r="X1366">
        <v>2.3715251638514723E-2</v>
      </c>
      <c r="Y1366">
        <v>1.07860797755172E-2</v>
      </c>
    </row>
    <row r="1367" spans="1:25" x14ac:dyDescent="0.25">
      <c r="A1367" s="1093"/>
      <c r="B1367" s="1452">
        <v>1117</v>
      </c>
      <c r="C1367" s="1097">
        <v>0.97082787713108132</v>
      </c>
      <c r="D1367" s="1097">
        <v>1.0108681769744676</v>
      </c>
      <c r="E1367" s="1097">
        <v>0.97589217359956826</v>
      </c>
      <c r="F1367" s="1097">
        <v>1.0231213866509785</v>
      </c>
      <c r="G1367" s="1097">
        <v>1.0364917125029784</v>
      </c>
      <c r="H1367" s="1097">
        <v>1.0152907453975843</v>
      </c>
      <c r="I1367" s="1097">
        <v>0.99860130477608011</v>
      </c>
      <c r="K1367">
        <v>5.3292301983583608</v>
      </c>
      <c r="L1367">
        <v>0</v>
      </c>
      <c r="M1367">
        <v>4.0526723142197034E-3</v>
      </c>
      <c r="N1367">
        <v>0.3273465162154432</v>
      </c>
      <c r="O1367">
        <v>0.15641326974513048</v>
      </c>
      <c r="P1367">
        <v>2.0494668151450977E-2</v>
      </c>
      <c r="Q1367">
        <v>1.3094147964057318E-3</v>
      </c>
      <c r="R1367">
        <v>4.0461982549561638E-3</v>
      </c>
      <c r="S1367">
        <v>0.48685791965160191</v>
      </c>
      <c r="T1367">
        <v>4.0908227007487277</v>
      </c>
      <c r="U1367">
        <v>0</v>
      </c>
      <c r="V1367">
        <v>1.130476720982381E-2</v>
      </c>
      <c r="W1367">
        <v>0.19821633651879578</v>
      </c>
      <c r="X1367">
        <v>2.503621419911824E-2</v>
      </c>
      <c r="Y1367">
        <v>1.1434865181129407E-2</v>
      </c>
    </row>
    <row r="1368" spans="1:25" x14ac:dyDescent="0.25">
      <c r="A1368" s="1093"/>
      <c r="B1368" s="1452">
        <v>1118</v>
      </c>
      <c r="C1368" s="1097">
        <v>1.0046140484367769</v>
      </c>
      <c r="D1368" s="1097">
        <v>1.0139786097821146</v>
      </c>
      <c r="E1368" s="1097">
        <v>1.0400614224764426</v>
      </c>
      <c r="F1368" s="1097">
        <v>1.0254534572715488</v>
      </c>
      <c r="G1368" s="1097">
        <v>0.96525573084265315</v>
      </c>
      <c r="H1368" s="1097">
        <v>1.0026050853049506</v>
      </c>
      <c r="I1368" s="1097">
        <v>0.98724870512248719</v>
      </c>
      <c r="K1368">
        <v>5.2986071470349394</v>
      </c>
      <c r="L1368">
        <v>0</v>
      </c>
      <c r="M1368">
        <v>3.3815712488379137E-3</v>
      </c>
      <c r="N1368">
        <v>0.330294898807174</v>
      </c>
      <c r="O1368">
        <v>0.14949826586145396</v>
      </c>
      <c r="P1368">
        <v>2.1387067081490716E-2</v>
      </c>
      <c r="Q1368">
        <v>1.3349097878573939E-3</v>
      </c>
      <c r="R1368">
        <v>3.3761133301771712E-3</v>
      </c>
      <c r="S1368">
        <v>0.46337004462622217</v>
      </c>
      <c r="T1368">
        <v>4.0919167254761586</v>
      </c>
      <c r="U1368">
        <v>0</v>
      </c>
      <c r="V1368">
        <v>1.1304767209823822E-2</v>
      </c>
      <c r="W1368">
        <v>0.19155682686507938</v>
      </c>
      <c r="X1368">
        <v>2.8407945213199007E-2</v>
      </c>
      <c r="Y1368">
        <v>9.5411540251400823E-3</v>
      </c>
    </row>
    <row r="1369" spans="1:25" x14ac:dyDescent="0.25">
      <c r="A1369" s="1093"/>
      <c r="B1369" s="1452">
        <v>1119</v>
      </c>
      <c r="C1369" s="1097">
        <v>1.0127431425901499</v>
      </c>
      <c r="D1369" s="1097">
        <v>1.0114982029027968</v>
      </c>
      <c r="E1369" s="1097">
        <v>0.98335644110101594</v>
      </c>
      <c r="F1369" s="1097">
        <v>1.0155184427769681</v>
      </c>
      <c r="G1369" s="1097">
        <v>1.0317190627783928</v>
      </c>
      <c r="H1369" s="1097">
        <v>0.99909105606027859</v>
      </c>
      <c r="I1369" s="1097">
        <v>0.97430628267951591</v>
      </c>
      <c r="K1369">
        <v>5.2197701333419317</v>
      </c>
      <c r="L1369">
        <v>0</v>
      </c>
      <c r="M1369">
        <v>3.7346661544808133E-3</v>
      </c>
      <c r="N1369">
        <v>0.30840470929097347</v>
      </c>
      <c r="O1369">
        <v>0.14858107660952755</v>
      </c>
      <c r="P1369">
        <v>2.0302461680027591E-2</v>
      </c>
      <c r="Q1369">
        <v>1.2630673193407594E-3</v>
      </c>
      <c r="R1369">
        <v>3.7285580508359603E-3</v>
      </c>
      <c r="S1369">
        <v>0.44949459391968061</v>
      </c>
      <c r="T1369">
        <v>4.0594624874945904</v>
      </c>
      <c r="U1369">
        <v>0</v>
      </c>
      <c r="V1369">
        <v>1.1304767209823804E-2</v>
      </c>
      <c r="W1369">
        <v>0.18579377780441772</v>
      </c>
      <c r="X1369">
        <v>2.4632110403594715E-2</v>
      </c>
      <c r="Y1369">
        <v>1.0537189713603333E-2</v>
      </c>
    </row>
    <row r="1370" spans="1:25" x14ac:dyDescent="0.25">
      <c r="A1370" s="1093"/>
      <c r="B1370" s="1452">
        <v>1120</v>
      </c>
      <c r="C1370" s="1097">
        <v>0.99344395814331332</v>
      </c>
      <c r="D1370" s="1097">
        <v>1.0299980613659916</v>
      </c>
      <c r="E1370" s="1097">
        <v>1.0093515430799918</v>
      </c>
      <c r="F1370" s="1097">
        <v>0.96107010632173018</v>
      </c>
      <c r="G1370" s="1097">
        <v>0.98224890752753236</v>
      </c>
      <c r="H1370" s="1097">
        <v>0.98922700451802792</v>
      </c>
      <c r="I1370" s="1097">
        <v>0.99604319126311558</v>
      </c>
      <c r="K1370">
        <v>4.9671815029060831</v>
      </c>
      <c r="L1370">
        <v>0</v>
      </c>
      <c r="M1370">
        <v>3.3534833705294019E-3</v>
      </c>
      <c r="N1370">
        <v>0.29907295446116972</v>
      </c>
      <c r="O1370">
        <v>0.14161920348899662</v>
      </c>
      <c r="P1370">
        <v>1.9664702100653166E-2</v>
      </c>
      <c r="Q1370">
        <v>1.3071698582115721E-3</v>
      </c>
      <c r="R1370">
        <v>3.347630722322509E-3</v>
      </c>
      <c r="S1370">
        <v>0.44397272245225211</v>
      </c>
      <c r="T1370">
        <v>3.8386670809703962</v>
      </c>
      <c r="U1370">
        <v>0</v>
      </c>
      <c r="V1370">
        <v>1.1304767209823822E-2</v>
      </c>
      <c r="W1370">
        <v>0.17702636794685167</v>
      </c>
      <c r="X1370">
        <v>2.5091727065131214E-2</v>
      </c>
      <c r="Y1370">
        <v>9.4606600007985722E-3</v>
      </c>
    </row>
    <row r="1371" spans="1:25" x14ac:dyDescent="0.25">
      <c r="A1371" s="1093"/>
      <c r="B1371" s="1452">
        <v>1121</v>
      </c>
      <c r="C1371" s="1097">
        <v>1.0026472126994719</v>
      </c>
      <c r="D1371" s="1097">
        <v>1.033834299635336</v>
      </c>
      <c r="E1371" s="1097">
        <v>1.0098665882550748</v>
      </c>
      <c r="F1371" s="1097">
        <v>1.0107517800846884</v>
      </c>
      <c r="G1371" s="1097">
        <v>1.0069408949762533</v>
      </c>
      <c r="H1371" s="1097">
        <v>0.95855846123833566</v>
      </c>
      <c r="I1371" s="1097">
        <v>0.98708313792848368</v>
      </c>
      <c r="K1371">
        <v>5.1824050732629567</v>
      </c>
      <c r="L1371">
        <v>0</v>
      </c>
      <c r="M1371">
        <v>3.3771398493284283E-3</v>
      </c>
      <c r="N1371">
        <v>0.30165218543787425</v>
      </c>
      <c r="O1371">
        <v>0.14733942265023534</v>
      </c>
      <c r="P1371">
        <v>2.0603006886044248E-2</v>
      </c>
      <c r="Q1371">
        <v>1.2938143675101333E-3</v>
      </c>
      <c r="R1371">
        <v>3.3713558254551967E-3</v>
      </c>
      <c r="S1371">
        <v>0.44878060164001105</v>
      </c>
      <c r="T1371">
        <v>4.0370385342786319</v>
      </c>
      <c r="U1371">
        <v>0</v>
      </c>
      <c r="V1371">
        <v>1.1304767209823824E-2</v>
      </c>
      <c r="W1371">
        <v>0.17849131740065552</v>
      </c>
      <c r="X1371">
        <v>2.6379498462463659E-2</v>
      </c>
      <c r="Y1371">
        <v>9.5277089535774784E-3</v>
      </c>
    </row>
    <row r="1372" spans="1:25" x14ac:dyDescent="0.25">
      <c r="A1372" s="1093"/>
      <c r="B1372" s="1452">
        <v>1122</v>
      </c>
      <c r="C1372" s="1097">
        <v>1.0026399114225251</v>
      </c>
      <c r="D1372" s="1097">
        <v>0.99701049419317644</v>
      </c>
      <c r="E1372" s="1097">
        <v>1.0204981448762918</v>
      </c>
      <c r="F1372" s="1097">
        <v>0.99894638226707833</v>
      </c>
      <c r="G1372" s="1097">
        <v>1.0023422160538047</v>
      </c>
      <c r="H1372" s="1097">
        <v>0.98585011992848093</v>
      </c>
      <c r="I1372" s="1097">
        <v>0.96810144524436137</v>
      </c>
      <c r="K1372">
        <v>5.1477337141835742</v>
      </c>
      <c r="L1372">
        <v>0</v>
      </c>
      <c r="M1372">
        <v>3.405688278390447E-3</v>
      </c>
      <c r="N1372">
        <v>0.31393497868442732</v>
      </c>
      <c r="O1372">
        <v>0.14745229054743406</v>
      </c>
      <c r="P1372">
        <v>2.0517956188355078E-2</v>
      </c>
      <c r="Q1372">
        <v>1.324630479771488E-3</v>
      </c>
      <c r="R1372">
        <v>3.3999499215947638E-3</v>
      </c>
      <c r="S1372">
        <v>0.44380546424595774</v>
      </c>
      <c r="T1372">
        <v>3.9885627840950599</v>
      </c>
      <c r="U1372">
        <v>0</v>
      </c>
      <c r="V1372">
        <v>1.1304767209823813E-2</v>
      </c>
      <c r="W1372">
        <v>0.18444274413902831</v>
      </c>
      <c r="X1372">
        <v>2.6785318898185761E-2</v>
      </c>
      <c r="Y1372">
        <v>9.6085180523238656E-3</v>
      </c>
    </row>
    <row r="1373" spans="1:25" x14ac:dyDescent="0.25">
      <c r="A1373" s="1093"/>
      <c r="B1373" s="1452">
        <v>1123</v>
      </c>
      <c r="C1373" s="1097">
        <v>1.0006494083474</v>
      </c>
      <c r="D1373" s="1097">
        <v>1.0014804663227264</v>
      </c>
      <c r="E1373" s="1097">
        <v>0.99458103429476663</v>
      </c>
      <c r="F1373" s="1097">
        <v>1.0436237877813346</v>
      </c>
      <c r="G1373" s="1097">
        <v>1.0281711913562626</v>
      </c>
      <c r="H1373" s="1097">
        <v>1.0026453980677037</v>
      </c>
      <c r="I1373" s="1097">
        <v>0.99073418856296269</v>
      </c>
      <c r="K1373">
        <v>5.3923039900082657</v>
      </c>
      <c r="L1373">
        <v>0</v>
      </c>
      <c r="M1373">
        <v>3.822339449257247E-3</v>
      </c>
      <c r="N1373">
        <v>0.32634401574350802</v>
      </c>
      <c r="O1373">
        <v>0.15482952972425162</v>
      </c>
      <c r="P1373">
        <v>2.1092337212040881E-2</v>
      </c>
      <c r="Q1373">
        <v>1.2959260824032103E-3</v>
      </c>
      <c r="R1373">
        <v>3.8162776084366685E-3</v>
      </c>
      <c r="S1373">
        <v>0.47495583869250113</v>
      </c>
      <c r="T1373">
        <v>4.1703332215620152</v>
      </c>
      <c r="U1373">
        <v>0</v>
      </c>
      <c r="V1373">
        <v>1.1304767209823825E-2</v>
      </c>
      <c r="W1373">
        <v>0.19510404863912317</v>
      </c>
      <c r="X1373">
        <v>2.6265275102963965E-2</v>
      </c>
      <c r="Y1373">
        <v>1.0785091880454342E-2</v>
      </c>
    </row>
    <row r="1374" spans="1:25" x14ac:dyDescent="0.25">
      <c r="A1374" s="1093"/>
      <c r="B1374" s="1452">
        <v>1124</v>
      </c>
      <c r="C1374" s="1097">
        <v>0.99950791010257722</v>
      </c>
      <c r="D1374" s="1097">
        <v>1.0395145546723115</v>
      </c>
      <c r="E1374" s="1097">
        <v>0.98658838965656104</v>
      </c>
      <c r="F1374" s="1097">
        <v>0.97613121060787811</v>
      </c>
      <c r="G1374" s="1097">
        <v>1.005416403835566</v>
      </c>
      <c r="H1374" s="1097">
        <v>0.98621645106678213</v>
      </c>
      <c r="I1374" s="1097">
        <v>0.97340631254662413</v>
      </c>
      <c r="K1374">
        <v>5.0172409472554147</v>
      </c>
      <c r="L1374">
        <v>0</v>
      </c>
      <c r="M1374">
        <v>3.5276532207550531E-3</v>
      </c>
      <c r="N1374">
        <v>0.29409001527051076</v>
      </c>
      <c r="O1374">
        <v>0.14305015210821695</v>
      </c>
      <c r="P1374">
        <v>1.9578804931396999E-2</v>
      </c>
      <c r="Q1374">
        <v>1.2694275234280479E-3</v>
      </c>
      <c r="R1374">
        <v>3.5215729305423061E-3</v>
      </c>
      <c r="S1374">
        <v>0.43558606757738433</v>
      </c>
      <c r="T1374">
        <v>3.9016159500334284</v>
      </c>
      <c r="U1374">
        <v>0</v>
      </c>
      <c r="V1374">
        <v>1.1304767209823834E-2</v>
      </c>
      <c r="W1374">
        <v>0.17677955416542931</v>
      </c>
      <c r="X1374">
        <v>2.4020054764915751E-2</v>
      </c>
      <c r="Y1374">
        <v>9.9522339610870932E-3</v>
      </c>
    </row>
    <row r="1375" spans="1:25" x14ac:dyDescent="0.25">
      <c r="A1375" s="1093"/>
      <c r="B1375" s="1452">
        <v>1125</v>
      </c>
      <c r="C1375" s="1097">
        <v>0.99584384177132412</v>
      </c>
      <c r="D1375" s="1097">
        <v>0.97982326476425985</v>
      </c>
      <c r="E1375" s="1097">
        <v>1.0044558059201383</v>
      </c>
      <c r="F1375" s="1097">
        <v>1.044442298336792</v>
      </c>
      <c r="G1375" s="1097">
        <v>1.0073568886497064</v>
      </c>
      <c r="H1375" s="1097">
        <v>1.0103674045637143</v>
      </c>
      <c r="I1375" s="1097">
        <v>0.99622792801450966</v>
      </c>
      <c r="K1375">
        <v>5.4209489243515918</v>
      </c>
      <c r="L1375">
        <v>0</v>
      </c>
      <c r="M1375">
        <v>3.827004904572176E-3</v>
      </c>
      <c r="N1375">
        <v>0.33644844249201816</v>
      </c>
      <c r="O1375">
        <v>0.15677561576119234</v>
      </c>
      <c r="P1375">
        <v>2.1297552703465273E-2</v>
      </c>
      <c r="Q1375">
        <v>1.3247849586158916E-3</v>
      </c>
      <c r="R1375">
        <v>3.8209867631257581E-3</v>
      </c>
      <c r="S1375">
        <v>0.4837780778996385</v>
      </c>
      <c r="T1375">
        <v>4.1723087999278663</v>
      </c>
      <c r="U1375">
        <v>0</v>
      </c>
      <c r="V1375">
        <v>1.1304767209823822E-2</v>
      </c>
      <c r="W1375">
        <v>0.19980652617846853</v>
      </c>
      <c r="X1375">
        <v>2.7111975050812729E-2</v>
      </c>
      <c r="Y1375">
        <v>1.0798400311132664E-2</v>
      </c>
    </row>
    <row r="1376" spans="1:25" x14ac:dyDescent="0.25">
      <c r="A1376" s="1093"/>
      <c r="B1376" s="1452">
        <v>1126</v>
      </c>
      <c r="C1376" s="1097">
        <v>0.96284831583097463</v>
      </c>
      <c r="D1376" s="1097">
        <v>0.99533457509281531</v>
      </c>
      <c r="E1376" s="1097">
        <v>1.0118522521910274</v>
      </c>
      <c r="F1376" s="1097">
        <v>1.0207702224055952</v>
      </c>
      <c r="G1376" s="1097">
        <v>0.97295401911382229</v>
      </c>
      <c r="H1376" s="1097">
        <v>1.018992167249912</v>
      </c>
      <c r="I1376" s="1097">
        <v>0.9806234869616488</v>
      </c>
      <c r="K1376">
        <v>5.3349404945371566</v>
      </c>
      <c r="L1376">
        <v>0</v>
      </c>
      <c r="M1376">
        <v>3.8171714978698103E-3</v>
      </c>
      <c r="N1376">
        <v>0.34300721311944837</v>
      </c>
      <c r="O1376">
        <v>0.15726183454879999</v>
      </c>
      <c r="P1376">
        <v>2.0974096624753739E-2</v>
      </c>
      <c r="Q1376">
        <v>1.3702158019556451E-3</v>
      </c>
      <c r="R1376">
        <v>3.8110818247212045E-3</v>
      </c>
      <c r="S1376">
        <v>0.48330260477158482</v>
      </c>
      <c r="T1376">
        <v>4.0767999617132498</v>
      </c>
      <c r="U1376">
        <v>0</v>
      </c>
      <c r="V1376">
        <v>1.130476720982381E-2</v>
      </c>
      <c r="W1376">
        <v>0.20269138766829106</v>
      </c>
      <c r="X1376">
        <v>2.7464094553402801E-2</v>
      </c>
      <c r="Y1376">
        <v>1.0770408198995125E-2</v>
      </c>
    </row>
    <row r="1377" spans="1:25" x14ac:dyDescent="0.25">
      <c r="A1377" s="1093"/>
      <c r="B1377" s="1452">
        <v>1127</v>
      </c>
      <c r="C1377" s="1097">
        <v>1.0354338414792403</v>
      </c>
      <c r="D1377" s="1097">
        <v>0.99430101427245765</v>
      </c>
      <c r="E1377" s="1097">
        <v>1.0222387792572583</v>
      </c>
      <c r="F1377" s="1097">
        <v>0.96524980741328781</v>
      </c>
      <c r="G1377" s="1097">
        <v>0.99640803428194757</v>
      </c>
      <c r="H1377" s="1097">
        <v>0.99178831219961539</v>
      </c>
      <c r="I1377" s="1097">
        <v>0.98814666097202453</v>
      </c>
      <c r="K1377">
        <v>4.9563644353632155</v>
      </c>
      <c r="L1377">
        <v>0</v>
      </c>
      <c r="M1377">
        <v>3.1976720556041007E-3</v>
      </c>
      <c r="N1377">
        <v>0.29626751658610911</v>
      </c>
      <c r="O1377">
        <v>0.1380708610625998</v>
      </c>
      <c r="P1377">
        <v>1.984585735833946E-2</v>
      </c>
      <c r="Q1377">
        <v>1.2859653181873584E-3</v>
      </c>
      <c r="R1377">
        <v>3.192129810170875E-3</v>
      </c>
      <c r="S1377">
        <v>0.42752805241114072</v>
      </c>
      <c r="T1377">
        <v>3.8538113030373125</v>
      </c>
      <c r="U1377">
        <v>0</v>
      </c>
      <c r="V1377">
        <v>1.1304767209823813E-2</v>
      </c>
      <c r="W1377">
        <v>0.17386105621350606</v>
      </c>
      <c r="X1377">
        <v>2.5373395860504324E-2</v>
      </c>
      <c r="Y1377">
        <v>9.0212025511250231E-3</v>
      </c>
    </row>
    <row r="1378" spans="1:25" x14ac:dyDescent="0.25">
      <c r="A1378" s="1093"/>
      <c r="B1378" s="1452">
        <v>1128</v>
      </c>
      <c r="C1378" s="1097">
        <v>0.96780385350308729</v>
      </c>
      <c r="D1378" s="1097">
        <v>0.99478205488102855</v>
      </c>
      <c r="E1378" s="1097">
        <v>0.99172853168809882</v>
      </c>
      <c r="F1378" s="1097">
        <v>0.98528643769553281</v>
      </c>
      <c r="G1378" s="1097">
        <v>1.0039353108810376</v>
      </c>
      <c r="H1378" s="1097">
        <v>0.99663033113304489</v>
      </c>
      <c r="I1378" s="1097">
        <v>0.99589722828435889</v>
      </c>
      <c r="K1378">
        <v>5.1340146126088877</v>
      </c>
      <c r="L1378">
        <v>0</v>
      </c>
      <c r="M1378">
        <v>3.7414670819861614E-3</v>
      </c>
      <c r="N1378">
        <v>0.31671649570038518</v>
      </c>
      <c r="O1378">
        <v>0.15162289571558665</v>
      </c>
      <c r="P1378">
        <v>1.9972048550645344E-2</v>
      </c>
      <c r="Q1378">
        <v>1.3402144381966558E-3</v>
      </c>
      <c r="R1378">
        <v>3.735144840975555E-3</v>
      </c>
      <c r="S1378">
        <v>0.4698292814261486</v>
      </c>
      <c r="T1378">
        <v>3.9375704739394926</v>
      </c>
      <c r="U1378">
        <v>0</v>
      </c>
      <c r="V1378">
        <v>1.1304767209823813E-2</v>
      </c>
      <c r="W1378">
        <v>0.18971536423315491</v>
      </c>
      <c r="X1378">
        <v>2.5393589151046815E-2</v>
      </c>
      <c r="Y1378">
        <v>1.0555804485415468E-2</v>
      </c>
    </row>
    <row r="1379" spans="1:25" x14ac:dyDescent="0.25">
      <c r="A1379" s="1093"/>
      <c r="B1379" s="1452">
        <v>1129</v>
      </c>
      <c r="C1379" s="1097">
        <v>1.0307450526059219</v>
      </c>
      <c r="D1379" s="1097">
        <v>1.0061946653867391</v>
      </c>
      <c r="E1379" s="1097">
        <v>0.97872987093180774</v>
      </c>
      <c r="F1379" s="1097">
        <v>0.97465489940829564</v>
      </c>
      <c r="G1379" s="1097">
        <v>1.0237129223130843</v>
      </c>
      <c r="H1379" s="1097">
        <v>1.0127093631637436</v>
      </c>
      <c r="I1379" s="1097">
        <v>1.0044286490233747</v>
      </c>
      <c r="K1379">
        <v>5.0172869680311987</v>
      </c>
      <c r="L1379">
        <v>0</v>
      </c>
      <c r="M1379">
        <v>3.612472172023574E-3</v>
      </c>
      <c r="N1379">
        <v>0.29423347407971812</v>
      </c>
      <c r="O1379">
        <v>0.14052811947852911</v>
      </c>
      <c r="P1379">
        <v>1.9472702089506907E-2</v>
      </c>
      <c r="Q1379">
        <v>1.2386392172107769E-3</v>
      </c>
      <c r="R1379">
        <v>3.6063994058286924E-3</v>
      </c>
      <c r="S1379">
        <v>0.44276663794715881</v>
      </c>
      <c r="T1379">
        <v>3.8966845794587468</v>
      </c>
      <c r="U1379">
        <v>0</v>
      </c>
      <c r="V1379">
        <v>1.1304767209823811E-2</v>
      </c>
      <c r="W1379">
        <v>0.17781889094804845</v>
      </c>
      <c r="X1379">
        <v>2.3053270312209773E-2</v>
      </c>
      <c r="Y1379">
        <v>1.0191960056441447E-2</v>
      </c>
    </row>
    <row r="1380" spans="1:25" x14ac:dyDescent="0.25">
      <c r="A1380" s="1093"/>
      <c r="B1380" s="1452">
        <v>1130</v>
      </c>
      <c r="C1380" s="1097">
        <v>0.98525161243710169</v>
      </c>
      <c r="D1380" s="1097">
        <v>1.0184698123143399</v>
      </c>
      <c r="E1380" s="1097">
        <v>1.0147840488445132</v>
      </c>
      <c r="F1380" s="1097">
        <v>1.0204583816284678</v>
      </c>
      <c r="G1380" s="1097">
        <v>0.99486855577014055</v>
      </c>
      <c r="H1380" s="1097">
        <v>1.0121356244549591</v>
      </c>
      <c r="I1380" s="1097">
        <v>0.95925298133162185</v>
      </c>
      <c r="K1380">
        <v>5.282338354567881</v>
      </c>
      <c r="L1380">
        <v>0</v>
      </c>
      <c r="M1380">
        <v>3.6476173044911429E-3</v>
      </c>
      <c r="N1380">
        <v>0.33062435869363671</v>
      </c>
      <c r="O1380">
        <v>0.1521494032792407</v>
      </c>
      <c r="P1380">
        <v>2.0898233929221008E-2</v>
      </c>
      <c r="Q1380">
        <v>1.3301177656269395E-3</v>
      </c>
      <c r="R1380">
        <v>3.6417569188921476E-3</v>
      </c>
      <c r="S1380">
        <v>0.45856563010126505</v>
      </c>
      <c r="T1380">
        <v>4.0751812490947588</v>
      </c>
      <c r="U1380">
        <v>0</v>
      </c>
      <c r="V1380">
        <v>1.1304767209823825E-2</v>
      </c>
      <c r="W1380">
        <v>0.19499076934499265</v>
      </c>
      <c r="X1380">
        <v>2.7007802447132891E-2</v>
      </c>
      <c r="Y1380">
        <v>1.0291883087777192E-2</v>
      </c>
    </row>
    <row r="1381" spans="1:25" x14ac:dyDescent="0.25">
      <c r="A1381" s="1093"/>
      <c r="B1381" s="1452">
        <v>1131</v>
      </c>
      <c r="C1381" s="1097">
        <v>1.0120221659648614</v>
      </c>
      <c r="D1381" s="1097">
        <v>0.972308186070035</v>
      </c>
      <c r="E1381" s="1097">
        <v>1.0056370488369968</v>
      </c>
      <c r="F1381" s="1097">
        <v>0.97751812936279692</v>
      </c>
      <c r="G1381" s="1097">
        <v>1.0160201940551943</v>
      </c>
      <c r="H1381" s="1097">
        <v>1.0153715664874974</v>
      </c>
      <c r="I1381" s="1097">
        <v>1.0005027719844994</v>
      </c>
      <c r="K1381">
        <v>5.0694858793378677</v>
      </c>
      <c r="L1381">
        <v>0</v>
      </c>
      <c r="M1381">
        <v>3.5444580233579982E-3</v>
      </c>
      <c r="N1381">
        <v>0.31266958896899705</v>
      </c>
      <c r="O1381">
        <v>0.14479757709716126</v>
      </c>
      <c r="P1381">
        <v>1.9958121973057838E-2</v>
      </c>
      <c r="Q1381">
        <v>1.308947964488754E-3</v>
      </c>
      <c r="R1381">
        <v>3.5385325925547341E-3</v>
      </c>
      <c r="S1381">
        <v>0.45389757691812299</v>
      </c>
      <c r="T1381">
        <v>3.9048173768191794</v>
      </c>
      <c r="U1381">
        <v>0</v>
      </c>
      <c r="V1381">
        <v>1.1304767209823808E-2</v>
      </c>
      <c r="W1381">
        <v>0.18553730578165992</v>
      </c>
      <c r="X1381">
        <v>2.5200378775436075E-2</v>
      </c>
      <c r="Y1381">
        <v>1.0000163260743157E-2</v>
      </c>
    </row>
    <row r="1382" spans="1:25" x14ac:dyDescent="0.25">
      <c r="A1382" s="1093"/>
      <c r="B1382" s="1452">
        <v>1132</v>
      </c>
      <c r="C1382" s="1097">
        <v>1.0051225764624929</v>
      </c>
      <c r="D1382" s="1097">
        <v>1.027205636104672</v>
      </c>
      <c r="E1382" s="1097">
        <v>1.0316300887397072</v>
      </c>
      <c r="F1382" s="1097">
        <v>0.96543233569466957</v>
      </c>
      <c r="G1382" s="1097">
        <v>0.97726244837531917</v>
      </c>
      <c r="H1382" s="1097">
        <v>0.98021337709722944</v>
      </c>
      <c r="I1382" s="1097">
        <v>1.0019180392270421</v>
      </c>
      <c r="K1382">
        <v>4.9783549407350298</v>
      </c>
      <c r="L1382">
        <v>0</v>
      </c>
      <c r="M1382">
        <v>3.1509437486956552E-3</v>
      </c>
      <c r="N1382">
        <v>0.30015298434918886</v>
      </c>
      <c r="O1382">
        <v>0.14017240199444786</v>
      </c>
      <c r="P1382">
        <v>2.0046150581343302E-2</v>
      </c>
      <c r="Q1382">
        <v>1.3179927759075273E-3</v>
      </c>
      <c r="R1382">
        <v>3.1454190465647555E-3</v>
      </c>
      <c r="S1382">
        <v>0.44170072228527801</v>
      </c>
      <c r="T1382">
        <v>3.8534161912967035</v>
      </c>
      <c r="U1382">
        <v>0</v>
      </c>
      <c r="V1382">
        <v>1.1304767209823822E-2</v>
      </c>
      <c r="W1382">
        <v>0.17504675856843741</v>
      </c>
      <c r="X1382">
        <v>2.631330200905254E-2</v>
      </c>
      <c r="Y1382">
        <v>8.8891943669760342E-3</v>
      </c>
    </row>
    <row r="1383" spans="1:25" x14ac:dyDescent="0.25">
      <c r="A1383" s="1093"/>
      <c r="B1383" s="1452">
        <v>1133</v>
      </c>
      <c r="C1383" s="1097">
        <v>1.0058487983590649</v>
      </c>
      <c r="D1383" s="1097">
        <v>0.99629102205241016</v>
      </c>
      <c r="E1383" s="1097">
        <v>1.0137600084271767</v>
      </c>
      <c r="F1383" s="1097">
        <v>1.0145454427890619</v>
      </c>
      <c r="G1383" s="1097">
        <v>0.99971848634947824</v>
      </c>
      <c r="H1383" s="1097">
        <v>1.0411355966863687</v>
      </c>
      <c r="I1383" s="1097">
        <v>0.96349535936696729</v>
      </c>
      <c r="K1383">
        <v>5.2584329890052359</v>
      </c>
      <c r="L1383">
        <v>0</v>
      </c>
      <c r="M1383">
        <v>3.6943329755586198E-3</v>
      </c>
      <c r="N1383">
        <v>0.33385723108633913</v>
      </c>
      <c r="O1383">
        <v>0.1495096948293532</v>
      </c>
      <c r="P1383">
        <v>2.0763628875308096E-2</v>
      </c>
      <c r="Q1383">
        <v>1.3132627132515762E-3</v>
      </c>
      <c r="R1383">
        <v>3.6885292875996922E-3</v>
      </c>
      <c r="S1383">
        <v>0.45618007885119677</v>
      </c>
      <c r="T1383">
        <v>4.0516976034401537</v>
      </c>
      <c r="U1383">
        <v>0</v>
      </c>
      <c r="V1383">
        <v>1.1304767209823801E-2</v>
      </c>
      <c r="W1383">
        <v>0.19703241767657051</v>
      </c>
      <c r="X1383">
        <v>2.6356042638557068E-2</v>
      </c>
      <c r="Y1383">
        <v>1.0424065372646138E-2</v>
      </c>
    </row>
    <row r="1384" spans="1:25" x14ac:dyDescent="0.25">
      <c r="A1384" s="1093"/>
      <c r="B1384" s="1452">
        <v>1134</v>
      </c>
      <c r="C1384" s="1097">
        <v>1.0390072961877292</v>
      </c>
      <c r="D1384" s="1097">
        <v>0.96210303882308201</v>
      </c>
      <c r="E1384" s="1097">
        <v>0.97556831440574787</v>
      </c>
      <c r="F1384" s="1097">
        <v>0.96067877316502781</v>
      </c>
      <c r="G1384" s="1097">
        <v>1.0069617396570401</v>
      </c>
      <c r="H1384" s="1097">
        <v>1.04334387458952</v>
      </c>
      <c r="I1384" s="1097">
        <v>0.98873160263824311</v>
      </c>
      <c r="K1384">
        <v>4.9655330338360182</v>
      </c>
      <c r="L1384">
        <v>0</v>
      </c>
      <c r="M1384">
        <v>3.7297801421938828E-3</v>
      </c>
      <c r="N1384">
        <v>0.30095861601952489</v>
      </c>
      <c r="O1384">
        <v>0.13997925875119924</v>
      </c>
      <c r="P1384">
        <v>1.9149878115180746E-2</v>
      </c>
      <c r="Q1384">
        <v>1.2475778010259495E-3</v>
      </c>
      <c r="R1384">
        <v>3.7236058872665251E-3</v>
      </c>
      <c r="S1384">
        <v>0.43643854375745972</v>
      </c>
      <c r="T1384">
        <v>3.8411932394989359</v>
      </c>
      <c r="U1384">
        <v>0</v>
      </c>
      <c r="V1384">
        <v>1.1304767209823813E-2</v>
      </c>
      <c r="W1384">
        <v>0.18227837490840851</v>
      </c>
      <c r="X1384">
        <v>2.2465757508108593E-2</v>
      </c>
      <c r="Y1384">
        <v>1.0523194521276308E-2</v>
      </c>
    </row>
    <row r="1385" spans="1:25" x14ac:dyDescent="0.25">
      <c r="A1385" s="1093"/>
      <c r="B1385" s="1452">
        <v>1135</v>
      </c>
      <c r="C1385" s="1097">
        <v>1.0041420453111995</v>
      </c>
      <c r="D1385" s="1097">
        <v>1.0240949597120961</v>
      </c>
      <c r="E1385" s="1097">
        <v>0.9984410087153327</v>
      </c>
      <c r="F1385" s="1097">
        <v>1.0026547191317632</v>
      </c>
      <c r="G1385" s="1097">
        <v>0.99962839637779466</v>
      </c>
      <c r="H1385" s="1097">
        <v>1.0118151173950882</v>
      </c>
      <c r="I1385" s="1097">
        <v>0.97430761910393704</v>
      </c>
      <c r="K1385">
        <v>5.1714721612238135</v>
      </c>
      <c r="L1385">
        <v>0</v>
      </c>
      <c r="M1385">
        <v>3.6307637594048332E-3</v>
      </c>
      <c r="N1385">
        <v>0.31353862637396757</v>
      </c>
      <c r="O1385">
        <v>0.14680968219259244</v>
      </c>
      <c r="P1385">
        <v>2.0292856245514926E-2</v>
      </c>
      <c r="Q1385">
        <v>1.2841856581737377E-3</v>
      </c>
      <c r="R1385">
        <v>3.6248251628862487E-3</v>
      </c>
      <c r="S1385">
        <v>0.44973918082131364</v>
      </c>
      <c r="T1385">
        <v>4.0061336149936686</v>
      </c>
      <c r="U1385">
        <v>0</v>
      </c>
      <c r="V1385">
        <v>1.1304767209823804E-2</v>
      </c>
      <c r="W1385">
        <v>0.18695882945202752</v>
      </c>
      <c r="X1385">
        <v>2.5172324220623536E-2</v>
      </c>
      <c r="Y1385">
        <v>1.0244032652626099E-2</v>
      </c>
    </row>
    <row r="1386" spans="1:25" x14ac:dyDescent="0.25">
      <c r="A1386" s="1093"/>
      <c r="B1386" s="1452">
        <v>1136</v>
      </c>
      <c r="C1386" s="1097">
        <v>0.96447552561451411</v>
      </c>
      <c r="D1386" s="1097">
        <v>0.98987130544464041</v>
      </c>
      <c r="E1386" s="1097">
        <v>1.0005577585939442</v>
      </c>
      <c r="F1386" s="1097">
        <v>0.96550398456108122</v>
      </c>
      <c r="G1386" s="1097">
        <v>0.98150537108450697</v>
      </c>
      <c r="H1386" s="1097">
        <v>1.0351625831688989</v>
      </c>
      <c r="I1386" s="1097">
        <v>1.0353128447657149</v>
      </c>
      <c r="K1386">
        <v>5.085883767590424</v>
      </c>
      <c r="L1386">
        <v>0</v>
      </c>
      <c r="M1386">
        <v>3.7584470561492791E-3</v>
      </c>
      <c r="N1386">
        <v>0.32659893284148944</v>
      </c>
      <c r="O1386">
        <v>0.14913977505439027</v>
      </c>
      <c r="P1386">
        <v>1.9831116825004085E-2</v>
      </c>
      <c r="Q1386">
        <v>1.3577645551180533E-3</v>
      </c>
      <c r="R1386">
        <v>3.7522074591644656E-3</v>
      </c>
      <c r="S1386">
        <v>0.48988287669028197</v>
      </c>
      <c r="T1386">
        <v>3.8574402093691829</v>
      </c>
      <c r="U1386">
        <v>0</v>
      </c>
      <c r="V1386">
        <v>1.1304767209823817E-2</v>
      </c>
      <c r="W1386">
        <v>0.19446800226397745</v>
      </c>
      <c r="X1386">
        <v>2.5262537631051393E-2</v>
      </c>
      <c r="Y1386">
        <v>1.0604024747086603E-2</v>
      </c>
    </row>
    <row r="1387" spans="1:25" x14ac:dyDescent="0.25">
      <c r="A1387" s="1093"/>
      <c r="B1387" s="1452">
        <v>1137</v>
      </c>
      <c r="C1387" s="1097">
        <v>1.001552503729993</v>
      </c>
      <c r="D1387" s="1097">
        <v>1.0003650670496644</v>
      </c>
      <c r="E1387" s="1097">
        <v>0.98472427325261735</v>
      </c>
      <c r="F1387" s="1097">
        <v>0.96735889476658421</v>
      </c>
      <c r="G1387" s="1097">
        <v>0.9864031262241203</v>
      </c>
      <c r="H1387" s="1097">
        <v>0.9993369416875908</v>
      </c>
      <c r="I1387" s="1097">
        <v>1.0165598801698641</v>
      </c>
      <c r="K1387">
        <v>5.0116149680750084</v>
      </c>
      <c r="L1387">
        <v>0</v>
      </c>
      <c r="M1387">
        <v>3.6040776422869734E-3</v>
      </c>
      <c r="N1387">
        <v>0.29880673667361013</v>
      </c>
      <c r="O1387">
        <v>0.1437144677943443</v>
      </c>
      <c r="P1387">
        <v>1.9488088115208486E-2</v>
      </c>
      <c r="Q1387">
        <v>1.2843667241743456E-3</v>
      </c>
      <c r="R1387">
        <v>3.5978916875630184E-3</v>
      </c>
      <c r="S1387">
        <v>0.45636360992424929</v>
      </c>
      <c r="T1387">
        <v>3.8667807582550719</v>
      </c>
      <c r="U1387">
        <v>0</v>
      </c>
      <c r="V1387">
        <v>1.130476720982383E-2</v>
      </c>
      <c r="W1387">
        <v>0.17984346901720016</v>
      </c>
      <c r="X1387">
        <v>2.386697372095567E-2</v>
      </c>
      <c r="Y1387">
        <v>1.0167916595089088E-2</v>
      </c>
    </row>
    <row r="1388" spans="1:25" x14ac:dyDescent="0.25">
      <c r="A1388" s="1093"/>
      <c r="B1388" s="1452">
        <v>1138</v>
      </c>
      <c r="C1388" s="1097">
        <v>1.0178759272011155</v>
      </c>
      <c r="D1388" s="1097">
        <v>1.0041525313488893</v>
      </c>
      <c r="E1388" s="1097">
        <v>0.99452652688010978</v>
      </c>
      <c r="F1388" s="1097">
        <v>1.0385106769754959</v>
      </c>
      <c r="G1388" s="1097">
        <v>1.0178640025756265</v>
      </c>
      <c r="H1388" s="1097">
        <v>0.96414433191007343</v>
      </c>
      <c r="I1388" s="1097">
        <v>1.0312529908759962</v>
      </c>
      <c r="K1388">
        <v>5.3371654481168695</v>
      </c>
      <c r="L1388">
        <v>0</v>
      </c>
      <c r="M1388">
        <v>3.5922649784062466E-3</v>
      </c>
      <c r="N1388">
        <v>0.30662920832818774</v>
      </c>
      <c r="O1388">
        <v>0.15130366362288231</v>
      </c>
      <c r="P1388">
        <v>2.1004506518151996E-2</v>
      </c>
      <c r="Q1388">
        <v>1.2725770598023178E-3</v>
      </c>
      <c r="R1388">
        <v>3.5863113934448028E-3</v>
      </c>
      <c r="S1388">
        <v>0.47617852095075264</v>
      </c>
      <c r="T1388">
        <v>4.1499082945303929</v>
      </c>
      <c r="U1388">
        <v>0</v>
      </c>
      <c r="V1388">
        <v>1.1304767209823827E-2</v>
      </c>
      <c r="W1388">
        <v>0.18332437318688999</v>
      </c>
      <c r="X1388">
        <v>2.6110300495144966E-2</v>
      </c>
      <c r="Y1388">
        <v>1.0135189799797375E-2</v>
      </c>
    </row>
    <row r="1389" spans="1:25" x14ac:dyDescent="0.25">
      <c r="A1389" s="1093"/>
      <c r="B1389" s="1452">
        <v>1139</v>
      </c>
      <c r="C1389" s="1097">
        <v>0.98774132247058655</v>
      </c>
      <c r="D1389" s="1097">
        <v>0.96451036532668766</v>
      </c>
      <c r="E1389" s="1097">
        <v>1.0069207744589137</v>
      </c>
      <c r="F1389" s="1097">
        <v>0.99226308025100929</v>
      </c>
      <c r="G1389" s="1097">
        <v>0.96535620813058653</v>
      </c>
      <c r="H1389" s="1097">
        <v>1.0020822075899778</v>
      </c>
      <c r="I1389" s="1097">
        <v>1.0142404051100278</v>
      </c>
      <c r="K1389">
        <v>5.1731335363118784</v>
      </c>
      <c r="L1389">
        <v>0</v>
      </c>
      <c r="M1389">
        <v>3.6399015930095187E-3</v>
      </c>
      <c r="N1389">
        <v>0.32231303021504271</v>
      </c>
      <c r="O1389">
        <v>0.15104425578772562</v>
      </c>
      <c r="P1389">
        <v>2.0344759147285053E-2</v>
      </c>
      <c r="Q1389">
        <v>1.3469265222374128E-3</v>
      </c>
      <c r="R1389">
        <v>3.633827375698112E-3</v>
      </c>
      <c r="S1389">
        <v>0.47557229552340424</v>
      </c>
      <c r="T1389">
        <v>3.9635584557087071</v>
      </c>
      <c r="U1389">
        <v>0</v>
      </c>
      <c r="V1389">
        <v>1.1304767209823815E-2</v>
      </c>
      <c r="W1389">
        <v>0.19109453054303099</v>
      </c>
      <c r="X1389">
        <v>2.6291116278613962E-2</v>
      </c>
      <c r="Y1389">
        <v>1.0269473593318866E-2</v>
      </c>
    </row>
    <row r="1390" spans="1:25" x14ac:dyDescent="0.25">
      <c r="A1390" s="1093"/>
      <c r="B1390" s="1452">
        <v>1140</v>
      </c>
      <c r="C1390" s="1097">
        <v>0.99576239563857616</v>
      </c>
      <c r="D1390" s="1097">
        <v>0.97028448310201054</v>
      </c>
      <c r="E1390" s="1097">
        <v>1.0188108057853611</v>
      </c>
      <c r="F1390" s="1097">
        <v>1.0009223873026405</v>
      </c>
      <c r="G1390" s="1097">
        <v>1.0219459965463713</v>
      </c>
      <c r="H1390" s="1097">
        <v>1.0109677755973572</v>
      </c>
      <c r="I1390" s="1097">
        <v>1.0106755771099141</v>
      </c>
      <c r="K1390">
        <v>5.2128693969842139</v>
      </c>
      <c r="L1390">
        <v>0</v>
      </c>
      <c r="M1390">
        <v>3.5747485892757783E-3</v>
      </c>
      <c r="N1390">
        <v>0.32789275985770872</v>
      </c>
      <c r="O1390">
        <v>0.15043790380593308</v>
      </c>
      <c r="P1390">
        <v>2.0672233005119035E-2</v>
      </c>
      <c r="Q1390">
        <v>1.3464307585119256E-3</v>
      </c>
      <c r="R1390">
        <v>3.5688866011117661E-3</v>
      </c>
      <c r="S1390">
        <v>0.47464754993493752</v>
      </c>
      <c r="T1390">
        <v>3.9966625964548141</v>
      </c>
      <c r="U1390">
        <v>0</v>
      </c>
      <c r="V1390">
        <v>1.1304767209823817E-2</v>
      </c>
      <c r="W1390">
        <v>0.19286011953629156</v>
      </c>
      <c r="X1390">
        <v>2.6964952402893677E-2</v>
      </c>
      <c r="Y1390">
        <v>1.0085946006344255E-2</v>
      </c>
    </row>
    <row r="1391" spans="1:25" x14ac:dyDescent="0.25">
      <c r="A1391" s="1093"/>
      <c r="B1391" s="1452">
        <v>1141</v>
      </c>
      <c r="C1391" s="1097">
        <v>0.9839985201993755</v>
      </c>
      <c r="D1391" s="1097">
        <v>1.0073863289161249</v>
      </c>
      <c r="E1391" s="1097">
        <v>0.98303168726433987</v>
      </c>
      <c r="F1391" s="1097">
        <v>0.97329824002688581</v>
      </c>
      <c r="G1391" s="1097">
        <v>1.0224211043073617</v>
      </c>
      <c r="H1391" s="1097">
        <v>1.0455100163216438</v>
      </c>
      <c r="I1391" s="1097">
        <v>0.9677659039437797</v>
      </c>
      <c r="K1391">
        <v>5.0673961595445975</v>
      </c>
      <c r="L1391">
        <v>0</v>
      </c>
      <c r="M1391">
        <v>3.8643152267293563E-3</v>
      </c>
      <c r="N1391">
        <v>0.31880527147960835</v>
      </c>
      <c r="O1391">
        <v>0.14681163546597817</v>
      </c>
      <c r="P1391">
        <v>1.9551593155784579E-2</v>
      </c>
      <c r="Q1391">
        <v>1.3017177081136562E-3</v>
      </c>
      <c r="R1391">
        <v>3.8580141448091689E-3</v>
      </c>
      <c r="S1391">
        <v>0.4521125261321341</v>
      </c>
      <c r="T1391">
        <v>3.890730238607933</v>
      </c>
      <c r="U1391">
        <v>0</v>
      </c>
      <c r="V1391">
        <v>1.1304767209823811E-2</v>
      </c>
      <c r="W1391">
        <v>0.19210208490758876</v>
      </c>
      <c r="X1391">
        <v>2.3779583440873837E-2</v>
      </c>
      <c r="Y1391">
        <v>1.0903042518676846E-2</v>
      </c>
    </row>
    <row r="1392" spans="1:25" x14ac:dyDescent="0.25">
      <c r="A1392" s="1093"/>
      <c r="B1392" s="1452">
        <v>1142</v>
      </c>
      <c r="C1392" s="1097">
        <v>1.0051397953799581</v>
      </c>
      <c r="D1392" s="1097">
        <v>0.99511539420318773</v>
      </c>
      <c r="E1392" s="1097">
        <v>0.99160441949098266</v>
      </c>
      <c r="F1392" s="1097">
        <v>1.0176066077007937</v>
      </c>
      <c r="G1392" s="1097">
        <v>1.0147558748295058</v>
      </c>
      <c r="H1392" s="1097">
        <v>0.98228040653487803</v>
      </c>
      <c r="I1392" s="1097">
        <v>1.0036893933413413</v>
      </c>
      <c r="K1392">
        <v>5.2484502601123584</v>
      </c>
      <c r="L1392">
        <v>0</v>
      </c>
      <c r="M1392">
        <v>3.6673599367932595E-3</v>
      </c>
      <c r="N1392">
        <v>0.3103383138135451</v>
      </c>
      <c r="O1392">
        <v>0.15076306962561203</v>
      </c>
      <c r="P1392">
        <v>2.0535044258217627E-2</v>
      </c>
      <c r="Q1392">
        <v>1.2901212527361087E-3</v>
      </c>
      <c r="R1392">
        <v>3.6612717623045249E-3</v>
      </c>
      <c r="S1392">
        <v>0.46563924001259299</v>
      </c>
      <c r="T1392">
        <v>4.0667497939049486</v>
      </c>
      <c r="U1392">
        <v>0</v>
      </c>
      <c r="V1392">
        <v>1.1304767209823817E-2</v>
      </c>
      <c r="W1392">
        <v>0.18591047213445849</v>
      </c>
      <c r="X1392">
        <v>2.5578492549760939E-2</v>
      </c>
      <c r="Y1392">
        <v>1.0347033525148385E-2</v>
      </c>
    </row>
    <row r="1393" spans="1:25" x14ac:dyDescent="0.25">
      <c r="A1393" s="1093"/>
      <c r="B1393" s="1452">
        <v>1143</v>
      </c>
      <c r="C1393" s="1097">
        <v>0.96284051729973785</v>
      </c>
      <c r="D1393" s="1097">
        <v>0.98749664671253279</v>
      </c>
      <c r="E1393" s="1097">
        <v>1.0010545181157284</v>
      </c>
      <c r="F1393" s="1097">
        <v>0.99157631217688336</v>
      </c>
      <c r="G1393" s="1097">
        <v>0.99782887613501881</v>
      </c>
      <c r="H1393" s="1097">
        <v>0.97168504968683744</v>
      </c>
      <c r="I1393" s="1097">
        <v>0.96997460786887402</v>
      </c>
      <c r="K1393">
        <v>5.1467596552522465</v>
      </c>
      <c r="L1393">
        <v>0</v>
      </c>
      <c r="M1393">
        <v>3.6289212687423745E-3</v>
      </c>
      <c r="N1393">
        <v>0.31578833093888298</v>
      </c>
      <c r="O1393">
        <v>0.153560379962491</v>
      </c>
      <c r="P1393">
        <v>2.0168901813162356E-2</v>
      </c>
      <c r="Q1393">
        <v>1.3619569000152441E-3</v>
      </c>
      <c r="R1393">
        <v>3.6226716108374098E-3</v>
      </c>
      <c r="S1393">
        <v>0.45839273245631817</v>
      </c>
      <c r="T1393">
        <v>3.9615441367092634</v>
      </c>
      <c r="U1393">
        <v>0</v>
      </c>
      <c r="V1393">
        <v>1.1304767209823815E-2</v>
      </c>
      <c r="W1393">
        <v>0.18796792012706931</v>
      </c>
      <c r="X1393">
        <v>2.6438832243003783E-2</v>
      </c>
      <c r="Y1393">
        <v>1.0237946550120162E-2</v>
      </c>
    </row>
    <row r="1394" spans="1:25" x14ac:dyDescent="0.25">
      <c r="A1394" s="1093"/>
      <c r="B1394" s="1452">
        <v>1144</v>
      </c>
      <c r="C1394" s="1097">
        <v>1.0014526734244611</v>
      </c>
      <c r="D1394" s="1097">
        <v>0.99594216439606698</v>
      </c>
      <c r="E1394" s="1097">
        <v>1.0081031335817288</v>
      </c>
      <c r="F1394" s="1097">
        <v>1.0236272171489729</v>
      </c>
      <c r="G1394" s="1097">
        <v>1.0410908895275448</v>
      </c>
      <c r="H1394" s="1097">
        <v>0.99690627515394037</v>
      </c>
      <c r="I1394" s="1097">
        <v>0.9684255011381544</v>
      </c>
      <c r="K1394">
        <v>5.2799555764897841</v>
      </c>
      <c r="L1394">
        <v>0</v>
      </c>
      <c r="M1394">
        <v>3.628211827386226E-3</v>
      </c>
      <c r="N1394">
        <v>0.32241854992307806</v>
      </c>
      <c r="O1394">
        <v>0.15169268653690171</v>
      </c>
      <c r="P1394">
        <v>2.0844664935473302E-2</v>
      </c>
      <c r="Q1394">
        <v>1.3128762472415117E-3</v>
      </c>
      <c r="R1394">
        <v>3.6223118601511795E-3</v>
      </c>
      <c r="S1394">
        <v>0.45581499181711227</v>
      </c>
      <c r="T1394">
        <v>4.0886899308468037</v>
      </c>
      <c r="U1394">
        <v>0</v>
      </c>
      <c r="V1394">
        <v>1.1304767209823803E-2</v>
      </c>
      <c r="W1394">
        <v>0.19100516927081373</v>
      </c>
      <c r="X1394">
        <v>2.6640909802555516E-2</v>
      </c>
      <c r="Y1394">
        <v>1.0236929867215212E-2</v>
      </c>
    </row>
    <row r="1395" spans="1:25" x14ac:dyDescent="0.25">
      <c r="A1395" s="1093"/>
      <c r="B1395" s="1452">
        <v>1145</v>
      </c>
      <c r="C1395" s="1097">
        <v>1.0129855320389107</v>
      </c>
      <c r="D1395" s="1097">
        <v>0.98491353130248893</v>
      </c>
      <c r="E1395" s="1097">
        <v>1.0049697523253067</v>
      </c>
      <c r="F1395" s="1097">
        <v>1.0126579575396009</v>
      </c>
      <c r="G1395" s="1097">
        <v>1.0066462662622007</v>
      </c>
      <c r="H1395" s="1097">
        <v>1.0204840506385076</v>
      </c>
      <c r="I1395" s="1097">
        <v>0.97868806362095839</v>
      </c>
      <c r="K1395">
        <v>5.2358100365733282</v>
      </c>
      <c r="L1395">
        <v>0</v>
      </c>
      <c r="M1395">
        <v>3.6728514285042308E-3</v>
      </c>
      <c r="N1395">
        <v>0.32337730551821686</v>
      </c>
      <c r="O1395">
        <v>0.14910863386101311</v>
      </c>
      <c r="P1395">
        <v>2.0601869566866965E-2</v>
      </c>
      <c r="Q1395">
        <v>1.3002413268303325E-3</v>
      </c>
      <c r="R1395">
        <v>3.6669537668565125E-3</v>
      </c>
      <c r="S1395">
        <v>0.45663554242704657</v>
      </c>
      <c r="T1395">
        <v>4.0452724074370714</v>
      </c>
      <c r="U1395">
        <v>0</v>
      </c>
      <c r="V1395">
        <v>1.1304767209823818E-2</v>
      </c>
      <c r="W1395">
        <v>0.19197748971584791</v>
      </c>
      <c r="X1395">
        <v>2.5874585868443028E-2</v>
      </c>
      <c r="Y1395">
        <v>1.0363091303812827E-2</v>
      </c>
    </row>
    <row r="1396" spans="1:25" x14ac:dyDescent="0.25">
      <c r="A1396" s="1093"/>
      <c r="B1396" s="1452">
        <v>1146</v>
      </c>
      <c r="C1396" s="1097">
        <v>1.0138245291558146</v>
      </c>
      <c r="D1396" s="1097">
        <v>1.0142688750321516</v>
      </c>
      <c r="E1396" s="1097">
        <v>1.0243057270428402</v>
      </c>
      <c r="F1396" s="1097">
        <v>1.0264807090072494</v>
      </c>
      <c r="G1396" s="1097">
        <v>1.026664155906041</v>
      </c>
      <c r="H1396" s="1097">
        <v>0.98617352090994204</v>
      </c>
      <c r="I1396" s="1097">
        <v>0.99798856432705763</v>
      </c>
      <c r="K1396">
        <v>5.2832471810732207</v>
      </c>
      <c r="L1396">
        <v>0</v>
      </c>
      <c r="M1396">
        <v>3.4106971358508465E-3</v>
      </c>
      <c r="N1396">
        <v>0.31797231365466211</v>
      </c>
      <c r="O1396">
        <v>0.14871316243860905</v>
      </c>
      <c r="P1396">
        <v>2.1163528105792563E-2</v>
      </c>
      <c r="Q1396">
        <v>1.3052472108779356E-3</v>
      </c>
      <c r="R1396">
        <v>3.4051060764809459E-3</v>
      </c>
      <c r="S1396">
        <v>0.461428531324035</v>
      </c>
      <c r="T1396">
        <v>4.0980154842644954</v>
      </c>
      <c r="U1396">
        <v>0</v>
      </c>
      <c r="V1396">
        <v>1.1304767209823806E-2</v>
      </c>
      <c r="W1396">
        <v>0.18634182859270076</v>
      </c>
      <c r="X1396">
        <v>2.7384819591908301E-2</v>
      </c>
      <c r="Y1396">
        <v>9.6230897396860186E-3</v>
      </c>
    </row>
    <row r="1397" spans="1:25" x14ac:dyDescent="0.25">
      <c r="A1397" s="1093"/>
      <c r="B1397" s="1452">
        <v>1147</v>
      </c>
      <c r="C1397" s="1097">
        <v>1.0299611369466937</v>
      </c>
      <c r="D1397" s="1097">
        <v>1.0121398234662344</v>
      </c>
      <c r="E1397" s="1097">
        <v>0.99693524049143067</v>
      </c>
      <c r="F1397" s="1097">
        <v>0.99206648239568462</v>
      </c>
      <c r="G1397" s="1097">
        <v>1.0061828850483983</v>
      </c>
      <c r="H1397" s="1097">
        <v>0.98969974535508687</v>
      </c>
      <c r="I1397" s="1097">
        <v>0.98175294465418061</v>
      </c>
      <c r="K1397">
        <v>5.082274934816418</v>
      </c>
      <c r="L1397">
        <v>0</v>
      </c>
      <c r="M1397">
        <v>3.4529334401239026E-3</v>
      </c>
      <c r="N1397">
        <v>0.29683811420853312</v>
      </c>
      <c r="O1397">
        <v>0.14232489790781544</v>
      </c>
      <c r="P1397">
        <v>2.0012032658513333E-2</v>
      </c>
      <c r="Q1397">
        <v>1.2562634886367885E-3</v>
      </c>
      <c r="R1397">
        <v>3.4470979855327362E-3</v>
      </c>
      <c r="S1397">
        <v>0.43499959220776185</v>
      </c>
      <c r="T1397">
        <v>3.9640157910754072</v>
      </c>
      <c r="U1397">
        <v>0</v>
      </c>
      <c r="V1397">
        <v>1.1304767209823827E-2</v>
      </c>
      <c r="W1397">
        <v>0.17718105068513168</v>
      </c>
      <c r="X1397">
        <v>2.4606498748785639E-2</v>
      </c>
      <c r="Y1397">
        <v>9.7417620805969746E-3</v>
      </c>
    </row>
    <row r="1398" spans="1:25" x14ac:dyDescent="0.25">
      <c r="A1398" s="1093"/>
      <c r="B1398" s="1452">
        <v>1148</v>
      </c>
      <c r="C1398" s="1097">
        <v>1.0127167633664829</v>
      </c>
      <c r="D1398" s="1097">
        <v>0.96780350712661367</v>
      </c>
      <c r="E1398" s="1097">
        <v>0.99580350335210865</v>
      </c>
      <c r="F1398" s="1097">
        <v>0.95424517483552429</v>
      </c>
      <c r="G1398" s="1097">
        <v>1.0056886811876307</v>
      </c>
      <c r="H1398" s="1097">
        <v>0.98317433723069725</v>
      </c>
      <c r="I1398" s="1097">
        <v>0.97927760807991815</v>
      </c>
      <c r="K1398">
        <v>4.9192323118291901</v>
      </c>
      <c r="L1398">
        <v>0</v>
      </c>
      <c r="M1398">
        <v>3.4246164077288417E-3</v>
      </c>
      <c r="N1398">
        <v>0.29339487136654696</v>
      </c>
      <c r="O1398">
        <v>0.14177719200344208</v>
      </c>
      <c r="P1398">
        <v>1.9287610730509379E-2</v>
      </c>
      <c r="Q1398">
        <v>1.299489258174021E-3</v>
      </c>
      <c r="R1398">
        <v>3.4185598848889614E-3</v>
      </c>
      <c r="S1398">
        <v>0.42993276544713122</v>
      </c>
      <c r="T1398">
        <v>3.8130284151039038</v>
      </c>
      <c r="U1398">
        <v>0</v>
      </c>
      <c r="V1398">
        <v>1.1304767209823815E-2</v>
      </c>
      <c r="W1398">
        <v>0.1752601356960054</v>
      </c>
      <c r="X1398">
        <v>2.4292010307094897E-2</v>
      </c>
      <c r="Y1398">
        <v>9.6611112293967551E-3</v>
      </c>
    </row>
    <row r="1399" spans="1:25" x14ac:dyDescent="0.25">
      <c r="A1399" s="1093"/>
      <c r="B1399" s="1452">
        <v>1149</v>
      </c>
      <c r="C1399" s="1097">
        <v>1.0281324048879503</v>
      </c>
      <c r="D1399" s="1097">
        <v>1.0079033444457195</v>
      </c>
      <c r="E1399" s="1097">
        <v>0.99682661947416362</v>
      </c>
      <c r="F1399" s="1097">
        <v>0.98468475585816295</v>
      </c>
      <c r="G1399" s="1097">
        <v>0.99775572370372478</v>
      </c>
      <c r="H1399" s="1097">
        <v>0.97700738911510598</v>
      </c>
      <c r="I1399" s="1097">
        <v>1.0013526084849729</v>
      </c>
      <c r="K1399">
        <v>5.0487358154543793</v>
      </c>
      <c r="L1399">
        <v>0</v>
      </c>
      <c r="M1399">
        <v>3.3958165206477869E-3</v>
      </c>
      <c r="N1399">
        <v>0.2918238234917897</v>
      </c>
      <c r="O1399">
        <v>0.14175768183802528</v>
      </c>
      <c r="P1399">
        <v>1.9898404519744929E-2</v>
      </c>
      <c r="Q1399">
        <v>1.2604936710118833E-3</v>
      </c>
      <c r="R1399">
        <v>3.3899595313408638E-3</v>
      </c>
      <c r="S1399">
        <v>0.4397933826110334</v>
      </c>
      <c r="T1399">
        <v>3.9345339577009857</v>
      </c>
      <c r="U1399">
        <v>0</v>
      </c>
      <c r="V1399">
        <v>1.1304767209823808E-2</v>
      </c>
      <c r="W1399">
        <v>0.17420086335796653</v>
      </c>
      <c r="X1399">
        <v>2.4588013596570087E-2</v>
      </c>
      <c r="Y1399">
        <v>9.5802844467361321E-3</v>
      </c>
    </row>
    <row r="1400" spans="1:25" x14ac:dyDescent="0.25">
      <c r="A1400" s="1093"/>
      <c r="B1400" s="1452">
        <v>1150</v>
      </c>
      <c r="C1400" s="1097">
        <v>0.99376362644516769</v>
      </c>
      <c r="D1400" s="1097">
        <v>1.012996770196338</v>
      </c>
      <c r="E1400" s="1097">
        <v>0.97843733315670434</v>
      </c>
      <c r="F1400" s="1097">
        <v>0.99005349017797684</v>
      </c>
      <c r="G1400" s="1097">
        <v>1.0116681796791802</v>
      </c>
      <c r="H1400" s="1097">
        <v>0.98742355114471758</v>
      </c>
      <c r="I1400" s="1097">
        <v>1.0037176872255771</v>
      </c>
      <c r="K1400">
        <v>5.1161679513880438</v>
      </c>
      <c r="L1400">
        <v>0</v>
      </c>
      <c r="M1400">
        <v>3.7032569979913652E-3</v>
      </c>
      <c r="N1400">
        <v>0.30136117809362295</v>
      </c>
      <c r="O1400">
        <v>0.14767007259692777</v>
      </c>
      <c r="P1400">
        <v>1.9819568921185821E-2</v>
      </c>
      <c r="Q1400">
        <v>1.2809500279992233E-3</v>
      </c>
      <c r="R1400">
        <v>3.6969713369549412E-3</v>
      </c>
      <c r="S1400">
        <v>0.45964788617634594</v>
      </c>
      <c r="T1400">
        <v>3.958285099831059</v>
      </c>
      <c r="U1400">
        <v>0</v>
      </c>
      <c r="V1400">
        <v>1.1304767209823824E-2</v>
      </c>
      <c r="W1400">
        <v>0.18216303400013581</v>
      </c>
      <c r="X1400">
        <v>2.4193756943330352E-2</v>
      </c>
      <c r="Y1400">
        <v>1.0447923248644049E-2</v>
      </c>
    </row>
    <row r="1401" spans="1:25" x14ac:dyDescent="0.25">
      <c r="A1401" s="1093"/>
      <c r="B1401" s="1452">
        <v>1151</v>
      </c>
      <c r="C1401" s="1097">
        <v>0.96697134768801996</v>
      </c>
      <c r="D1401" s="1097">
        <v>0.9761599932859204</v>
      </c>
      <c r="E1401" s="1097">
        <v>0.99688041610952138</v>
      </c>
      <c r="F1401" s="1097">
        <v>0.99573884686188296</v>
      </c>
      <c r="G1401" s="1097">
        <v>1.0024219275461963</v>
      </c>
      <c r="H1401" s="1097">
        <v>1.0117200365685581</v>
      </c>
      <c r="I1401" s="1097">
        <v>0.96649847899661423</v>
      </c>
      <c r="K1401">
        <v>5.1933039132434793</v>
      </c>
      <c r="L1401">
        <v>0</v>
      </c>
      <c r="M1401">
        <v>3.829060669759062E-3</v>
      </c>
      <c r="N1401">
        <v>0.3291332740804272</v>
      </c>
      <c r="O1401">
        <v>0.15437787319872148</v>
      </c>
      <c r="P1401">
        <v>2.0213837616294059E-2</v>
      </c>
      <c r="Q1401">
        <v>1.3575484160754613E-3</v>
      </c>
      <c r="R1401">
        <v>3.8227537130859691E-3</v>
      </c>
      <c r="S1401">
        <v>0.46496755057631178</v>
      </c>
      <c r="T1401">
        <v>3.9786963800651693</v>
      </c>
      <c r="U1401">
        <v>0</v>
      </c>
      <c r="V1401">
        <v>1.1304767209823824E-2</v>
      </c>
      <c r="W1401">
        <v>0.19646515045165128</v>
      </c>
      <c r="X1401">
        <v>2.599044473905519E-2</v>
      </c>
      <c r="Y1401">
        <v>1.0803393846620468E-2</v>
      </c>
    </row>
    <row r="1402" spans="1:25" x14ac:dyDescent="0.25">
      <c r="A1402" s="1093"/>
      <c r="B1402" s="1452">
        <v>1152</v>
      </c>
      <c r="C1402" s="1097">
        <v>0.98217244065989151</v>
      </c>
      <c r="D1402" s="1097">
        <v>0.98735577645593098</v>
      </c>
      <c r="E1402" s="1097">
        <v>1.0310483734540457</v>
      </c>
      <c r="F1402" s="1097">
        <v>0.99964749642073158</v>
      </c>
      <c r="G1402" s="1097">
        <v>0.9942778415996073</v>
      </c>
      <c r="H1402" s="1097">
        <v>0.97975639374510815</v>
      </c>
      <c r="I1402" s="1097">
        <v>1.0014976827268907</v>
      </c>
      <c r="K1402">
        <v>5.1918672205571896</v>
      </c>
      <c r="L1402">
        <v>0</v>
      </c>
      <c r="M1402">
        <v>3.3945089622851709E-3</v>
      </c>
      <c r="N1402">
        <v>0.32281810194988469</v>
      </c>
      <c r="O1402">
        <v>0.15091764282218217</v>
      </c>
      <c r="P1402">
        <v>2.079904305938042E-2</v>
      </c>
      <c r="Q1402">
        <v>1.3696372142093384E-3</v>
      </c>
      <c r="R1402">
        <v>3.3887578982656806E-3</v>
      </c>
      <c r="S1402">
        <v>0.46868527596771542</v>
      </c>
      <c r="T1402">
        <v>3.990054143016998</v>
      </c>
      <c r="U1402">
        <v>0</v>
      </c>
      <c r="V1402">
        <v>1.1304767209823806E-2</v>
      </c>
      <c r="W1402">
        <v>0.18833735134360857</v>
      </c>
      <c r="X1402">
        <v>2.8010120497485549E-2</v>
      </c>
      <c r="Y1402">
        <v>9.5768885399253167E-3</v>
      </c>
    </row>
    <row r="1403" spans="1:25" x14ac:dyDescent="0.25">
      <c r="A1403" s="1093"/>
      <c r="B1403" s="1452">
        <v>1153</v>
      </c>
      <c r="C1403" s="1097">
        <v>0.99861156431273346</v>
      </c>
      <c r="D1403" s="1097">
        <v>0.97689702081983099</v>
      </c>
      <c r="E1403" s="1097">
        <v>1.0003367556680096</v>
      </c>
      <c r="F1403" s="1097">
        <v>0.99438993980833301</v>
      </c>
      <c r="G1403" s="1097">
        <v>0.97042959625620062</v>
      </c>
      <c r="H1403" s="1097">
        <v>1.0218844963495959</v>
      </c>
      <c r="I1403" s="1097">
        <v>1.0357307447928867</v>
      </c>
      <c r="K1403">
        <v>5.189080262002209</v>
      </c>
      <c r="L1403">
        <v>0</v>
      </c>
      <c r="M1403">
        <v>3.7116874147578851E-3</v>
      </c>
      <c r="N1403">
        <v>0.32233329962187657</v>
      </c>
      <c r="O1403">
        <v>0.14914226731149499</v>
      </c>
      <c r="P1403">
        <v>2.032550098875047E-2</v>
      </c>
      <c r="Q1403">
        <v>1.3180407353987277E-3</v>
      </c>
      <c r="R1403">
        <v>3.7056264008295176E-3</v>
      </c>
      <c r="S1403">
        <v>0.48384978981292442</v>
      </c>
      <c r="T1403">
        <v>3.9728747197788929</v>
      </c>
      <c r="U1403">
        <v>0</v>
      </c>
      <c r="V1403">
        <v>1.1304767209823804E-2</v>
      </c>
      <c r="W1403">
        <v>0.19195676238467177</v>
      </c>
      <c r="X1403">
        <v>2.5508792052370274E-2</v>
      </c>
      <c r="Y1403">
        <v>1.0472383119936469E-2</v>
      </c>
    </row>
    <row r="1404" spans="1:25" x14ac:dyDescent="0.25">
      <c r="A1404" s="1093"/>
      <c r="B1404" s="1452">
        <v>1154</v>
      </c>
      <c r="C1404" s="1097">
        <v>0.97942359695897341</v>
      </c>
      <c r="D1404" s="1097">
        <v>0.99519507772380167</v>
      </c>
      <c r="E1404" s="1097">
        <v>1.0196083457125225</v>
      </c>
      <c r="F1404" s="1097">
        <v>1.025824035913385</v>
      </c>
      <c r="G1404" s="1097">
        <v>1.0027113695008789</v>
      </c>
      <c r="H1404" s="1097">
        <v>0.99941384433035707</v>
      </c>
      <c r="I1404" s="1097">
        <v>1.0293390335357464</v>
      </c>
      <c r="K1404">
        <v>5.3513085893096886</v>
      </c>
      <c r="L1404">
        <v>0</v>
      </c>
      <c r="M1404">
        <v>3.638802461644791E-3</v>
      </c>
      <c r="N1404">
        <v>0.33456373179108401</v>
      </c>
      <c r="O1404">
        <v>0.15514794369231652</v>
      </c>
      <c r="P1404">
        <v>2.1245153735372304E-2</v>
      </c>
      <c r="Q1404">
        <v>1.3559971516407543E-3</v>
      </c>
      <c r="R1404">
        <v>3.6329127385725489E-3</v>
      </c>
      <c r="S1404">
        <v>0.49685601326469642</v>
      </c>
      <c r="T1404">
        <v>4.0959925810201554</v>
      </c>
      <c r="U1404">
        <v>0</v>
      </c>
      <c r="V1404">
        <v>1.1304767209823827E-2</v>
      </c>
      <c r="W1404">
        <v>0.19667917942508259</v>
      </c>
      <c r="X1404">
        <v>2.7902222983613723E-2</v>
      </c>
      <c r="Y1404">
        <v>1.0266888758972784E-2</v>
      </c>
    </row>
    <row r="1405" spans="1:25" x14ac:dyDescent="0.25">
      <c r="A1405" s="1093"/>
      <c r="B1405" s="1452">
        <v>1155</v>
      </c>
      <c r="C1405" s="1097">
        <v>1.0409007311903515</v>
      </c>
      <c r="D1405" s="1097">
        <v>0.98640325074993263</v>
      </c>
      <c r="E1405" s="1097">
        <v>0.97725791705465326</v>
      </c>
      <c r="F1405" s="1097">
        <v>1.0154875155176302</v>
      </c>
      <c r="G1405" s="1097">
        <v>0.9720521022602221</v>
      </c>
      <c r="H1405" s="1097">
        <v>0.98855863039930914</v>
      </c>
      <c r="I1405" s="1097">
        <v>0.9796436046387208</v>
      </c>
      <c r="K1405">
        <v>5.1921873418554023</v>
      </c>
      <c r="L1405">
        <v>0</v>
      </c>
      <c r="M1405">
        <v>3.6783296443135462E-3</v>
      </c>
      <c r="N1405">
        <v>0.29829998027026794</v>
      </c>
      <c r="O1405">
        <v>0.14618380238530537</v>
      </c>
      <c r="P1405">
        <v>2.0169133719257645E-2</v>
      </c>
      <c r="Q1405">
        <v>1.2347589080658359E-3</v>
      </c>
      <c r="R1405">
        <v>3.6722493989794092E-3</v>
      </c>
      <c r="S1405">
        <v>0.43998486534609399</v>
      </c>
      <c r="T1405">
        <v>4.0601235833117855</v>
      </c>
      <c r="U1405">
        <v>0</v>
      </c>
      <c r="V1405">
        <v>1.130476720982382E-2</v>
      </c>
      <c r="W1405">
        <v>0.18045861518455927</v>
      </c>
      <c r="X1405">
        <v>2.4055858601080171E-2</v>
      </c>
      <c r="Y1405">
        <v>1.037805716449452E-2</v>
      </c>
    </row>
    <row r="1406" spans="1:25" x14ac:dyDescent="0.25">
      <c r="A1406" s="1093"/>
      <c r="B1406" s="1452">
        <v>1156</v>
      </c>
      <c r="C1406" s="1097">
        <v>0.99926124913702807</v>
      </c>
      <c r="D1406" s="1097">
        <v>0.97282740405768919</v>
      </c>
      <c r="E1406" s="1097">
        <v>1.0138264253084905</v>
      </c>
      <c r="F1406" s="1097">
        <v>1.002095481505445</v>
      </c>
      <c r="G1406" s="1097">
        <v>1.0103422041468832</v>
      </c>
      <c r="H1406" s="1097">
        <v>0.99613924701170997</v>
      </c>
      <c r="I1406" s="1097">
        <v>0.99312252747393326</v>
      </c>
      <c r="K1406">
        <v>5.1939570377247941</v>
      </c>
      <c r="L1406">
        <v>0</v>
      </c>
      <c r="M1406">
        <v>3.5475470781014466E-3</v>
      </c>
      <c r="N1406">
        <v>0.32062587593013619</v>
      </c>
      <c r="O1406">
        <v>0.15007050794638047</v>
      </c>
      <c r="P1406">
        <v>2.0563754927627687E-2</v>
      </c>
      <c r="Q1406">
        <v>1.3346578414017228E-3</v>
      </c>
      <c r="R1406">
        <v>3.5416499983002368E-3</v>
      </c>
      <c r="S1406">
        <v>0.46218395722980454</v>
      </c>
      <c r="T1406">
        <v>4.0019690265818229</v>
      </c>
      <c r="U1406">
        <v>0</v>
      </c>
      <c r="V1406">
        <v>1.1304767209823827E-2</v>
      </c>
      <c r="W1406">
        <v>0.18921525796970989</v>
      </c>
      <c r="X1406">
        <v>2.6686155880501144E-2</v>
      </c>
      <c r="Y1406">
        <v>1.0008973287382619E-2</v>
      </c>
    </row>
    <row r="1407" spans="1:25" x14ac:dyDescent="0.25">
      <c r="A1407" s="1093"/>
      <c r="B1407" s="1452">
        <v>1157</v>
      </c>
      <c r="C1407" s="1097">
        <v>0.96678382727503576</v>
      </c>
      <c r="D1407" s="1097">
        <v>1.0058686664143643</v>
      </c>
      <c r="E1407" s="1097">
        <v>0.9667014997396759</v>
      </c>
      <c r="F1407" s="1097">
        <v>1.015281464390422</v>
      </c>
      <c r="G1407" s="1097">
        <v>0.97990772493225509</v>
      </c>
      <c r="H1407" s="1097">
        <v>1.0074766566336011</v>
      </c>
      <c r="I1407" s="1097">
        <v>1.0290196816673152</v>
      </c>
      <c r="K1407">
        <v>5.3032598216149101</v>
      </c>
      <c r="L1407">
        <v>0</v>
      </c>
      <c r="M1407">
        <v>4.0934797419007497E-3</v>
      </c>
      <c r="N1407">
        <v>0.32173354680516725</v>
      </c>
      <c r="O1407">
        <v>0.15644120113836046</v>
      </c>
      <c r="P1407">
        <v>2.0273099854821272E-2</v>
      </c>
      <c r="Q1407">
        <v>1.3069752317629692E-3</v>
      </c>
      <c r="R1407">
        <v>4.0868389705373195E-3</v>
      </c>
      <c r="S1407">
        <v>0.49943927283020656</v>
      </c>
      <c r="T1407">
        <v>4.0606630431795132</v>
      </c>
      <c r="U1407">
        <v>0</v>
      </c>
      <c r="V1407">
        <v>1.1304767209823818E-2</v>
      </c>
      <c r="W1407">
        <v>0.19605550668662725</v>
      </c>
      <c r="X1407">
        <v>2.4499330503851939E-2</v>
      </c>
      <c r="Y1407">
        <v>1.1549718946133615E-2</v>
      </c>
    </row>
    <row r="1408" spans="1:25" x14ac:dyDescent="0.25">
      <c r="A1408" s="1093"/>
      <c r="B1408" s="1452">
        <v>1158</v>
      </c>
      <c r="C1408" s="1097">
        <v>0.98291925132830948</v>
      </c>
      <c r="D1408" s="1097">
        <v>0.9880097915320788</v>
      </c>
      <c r="E1408" s="1097">
        <v>0.96944356608937055</v>
      </c>
      <c r="F1408" s="1097">
        <v>1.0078591260643699</v>
      </c>
      <c r="G1408" s="1097">
        <v>1.0295052016478476</v>
      </c>
      <c r="H1408" s="1097">
        <v>0.97970836753622437</v>
      </c>
      <c r="I1408" s="1097">
        <v>1.0351930898161903</v>
      </c>
      <c r="K1408">
        <v>5.2359794444164409</v>
      </c>
      <c r="L1408">
        <v>0</v>
      </c>
      <c r="M1408">
        <v>3.8922559542998833E-3</v>
      </c>
      <c r="N1408">
        <v>0.30840158848732518</v>
      </c>
      <c r="O1408">
        <v>0.1537680912396602</v>
      </c>
      <c r="P1408">
        <v>2.0128514487352443E-2</v>
      </c>
      <c r="Q1408">
        <v>1.2978739854106549E-3</v>
      </c>
      <c r="R1408">
        <v>3.8857149136704741E-3</v>
      </c>
      <c r="S1408">
        <v>0.48733516089034057</v>
      </c>
      <c r="T1408">
        <v>4.0306249106915226</v>
      </c>
      <c r="U1408">
        <v>0</v>
      </c>
      <c r="V1408">
        <v>1.1304767209823827E-2</v>
      </c>
      <c r="W1408">
        <v>0.18757576777795981</v>
      </c>
      <c r="X1408">
        <v>2.4567983681340274E-2</v>
      </c>
      <c r="Y1408">
        <v>1.0981327006332552E-2</v>
      </c>
    </row>
    <row r="1409" spans="1:25" x14ac:dyDescent="0.25">
      <c r="A1409" s="1093"/>
      <c r="B1409" s="1452">
        <v>1159</v>
      </c>
      <c r="C1409" s="1097">
        <v>1.0430861612139408</v>
      </c>
      <c r="D1409" s="1097">
        <v>0.99064950573062727</v>
      </c>
      <c r="E1409" s="1097">
        <v>1.0179101837897466</v>
      </c>
      <c r="F1409" s="1097">
        <v>1.0024605751749001</v>
      </c>
      <c r="G1409" s="1097">
        <v>1.0061379610865662</v>
      </c>
      <c r="H1409" s="1097">
        <v>0.98846308663205418</v>
      </c>
      <c r="I1409" s="1097">
        <v>1.0178847341245414</v>
      </c>
      <c r="K1409">
        <v>5.1475077598538199</v>
      </c>
      <c r="L1409">
        <v>0</v>
      </c>
      <c r="M1409">
        <v>3.3203786896682007E-3</v>
      </c>
      <c r="N1409">
        <v>0.30373963949982752</v>
      </c>
      <c r="O1409">
        <v>0.14266747441147634</v>
      </c>
      <c r="P1409">
        <v>2.0577925000532054E-2</v>
      </c>
      <c r="Q1409">
        <v>1.2737372715222505E-3</v>
      </c>
      <c r="R1409">
        <v>3.3148183910651206E-3</v>
      </c>
      <c r="S1409">
        <v>0.45089894545079029</v>
      </c>
      <c r="T1409">
        <v>4.0029169213450881</v>
      </c>
      <c r="U1409">
        <v>0</v>
      </c>
      <c r="V1409">
        <v>1.1304767209823825E-2</v>
      </c>
      <c r="W1409">
        <v>0.17876116252400606</v>
      </c>
      <c r="X1409">
        <v>2.6004817591790866E-2</v>
      </c>
      <c r="Y1409">
        <v>9.3679298475622032E-3</v>
      </c>
    </row>
    <row r="1410" spans="1:25" x14ac:dyDescent="0.25">
      <c r="A1410" s="1093"/>
      <c r="B1410" s="1452">
        <v>1160</v>
      </c>
      <c r="C1410" s="1097">
        <v>1.0142931185860191</v>
      </c>
      <c r="D1410" s="1097">
        <v>0.97929946575175508</v>
      </c>
      <c r="E1410" s="1097">
        <v>0.96591930106203772</v>
      </c>
      <c r="F1410" s="1097">
        <v>0.9723623940874081</v>
      </c>
      <c r="G1410" s="1097">
        <v>0.9796108245293661</v>
      </c>
      <c r="H1410" s="1097">
        <v>1.0082294815246575</v>
      </c>
      <c r="I1410" s="1097">
        <v>1.0133320308539471</v>
      </c>
      <c r="K1410">
        <v>5.0313829922945095</v>
      </c>
      <c r="L1410">
        <v>0</v>
      </c>
      <c r="M1410">
        <v>3.7863247221773949E-3</v>
      </c>
      <c r="N1410">
        <v>0.29688069761896491</v>
      </c>
      <c r="O1410">
        <v>0.14436845143316612</v>
      </c>
      <c r="P1410">
        <v>1.9302206675458178E-2</v>
      </c>
      <c r="Q1410">
        <v>1.258305493442638E-3</v>
      </c>
      <c r="R1410">
        <v>3.7799163708465921E-3</v>
      </c>
      <c r="S1410">
        <v>0.45469631682895928</v>
      </c>
      <c r="T1410">
        <v>3.889103324178139</v>
      </c>
      <c r="U1410">
        <v>0</v>
      </c>
      <c r="V1410">
        <v>1.1304767209823818E-2</v>
      </c>
      <c r="W1410">
        <v>0.18100875824706031</v>
      </c>
      <c r="X1410">
        <v>2.2784240713850643E-2</v>
      </c>
      <c r="Y1410">
        <v>1.0682332246975625E-2</v>
      </c>
    </row>
    <row r="1411" spans="1:25" x14ac:dyDescent="0.25">
      <c r="A1411" s="1093"/>
      <c r="B1411" s="1452">
        <v>1161</v>
      </c>
      <c r="C1411" s="1097">
        <v>1.0277806035328563</v>
      </c>
      <c r="D1411" s="1097">
        <v>1.0009274604292369</v>
      </c>
      <c r="E1411" s="1097">
        <v>0.98912914817244035</v>
      </c>
      <c r="F1411" s="1097">
        <v>0.98938571528125296</v>
      </c>
      <c r="G1411" s="1097">
        <v>0.95662401411275177</v>
      </c>
      <c r="H1411" s="1097">
        <v>1.0093817077615259</v>
      </c>
      <c r="I1411" s="1097">
        <v>1.0008567452270836</v>
      </c>
      <c r="K1411">
        <v>5.095018398430704</v>
      </c>
      <c r="L1411">
        <v>0</v>
      </c>
      <c r="M1411">
        <v>3.5938029665646275E-3</v>
      </c>
      <c r="N1411">
        <v>0.30188952940358987</v>
      </c>
      <c r="O1411">
        <v>0.14308572696553454</v>
      </c>
      <c r="P1411">
        <v>1.9909538128577636E-2</v>
      </c>
      <c r="Q1411">
        <v>1.2560818501169452E-3</v>
      </c>
      <c r="R1411">
        <v>3.5878317619767834E-3</v>
      </c>
      <c r="S1411">
        <v>0.44791901701097464</v>
      </c>
      <c r="T1411">
        <v>3.9542770571769932</v>
      </c>
      <c r="U1411">
        <v>0</v>
      </c>
      <c r="V1411">
        <v>1.130476720982381E-2</v>
      </c>
      <c r="W1411">
        <v>0.18115396377642762</v>
      </c>
      <c r="X1411">
        <v>2.4089201635911821E-2</v>
      </c>
      <c r="Y1411">
        <v>1.0139486477343404E-2</v>
      </c>
    </row>
    <row r="1412" spans="1:25" x14ac:dyDescent="0.25">
      <c r="A1412" s="1093"/>
      <c r="B1412" s="1452">
        <v>1162</v>
      </c>
      <c r="C1412" s="1097">
        <v>0.9801109149838978</v>
      </c>
      <c r="D1412" s="1097">
        <v>1.0392644334860255</v>
      </c>
      <c r="E1412" s="1097">
        <v>1.027797857399235</v>
      </c>
      <c r="F1412" s="1097">
        <v>0.97111670909531334</v>
      </c>
      <c r="G1412" s="1097">
        <v>0.99499745577849497</v>
      </c>
      <c r="H1412" s="1097">
        <v>0.95224810530690918</v>
      </c>
      <c r="I1412" s="1097">
        <v>1.0118999063583523</v>
      </c>
      <c r="K1412">
        <v>5.0155678997129369</v>
      </c>
      <c r="L1412">
        <v>0</v>
      </c>
      <c r="M1412">
        <v>3.1684906967728516E-3</v>
      </c>
      <c r="N1412">
        <v>0.29841191440222148</v>
      </c>
      <c r="O1412">
        <v>0.14402651925602977</v>
      </c>
      <c r="P1412">
        <v>2.0152798990549177E-2</v>
      </c>
      <c r="Q1412">
        <v>1.3410026241878668E-3</v>
      </c>
      <c r="R1412">
        <v>3.1628054941883646E-3</v>
      </c>
      <c r="S1412">
        <v>0.45352448639492415</v>
      </c>
      <c r="T1412">
        <v>3.876565428515339</v>
      </c>
      <c r="U1412">
        <v>0</v>
      </c>
      <c r="V1412">
        <v>1.1304767209823818E-2</v>
      </c>
      <c r="W1412">
        <v>0.17447373838340197</v>
      </c>
      <c r="X1412">
        <v>2.6834599343689449E-2</v>
      </c>
      <c r="Y1412">
        <v>8.9383297953528357E-3</v>
      </c>
    </row>
    <row r="1413" spans="1:25" x14ac:dyDescent="0.25">
      <c r="A1413" s="1093"/>
      <c r="B1413" s="1452">
        <v>1163</v>
      </c>
      <c r="C1413" s="1097">
        <v>0.99881346892714995</v>
      </c>
      <c r="D1413" s="1097">
        <v>0.99717803980383035</v>
      </c>
      <c r="E1413" s="1097">
        <v>0.96995847200040253</v>
      </c>
      <c r="F1413" s="1097">
        <v>1.0290073491104645</v>
      </c>
      <c r="G1413" s="1097">
        <v>0.99780846911375609</v>
      </c>
      <c r="H1413" s="1097">
        <v>1.0100400694482998</v>
      </c>
      <c r="I1413" s="1097">
        <v>1.0041546062850719</v>
      </c>
      <c r="K1413">
        <v>5.3283086692602906</v>
      </c>
      <c r="L1413">
        <v>0</v>
      </c>
      <c r="M1413">
        <v>4.012428582615038E-3</v>
      </c>
      <c r="N1413">
        <v>0.31843669196934216</v>
      </c>
      <c r="O1413">
        <v>0.15391185150315542</v>
      </c>
      <c r="P1413">
        <v>2.0472454772865422E-2</v>
      </c>
      <c r="Q1413">
        <v>1.273083202385353E-3</v>
      </c>
      <c r="R1413">
        <v>4.0060222860927794E-3</v>
      </c>
      <c r="S1413">
        <v>0.47840790064415839</v>
      </c>
      <c r="T1413">
        <v>4.1151333065403968</v>
      </c>
      <c r="U1413">
        <v>0</v>
      </c>
      <c r="V1413">
        <v>1.1304767209823818E-2</v>
      </c>
      <c r="W1413">
        <v>0.19361051460545486</v>
      </c>
      <c r="X1413">
        <v>2.4443180283394976E-2</v>
      </c>
      <c r="Y1413">
        <v>1.1321324825831362E-2</v>
      </c>
    </row>
    <row r="1414" spans="1:25" x14ac:dyDescent="0.25">
      <c r="A1414" s="1093"/>
      <c r="B1414" s="1452">
        <v>1164</v>
      </c>
      <c r="C1414" s="1097">
        <v>1.034775134055159</v>
      </c>
      <c r="D1414" s="1097">
        <v>0.98577133683625684</v>
      </c>
      <c r="E1414" s="1097">
        <v>0.99205201185849756</v>
      </c>
      <c r="F1414" s="1097">
        <v>0.996481146315077</v>
      </c>
      <c r="G1414" s="1097">
        <v>0.9862184691530882</v>
      </c>
      <c r="H1414" s="1097">
        <v>1.0127307823057523</v>
      </c>
      <c r="I1414" s="1097">
        <v>0.99743133383226679</v>
      </c>
      <c r="K1414">
        <v>5.1300490908619762</v>
      </c>
      <c r="L1414">
        <v>0</v>
      </c>
      <c r="M1414">
        <v>3.6068392686093675E-3</v>
      </c>
      <c r="N1414">
        <v>0.30562709114845482</v>
      </c>
      <c r="O1414">
        <v>0.14393523663093452</v>
      </c>
      <c r="P1414">
        <v>2.0080202885431758E-2</v>
      </c>
      <c r="Q1414">
        <v>1.2583961527636448E-3</v>
      </c>
      <c r="R1414">
        <v>3.6009086822661345E-3</v>
      </c>
      <c r="S1414">
        <v>0.44798926339653727</v>
      </c>
      <c r="T1414">
        <v>3.98226806136346</v>
      </c>
      <c r="U1414">
        <v>0</v>
      </c>
      <c r="V1414">
        <v>1.130476720982381E-2</v>
      </c>
      <c r="W1414">
        <v>0.18303249226498147</v>
      </c>
      <c r="X1414">
        <v>2.4383067543475495E-2</v>
      </c>
      <c r="Y1414">
        <v>1.0176442852456741E-2</v>
      </c>
    </row>
    <row r="1415" spans="1:25" x14ac:dyDescent="0.25">
      <c r="A1415" s="1093"/>
      <c r="B1415" s="1452">
        <v>1165</v>
      </c>
      <c r="C1415" s="1097">
        <v>1.0006758065364725</v>
      </c>
      <c r="D1415" s="1097">
        <v>1.0179451499335046</v>
      </c>
      <c r="E1415" s="1097">
        <v>0.98335779756588115</v>
      </c>
      <c r="F1415" s="1097">
        <v>1.0068787354570379</v>
      </c>
      <c r="G1415" s="1097">
        <v>1.0301795446812507</v>
      </c>
      <c r="H1415" s="1097">
        <v>0.99150306087599138</v>
      </c>
      <c r="I1415" s="1097">
        <v>1.0209615198420228</v>
      </c>
      <c r="K1415">
        <v>5.2037589959767496</v>
      </c>
      <c r="L1415">
        <v>0</v>
      </c>
      <c r="M1415">
        <v>3.7096863008421279E-3</v>
      </c>
      <c r="N1415">
        <v>0.30633495995123378</v>
      </c>
      <c r="O1415">
        <v>0.14871506019706138</v>
      </c>
      <c r="P1415">
        <v>2.0245138177532377E-2</v>
      </c>
      <c r="Q1415">
        <v>1.2750558703565171E-3</v>
      </c>
      <c r="R1415">
        <v>3.7035202462309368E-3</v>
      </c>
      <c r="S1415">
        <v>0.47125599820539832</v>
      </c>
      <c r="T1415">
        <v>4.0249257013652864</v>
      </c>
      <c r="U1415">
        <v>0</v>
      </c>
      <c r="V1415">
        <v>1.1304767209823818E-2</v>
      </c>
      <c r="W1415">
        <v>0.18454671733187214</v>
      </c>
      <c r="X1415">
        <v>2.469533275654771E-2</v>
      </c>
      <c r="Y1415">
        <v>1.0466430966243587E-2</v>
      </c>
    </row>
    <row r="1416" spans="1:25" x14ac:dyDescent="0.25">
      <c r="A1416" s="1093"/>
      <c r="B1416" s="1452">
        <v>1166</v>
      </c>
      <c r="C1416" s="1097">
        <v>0.98693186503666674</v>
      </c>
      <c r="D1416" s="1097">
        <v>0.97295379505288859</v>
      </c>
      <c r="E1416" s="1097">
        <v>0.99311491582312705</v>
      </c>
      <c r="F1416" s="1097">
        <v>1.0164908531186696</v>
      </c>
      <c r="G1416" s="1097">
        <v>1.0005262055330846</v>
      </c>
      <c r="H1416" s="1097">
        <v>0.99874483870967468</v>
      </c>
      <c r="I1416" s="1097">
        <v>1.0295810256348394</v>
      </c>
      <c r="K1416">
        <v>5.2968372122366043</v>
      </c>
      <c r="L1416">
        <v>0</v>
      </c>
      <c r="M1416">
        <v>3.8156530183690602E-3</v>
      </c>
      <c r="N1416">
        <v>0.32434459571990448</v>
      </c>
      <c r="O1416">
        <v>0.15472035782449503</v>
      </c>
      <c r="P1416">
        <v>2.0654202820596546E-2</v>
      </c>
      <c r="Q1416">
        <v>1.3275389504359477E-3</v>
      </c>
      <c r="R1416">
        <v>3.809416258419043E-3</v>
      </c>
      <c r="S1416">
        <v>0.49147004083734341</v>
      </c>
      <c r="T1416">
        <v>4.0620973400491662</v>
      </c>
      <c r="U1416">
        <v>0</v>
      </c>
      <c r="V1416">
        <v>1.1304767209823829E-2</v>
      </c>
      <c r="W1416">
        <v>0.19410174660774038</v>
      </c>
      <c r="X1416">
        <v>2.6057157795575363E-2</v>
      </c>
      <c r="Y1416">
        <v>1.0765701181465246E-2</v>
      </c>
    </row>
    <row r="1417" spans="1:25" x14ac:dyDescent="0.25">
      <c r="A1417" s="1093"/>
      <c r="B1417" s="1452">
        <v>1167</v>
      </c>
      <c r="C1417" s="1097">
        <v>0.9868265950568591</v>
      </c>
      <c r="D1417" s="1097">
        <v>0.98603646286966595</v>
      </c>
      <c r="E1417" s="1097">
        <v>1.0041377135494052</v>
      </c>
      <c r="F1417" s="1097">
        <v>1.0167649346883103</v>
      </c>
      <c r="G1417" s="1097">
        <v>0.97583779465614384</v>
      </c>
      <c r="H1417" s="1097">
        <v>1.0138535624675886</v>
      </c>
      <c r="I1417" s="1097">
        <v>0.99925197799795373</v>
      </c>
      <c r="K1417">
        <v>5.2919653558867417</v>
      </c>
      <c r="L1417">
        <v>0</v>
      </c>
      <c r="M1417">
        <v>3.7657652081963811E-3</v>
      </c>
      <c r="N1417">
        <v>0.33074049934150107</v>
      </c>
      <c r="O1417">
        <v>0.15363595531570901</v>
      </c>
      <c r="P1417">
        <v>2.0765722792590348E-2</v>
      </c>
      <c r="Q1417">
        <v>1.333151857379653E-3</v>
      </c>
      <c r="R1417">
        <v>3.7597033494116915E-3</v>
      </c>
      <c r="S1417">
        <v>0.47882382255098849</v>
      </c>
      <c r="T1417">
        <v>4.0617845687612055</v>
      </c>
      <c r="U1417">
        <v>0</v>
      </c>
      <c r="V1417">
        <v>1.1304767209823825E-2</v>
      </c>
      <c r="W1417">
        <v>0.19645886122170267</v>
      </c>
      <c r="X1417">
        <v>2.6498859989412371E-2</v>
      </c>
      <c r="Y1417">
        <v>1.0625208705209414E-2</v>
      </c>
    </row>
    <row r="1418" spans="1:25" x14ac:dyDescent="0.25">
      <c r="A1418" s="1093"/>
      <c r="B1418" s="1452">
        <v>1168</v>
      </c>
      <c r="C1418" s="1097">
        <v>0.98556323269693147</v>
      </c>
      <c r="D1418" s="1097">
        <v>1.0130430710197986</v>
      </c>
      <c r="E1418" s="1097">
        <v>1.003673623538035</v>
      </c>
      <c r="F1418" s="1097">
        <v>1.0295878190151593</v>
      </c>
      <c r="G1418" s="1097">
        <v>0.99578064976979441</v>
      </c>
      <c r="H1418" s="1097">
        <v>1.0051189475707458</v>
      </c>
      <c r="I1418" s="1097">
        <v>0.98197680886128536</v>
      </c>
      <c r="K1418">
        <v>5.3340382503423838</v>
      </c>
      <c r="L1418">
        <v>0</v>
      </c>
      <c r="M1418">
        <v>3.7481465489523067E-3</v>
      </c>
      <c r="N1418">
        <v>0.32874289998542017</v>
      </c>
      <c r="O1418">
        <v>0.15411180801678065</v>
      </c>
      <c r="P1418">
        <v>2.0961147746940242E-2</v>
      </c>
      <c r="Q1418">
        <v>1.3199871163606133E-3</v>
      </c>
      <c r="R1418">
        <v>3.7421362938918059E-3</v>
      </c>
      <c r="S1418">
        <v>0.4719651418245332</v>
      </c>
      <c r="T1418">
        <v>4.1130694601303643</v>
      </c>
      <c r="U1418">
        <v>0</v>
      </c>
      <c r="V1418">
        <v>1.1304767209823806E-2</v>
      </c>
      <c r="W1418">
        <v>0.19533339112174075</v>
      </c>
      <c r="X1418">
        <v>2.6660094580354291E-2</v>
      </c>
      <c r="Y1418">
        <v>1.057556286512897E-2</v>
      </c>
    </row>
    <row r="1419" spans="1:25" x14ac:dyDescent="0.25">
      <c r="A1419" s="1093"/>
      <c r="B1419" s="1452">
        <v>1169</v>
      </c>
      <c r="C1419" s="1097">
        <v>0.98654842267745391</v>
      </c>
      <c r="D1419" s="1097">
        <v>1.0415480019620429</v>
      </c>
      <c r="E1419" s="1097">
        <v>1.0242329540267991</v>
      </c>
      <c r="F1419" s="1097">
        <v>1.0266428686868296</v>
      </c>
      <c r="G1419" s="1097">
        <v>0.98121507857227475</v>
      </c>
      <c r="H1419" s="1097">
        <v>0.9984549985536173</v>
      </c>
      <c r="I1419" s="1097">
        <v>1.0272651748187112</v>
      </c>
      <c r="K1419">
        <v>5.3287929382506833</v>
      </c>
      <c r="L1419">
        <v>0</v>
      </c>
      <c r="M1419">
        <v>3.5122669884403868E-3</v>
      </c>
      <c r="N1419">
        <v>0.32737768888233193</v>
      </c>
      <c r="O1419">
        <v>0.15123693962149293</v>
      </c>
      <c r="P1419">
        <v>2.1289131175378243E-2</v>
      </c>
      <c r="Q1419">
        <v>1.327088888580249E-3</v>
      </c>
      <c r="R1419">
        <v>3.5065811460218903E-3</v>
      </c>
      <c r="S1419">
        <v>0.48813525409151298</v>
      </c>
      <c r="T1419">
        <v>4.0986721466245113</v>
      </c>
      <c r="U1419">
        <v>0</v>
      </c>
      <c r="V1419">
        <v>1.1304767209823824E-2</v>
      </c>
      <c r="W1419">
        <v>0.19186295880287518</v>
      </c>
      <c r="X1419">
        <v>2.7682782763127304E-2</v>
      </c>
      <c r="Y1419">
        <v>9.9098660334637993E-3</v>
      </c>
    </row>
    <row r="1420" spans="1:25" x14ac:dyDescent="0.25">
      <c r="A1420" s="1093"/>
      <c r="B1420" s="1452">
        <v>1170</v>
      </c>
      <c r="C1420" s="1097">
        <v>0.98215109929134192</v>
      </c>
      <c r="D1420" s="1097">
        <v>0.98217237993519346</v>
      </c>
      <c r="E1420" s="1097">
        <v>1.0181003311887014</v>
      </c>
      <c r="F1420" s="1097">
        <v>0.99570432473415116</v>
      </c>
      <c r="G1420" s="1097">
        <v>1.0183178190015916</v>
      </c>
      <c r="H1420" s="1097">
        <v>1.0012356844251382</v>
      </c>
      <c r="I1420" s="1097">
        <v>1.0199510820228139</v>
      </c>
      <c r="K1420">
        <v>5.1951040581734036</v>
      </c>
      <c r="L1420">
        <v>0</v>
      </c>
      <c r="M1420">
        <v>3.5587039918956362E-3</v>
      </c>
      <c r="N1420">
        <v>0.32572755363117817</v>
      </c>
      <c r="O1420">
        <v>0.15101056035371274</v>
      </c>
      <c r="P1420">
        <v>2.0592563089857234E-2</v>
      </c>
      <c r="Q1420">
        <v>1.3576400045666641E-3</v>
      </c>
      <c r="R1420">
        <v>3.5527807628199402E-3</v>
      </c>
      <c r="S1420">
        <v>0.48044430043396213</v>
      </c>
      <c r="T1420">
        <v>3.9759150252067958</v>
      </c>
      <c r="U1420">
        <v>0</v>
      </c>
      <c r="V1420">
        <v>1.130476720982382E-2</v>
      </c>
      <c r="W1420">
        <v>0.19167746507425135</v>
      </c>
      <c r="X1420">
        <v>2.7039676720619771E-2</v>
      </c>
      <c r="Y1420">
        <v>1.0040429677708969E-2</v>
      </c>
    </row>
    <row r="1421" spans="1:25" x14ac:dyDescent="0.25">
      <c r="A1421" s="1093"/>
      <c r="B1421" s="1452">
        <v>1171</v>
      </c>
      <c r="C1421" s="1097">
        <v>0.95973283386474151</v>
      </c>
      <c r="D1421" s="1097">
        <v>1.0209111845993928</v>
      </c>
      <c r="E1421" s="1097">
        <v>1.0245191786595433</v>
      </c>
      <c r="F1421" s="1097">
        <v>1.0109256563434785</v>
      </c>
      <c r="G1421" s="1097">
        <v>0.95879778871323396</v>
      </c>
      <c r="H1421" s="1097">
        <v>0.96256016614106144</v>
      </c>
      <c r="I1421" s="1097">
        <v>1.0055748199638195</v>
      </c>
      <c r="K1421">
        <v>5.2522525545859429</v>
      </c>
      <c r="L1421">
        <v>0</v>
      </c>
      <c r="M1421">
        <v>3.4528640781420605E-3</v>
      </c>
      <c r="N1421">
        <v>0.32208543716306681</v>
      </c>
      <c r="O1421">
        <v>0.15430459492093127</v>
      </c>
      <c r="P1421">
        <v>2.0963397910067488E-2</v>
      </c>
      <c r="Q1421">
        <v>1.3754648490343147E-3</v>
      </c>
      <c r="R1421">
        <v>3.4469759581355897E-3</v>
      </c>
      <c r="S1421">
        <v>0.4796207241287595</v>
      </c>
      <c r="T1421">
        <v>4.0358883197883033</v>
      </c>
      <c r="U1421">
        <v>0</v>
      </c>
      <c r="V1421">
        <v>1.1304767209823829E-2</v>
      </c>
      <c r="W1421">
        <v>0.18872546627043957</v>
      </c>
      <c r="X1421">
        <v>2.8248853243662376E-2</v>
      </c>
      <c r="Y1421">
        <v>9.741417221856289E-3</v>
      </c>
    </row>
    <row r="1422" spans="1:25" x14ac:dyDescent="0.25">
      <c r="A1422" s="1093"/>
      <c r="B1422" s="1452">
        <v>1172</v>
      </c>
      <c r="C1422" s="1097">
        <v>1.0300626999467419</v>
      </c>
      <c r="D1422" s="1097">
        <v>1.0000489900719443</v>
      </c>
      <c r="E1422" s="1097">
        <v>0.95873050043929897</v>
      </c>
      <c r="F1422" s="1097">
        <v>1.0179831293113246</v>
      </c>
      <c r="G1422" s="1097">
        <v>0.9841150972542565</v>
      </c>
      <c r="H1422" s="1097">
        <v>0.99069789852112877</v>
      </c>
      <c r="I1422" s="1097">
        <v>1.0109375821305071</v>
      </c>
      <c r="K1422">
        <v>5.2237313552455111</v>
      </c>
      <c r="L1422">
        <v>0</v>
      </c>
      <c r="M1422">
        <v>3.8607527666205572E-3</v>
      </c>
      <c r="N1422">
        <v>0.29633310112017841</v>
      </c>
      <c r="O1422">
        <v>0.14778252148335008</v>
      </c>
      <c r="P1422">
        <v>2.0022444536156335E-2</v>
      </c>
      <c r="Q1422">
        <v>1.2209636606856677E-3</v>
      </c>
      <c r="R1422">
        <v>3.8544003439773349E-3</v>
      </c>
      <c r="S1422">
        <v>0.45893332608806181</v>
      </c>
      <c r="T1422">
        <v>4.072505001534485</v>
      </c>
      <c r="U1422">
        <v>0</v>
      </c>
      <c r="V1422">
        <v>1.130476720982382E-2</v>
      </c>
      <c r="W1422">
        <v>0.18157782473575265</v>
      </c>
      <c r="X1422">
        <v>2.3164927658029674E-2</v>
      </c>
      <c r="Y1422">
        <v>1.0892829641625443E-2</v>
      </c>
    </row>
    <row r="1423" spans="1:25" x14ac:dyDescent="0.25">
      <c r="A1423" s="1093"/>
      <c r="B1423" s="1452">
        <v>1173</v>
      </c>
      <c r="C1423" s="1097">
        <v>1.006258003655633</v>
      </c>
      <c r="D1423" s="1097">
        <v>1.0090229668563648</v>
      </c>
      <c r="E1423" s="1097">
        <v>0.99886474694732041</v>
      </c>
      <c r="F1423" s="1097">
        <v>0.97800486514030993</v>
      </c>
      <c r="G1423" s="1097">
        <v>0.98582993646125527</v>
      </c>
      <c r="H1423" s="1097">
        <v>1.0364809129394428</v>
      </c>
      <c r="I1423" s="1097">
        <v>1.0105177506935399</v>
      </c>
      <c r="K1423">
        <v>5.082466519579719</v>
      </c>
      <c r="L1423">
        <v>0</v>
      </c>
      <c r="M1423">
        <v>3.638646558334947E-3</v>
      </c>
      <c r="N1423">
        <v>0.3146137559569902</v>
      </c>
      <c r="O1423">
        <v>0.1437378938726529</v>
      </c>
      <c r="P1423">
        <v>1.9905902876709243E-2</v>
      </c>
      <c r="Q1423">
        <v>1.2895765968848555E-3</v>
      </c>
      <c r="R1423">
        <v>3.6326905153030585E-3</v>
      </c>
      <c r="S1423">
        <v>0.46170538454754856</v>
      </c>
      <c r="T1423">
        <v>3.9075924029410825</v>
      </c>
      <c r="U1423">
        <v>0</v>
      </c>
      <c r="V1423">
        <v>1.1304767209823822E-2</v>
      </c>
      <c r="W1423">
        <v>0.18754614575949094</v>
      </c>
      <c r="X1423">
        <v>2.4510385122516881E-2</v>
      </c>
      <c r="Y1423">
        <v>1.0266260739047257E-2</v>
      </c>
    </row>
    <row r="1424" spans="1:25" x14ac:dyDescent="0.25">
      <c r="A1424" s="1093"/>
      <c r="B1424" s="1452">
        <v>1174</v>
      </c>
      <c r="C1424" s="1097">
        <v>0.99641439670904852</v>
      </c>
      <c r="D1424" s="1097">
        <v>0.98561614713492784</v>
      </c>
      <c r="E1424" s="1097">
        <v>1.0212388876643543</v>
      </c>
      <c r="F1424" s="1097">
        <v>0.97214677935090954</v>
      </c>
      <c r="G1424" s="1097">
        <v>0.9767007344513724</v>
      </c>
      <c r="H1424" s="1097">
        <v>0.9574471493459259</v>
      </c>
      <c r="I1424" s="1097">
        <v>0.98909094856853697</v>
      </c>
      <c r="K1424">
        <v>5.0130928172102118</v>
      </c>
      <c r="L1424">
        <v>0</v>
      </c>
      <c r="M1424">
        <v>3.248930988088651E-3</v>
      </c>
      <c r="N1424">
        <v>0.30011278544809983</v>
      </c>
      <c r="O1424">
        <v>0.14503818359130241</v>
      </c>
      <c r="P1424">
        <v>2.0025429160330298E-2</v>
      </c>
      <c r="Q1424">
        <v>1.3398882675535251E-3</v>
      </c>
      <c r="R1424">
        <v>3.2431392398816284E-3</v>
      </c>
      <c r="S1424">
        <v>0.44187716468723748</v>
      </c>
      <c r="T1424">
        <v>3.8814686216255536</v>
      </c>
      <c r="U1424">
        <v>0</v>
      </c>
      <c r="V1424">
        <v>1.1304767209823822E-2</v>
      </c>
      <c r="W1424">
        <v>0.17623492789261877</v>
      </c>
      <c r="X1424">
        <v>2.6531481982026664E-2</v>
      </c>
      <c r="Y1424">
        <v>9.1653590938733411E-3</v>
      </c>
    </row>
    <row r="1425" spans="1:25" x14ac:dyDescent="0.25">
      <c r="A1425" s="1093"/>
      <c r="B1425" s="1452">
        <v>1175</v>
      </c>
      <c r="C1425" s="1097">
        <v>0.98188436187901651</v>
      </c>
      <c r="D1425" s="1097">
        <v>1.0280879887819749</v>
      </c>
      <c r="E1425" s="1097">
        <v>0.95901769479745436</v>
      </c>
      <c r="F1425" s="1097">
        <v>1.0016994268593471</v>
      </c>
      <c r="G1425" s="1097">
        <v>0.97454435549674223</v>
      </c>
      <c r="H1425" s="1097">
        <v>0.97048670873163156</v>
      </c>
      <c r="I1425" s="1097">
        <v>0.96290834578447404</v>
      </c>
      <c r="K1425">
        <v>5.1492811581992806</v>
      </c>
      <c r="L1425">
        <v>0</v>
      </c>
      <c r="M1425">
        <v>3.858934956113285E-3</v>
      </c>
      <c r="N1425">
        <v>0.29642822832810423</v>
      </c>
      <c r="O1425">
        <v>0.15086776092099827</v>
      </c>
      <c r="P1425">
        <v>1.9683944798011648E-2</v>
      </c>
      <c r="Q1425">
        <v>1.2671037991587666E-3</v>
      </c>
      <c r="R1425">
        <v>3.8523481004130071E-3</v>
      </c>
      <c r="S1425">
        <v>0.44632337632427954</v>
      </c>
      <c r="T1425">
        <v>4.0073242211964519</v>
      </c>
      <c r="U1425">
        <v>0</v>
      </c>
      <c r="V1425">
        <v>1.130476720982381E-2</v>
      </c>
      <c r="W1425">
        <v>0.18159985772725956</v>
      </c>
      <c r="X1425">
        <v>2.3601454906261816E-2</v>
      </c>
      <c r="Y1425">
        <v>1.0887029844631267E-2</v>
      </c>
    </row>
    <row r="1426" spans="1:25" x14ac:dyDescent="0.25">
      <c r="A1426" s="1093"/>
      <c r="B1426" s="1452">
        <v>1176</v>
      </c>
      <c r="C1426" s="1097">
        <v>1.0060728848804232</v>
      </c>
      <c r="D1426" s="1097">
        <v>0.99760782767872758</v>
      </c>
      <c r="E1426" s="1097">
        <v>1.0150201849379012</v>
      </c>
      <c r="F1426" s="1097">
        <v>0.99047451896174643</v>
      </c>
      <c r="G1426" s="1097">
        <v>1.0017606435323732</v>
      </c>
      <c r="H1426" s="1097">
        <v>1.0300743600164755</v>
      </c>
      <c r="I1426" s="1097">
        <v>1.0094200366997188</v>
      </c>
      <c r="K1426">
        <v>5.1490426703769447</v>
      </c>
      <c r="L1426">
        <v>0</v>
      </c>
      <c r="M1426">
        <v>3.5563549069627591E-3</v>
      </c>
      <c r="N1426">
        <v>0.32257121992986831</v>
      </c>
      <c r="O1426">
        <v>0.14581829102624139</v>
      </c>
      <c r="P1426">
        <v>2.0385675696505619E-2</v>
      </c>
      <c r="Q1426">
        <v>1.3136818259957257E-3</v>
      </c>
      <c r="R1426">
        <v>3.550570980461252E-3</v>
      </c>
      <c r="S1426">
        <v>0.46608466661675202</v>
      </c>
      <c r="T1426">
        <v>3.9554121017044208</v>
      </c>
      <c r="U1426">
        <v>0</v>
      </c>
      <c r="V1426">
        <v>1.1304767209823811E-2</v>
      </c>
      <c r="W1426">
        <v>0.19021125273549849</v>
      </c>
      <c r="X1426">
        <v>2.5912612894282445E-2</v>
      </c>
      <c r="Y1426">
        <v>1.0034184664054415E-2</v>
      </c>
    </row>
    <row r="1427" spans="1:25" x14ac:dyDescent="0.25">
      <c r="A1427" s="1093"/>
      <c r="B1427" s="1452">
        <v>1177</v>
      </c>
      <c r="C1427" s="1097">
        <v>0.97647044318482457</v>
      </c>
      <c r="D1427" s="1097">
        <v>0.99759854737333742</v>
      </c>
      <c r="E1427" s="1097">
        <v>1.0011340338272616</v>
      </c>
      <c r="F1427" s="1097">
        <v>1.0001803470982007</v>
      </c>
      <c r="G1427" s="1097">
        <v>0.95760798916616763</v>
      </c>
      <c r="H1427" s="1097">
        <v>1.03401979921669</v>
      </c>
      <c r="I1427" s="1097">
        <v>1.0146814885887461</v>
      </c>
      <c r="K1427">
        <v>5.2363200669180356</v>
      </c>
      <c r="L1427">
        <v>0</v>
      </c>
      <c r="M1427">
        <v>3.824557972990941E-3</v>
      </c>
      <c r="N1427">
        <v>0.33293028479698811</v>
      </c>
      <c r="O1427">
        <v>0.15210800007313996</v>
      </c>
      <c r="P1427">
        <v>2.0458827087459004E-2</v>
      </c>
      <c r="Q1427">
        <v>1.3375811004194744E-3</v>
      </c>
      <c r="R1427">
        <v>3.8184216149378574E-3</v>
      </c>
      <c r="S1427">
        <v>0.48745275119453607</v>
      </c>
      <c r="T1427">
        <v>3.9959089835184507</v>
      </c>
      <c r="U1427">
        <v>0</v>
      </c>
      <c r="V1427">
        <v>1.1304767209823827E-2</v>
      </c>
      <c r="W1427">
        <v>0.1981607501328698</v>
      </c>
      <c r="X1427">
        <v>2.5873107155885471E-2</v>
      </c>
      <c r="Y1427">
        <v>1.0791151006513856E-2</v>
      </c>
    </row>
    <row r="1428" spans="1:25" x14ac:dyDescent="0.25">
      <c r="A1428" s="1093"/>
      <c r="B1428" s="1452">
        <v>1178</v>
      </c>
      <c r="C1428" s="1097">
        <v>0.99706036990727165</v>
      </c>
      <c r="D1428" s="1097">
        <v>1.0013620018112923</v>
      </c>
      <c r="E1428" s="1097">
        <v>1.0114933281398526</v>
      </c>
      <c r="F1428" s="1097">
        <v>0.97567260856755866</v>
      </c>
      <c r="G1428" s="1097">
        <v>1.0193885591188483</v>
      </c>
      <c r="H1428" s="1097">
        <v>0.98664405608372197</v>
      </c>
      <c r="I1428" s="1097">
        <v>0.98970409144934324</v>
      </c>
      <c r="K1428">
        <v>5.0430042242220656</v>
      </c>
      <c r="L1428">
        <v>0</v>
      </c>
      <c r="M1428">
        <v>3.4060934135767889E-3</v>
      </c>
      <c r="N1428">
        <v>0.30570380506992373</v>
      </c>
      <c r="O1428">
        <v>0.14481594420384522</v>
      </c>
      <c r="P1428">
        <v>1.997657483288507E-2</v>
      </c>
      <c r="Q1428">
        <v>1.3196050832765976E-3</v>
      </c>
      <c r="R1428">
        <v>3.4002224355440631E-3</v>
      </c>
      <c r="S1428">
        <v>0.44711447154735917</v>
      </c>
      <c r="T1428">
        <v>3.8967307235009638</v>
      </c>
      <c r="U1428">
        <v>0</v>
      </c>
      <c r="V1428">
        <v>1.1304767209823799E-2</v>
      </c>
      <c r="W1428">
        <v>0.18069137049425119</v>
      </c>
      <c r="X1428">
        <v>2.5743545060222479E-2</v>
      </c>
      <c r="Y1428">
        <v>9.6092881975500428E-3</v>
      </c>
    </row>
    <row r="1429" spans="1:25" x14ac:dyDescent="0.25">
      <c r="A1429" s="1093"/>
      <c r="B1429" s="1452">
        <v>1179</v>
      </c>
      <c r="C1429" s="1097">
        <v>0.96913138110896646</v>
      </c>
      <c r="D1429" s="1097">
        <v>0.97061700689233377</v>
      </c>
      <c r="E1429" s="1097">
        <v>1.0308028652169878</v>
      </c>
      <c r="F1429" s="1097">
        <v>0.99361817135789543</v>
      </c>
      <c r="G1429" s="1097">
        <v>1.0316517616195959</v>
      </c>
      <c r="H1429" s="1097">
        <v>0.99895815063864679</v>
      </c>
      <c r="I1429" s="1097">
        <v>0.96364021344473094</v>
      </c>
      <c r="K1429">
        <v>5.1788806321318184</v>
      </c>
      <c r="L1429">
        <v>0</v>
      </c>
      <c r="M1429">
        <v>3.5122397670952327E-3</v>
      </c>
      <c r="N1429">
        <v>0.33377950507918264</v>
      </c>
      <c r="O1429">
        <v>0.15307637735452417</v>
      </c>
      <c r="P1429">
        <v>2.0642529317165152E-2</v>
      </c>
      <c r="Q1429">
        <v>1.3973054108483692E-3</v>
      </c>
      <c r="R1429">
        <v>3.5063682653702047E-3</v>
      </c>
      <c r="S1429">
        <v>0.45987545885539005</v>
      </c>
      <c r="T1429">
        <v>3.9660185062362614</v>
      </c>
      <c r="U1429">
        <v>0</v>
      </c>
      <c r="V1429">
        <v>1.1304767209823813E-2</v>
      </c>
      <c r="W1429">
        <v>0.19476405955768278</v>
      </c>
      <c r="X1429">
        <v>2.8118730196175796E-2</v>
      </c>
      <c r="Y1429">
        <v>9.9092644164894637E-3</v>
      </c>
    </row>
    <row r="1430" spans="1:25" x14ac:dyDescent="0.25">
      <c r="A1430" s="1093"/>
      <c r="B1430" s="1452">
        <v>1180</v>
      </c>
      <c r="C1430" s="1097">
        <v>0.97120047270171805</v>
      </c>
      <c r="D1430" s="1097">
        <v>0.95874955119126704</v>
      </c>
      <c r="E1430" s="1097">
        <v>1.0088336132112552</v>
      </c>
      <c r="F1430" s="1097">
        <v>1.0022561968317489</v>
      </c>
      <c r="G1430" s="1097">
        <v>0.96599335781763329</v>
      </c>
      <c r="H1430" s="1097">
        <v>0.99699847811543674</v>
      </c>
      <c r="I1430" s="1097">
        <v>1.0114283395561812</v>
      </c>
      <c r="K1430">
        <v>5.2421201308699912</v>
      </c>
      <c r="L1430">
        <v>0</v>
      </c>
      <c r="M1430">
        <v>3.7140598469010376E-3</v>
      </c>
      <c r="N1430">
        <v>0.33075063167194529</v>
      </c>
      <c r="O1430">
        <v>0.15548019649538691</v>
      </c>
      <c r="P1430">
        <v>2.0602779558579656E-2</v>
      </c>
      <c r="Q1430">
        <v>1.3753946852451719E-3</v>
      </c>
      <c r="R1430">
        <v>3.7078922815522073E-3</v>
      </c>
      <c r="S1430">
        <v>0.48595763433627298</v>
      </c>
      <c r="T1430">
        <v>4.0032357816624371</v>
      </c>
      <c r="U1430">
        <v>0</v>
      </c>
      <c r="V1430">
        <v>1.1304767209823827E-2</v>
      </c>
      <c r="W1430">
        <v>0.19584504741297962</v>
      </c>
      <c r="X1430">
        <v>2.7095278730812442E-2</v>
      </c>
      <c r="Y1430">
        <v>1.0478786671850603E-2</v>
      </c>
    </row>
    <row r="1431" spans="1:25" x14ac:dyDescent="0.25">
      <c r="A1431" s="1093"/>
      <c r="B1431" s="1452">
        <v>1181</v>
      </c>
      <c r="C1431" s="1097">
        <v>0.99917745335938468</v>
      </c>
      <c r="D1431" s="1097">
        <v>1.0073941940594855</v>
      </c>
      <c r="E1431" s="1097">
        <v>1.0413479206853595</v>
      </c>
      <c r="F1431" s="1097">
        <v>0.97287230296004201</v>
      </c>
      <c r="G1431" s="1097">
        <v>0.96830269314213491</v>
      </c>
      <c r="H1431" s="1097">
        <v>1.0029352895299308</v>
      </c>
      <c r="I1431" s="1097">
        <v>1.0096884193941702</v>
      </c>
      <c r="K1431">
        <v>5.05043950611367</v>
      </c>
      <c r="L1431">
        <v>0</v>
      </c>
      <c r="M1431">
        <v>3.2265911682019346E-3</v>
      </c>
      <c r="N1431">
        <v>0.31632980429468022</v>
      </c>
      <c r="O1431">
        <v>0.14294164150556937</v>
      </c>
      <c r="P1431">
        <v>2.0390592808230558E-2</v>
      </c>
      <c r="Q1431">
        <v>1.3471219905500757E-3</v>
      </c>
      <c r="R1431">
        <v>3.2211042109093141E-3</v>
      </c>
      <c r="S1431">
        <v>0.45654138009967654</v>
      </c>
      <c r="T1431">
        <v>3.8819454770659143</v>
      </c>
      <c r="U1431">
        <v>0</v>
      </c>
      <c r="V1431">
        <v>1.1304767209823811E-2</v>
      </c>
      <c r="W1431">
        <v>0.18330254362210621</v>
      </c>
      <c r="X1431">
        <v>2.7238578054707557E-2</v>
      </c>
      <c r="Y1431">
        <v>9.1030864197027047E-3</v>
      </c>
    </row>
    <row r="1432" spans="1:25" x14ac:dyDescent="0.25">
      <c r="A1432" s="1093"/>
      <c r="B1432" s="1452">
        <v>1182</v>
      </c>
      <c r="C1432" s="1097">
        <v>0.9964599845553026</v>
      </c>
      <c r="D1432" s="1097">
        <v>1.0131094042486886</v>
      </c>
      <c r="E1432" s="1097">
        <v>0.95859871915088579</v>
      </c>
      <c r="F1432" s="1097">
        <v>0.98094128326537</v>
      </c>
      <c r="G1432" s="1097">
        <v>0.97477081941933497</v>
      </c>
      <c r="H1432" s="1097">
        <v>1.0434015477077592</v>
      </c>
      <c r="I1432" s="1097">
        <v>0.99780014772587988</v>
      </c>
      <c r="K1432">
        <v>5.0976224132628118</v>
      </c>
      <c r="L1432">
        <v>0</v>
      </c>
      <c r="M1432">
        <v>4.0307038830798888E-3</v>
      </c>
      <c r="N1432">
        <v>0.3092640976800039</v>
      </c>
      <c r="O1432">
        <v>0.14644883186523322</v>
      </c>
      <c r="P1432">
        <v>1.9382833756723155E-2</v>
      </c>
      <c r="Q1432">
        <v>1.255457876022207E-3</v>
      </c>
      <c r="R1432">
        <v>4.0241694353377261E-3</v>
      </c>
      <c r="S1432">
        <v>0.46243056431046209</v>
      </c>
      <c r="T1432">
        <v>3.9243333295543432</v>
      </c>
      <c r="U1432">
        <v>0</v>
      </c>
      <c r="V1432">
        <v>1.1304767209823815E-2</v>
      </c>
      <c r="W1432">
        <v>0.18951864232568541</v>
      </c>
      <c r="X1432">
        <v>2.2317813077184553E-2</v>
      </c>
      <c r="Y1432">
        <v>1.1372610055066883E-2</v>
      </c>
    </row>
    <row r="1433" spans="1:25" x14ac:dyDescent="0.25">
      <c r="A1433" s="1093"/>
      <c r="B1433" s="1452">
        <v>1183</v>
      </c>
      <c r="C1433" s="1097">
        <v>1.0030848856208385</v>
      </c>
      <c r="D1433" s="1097">
        <v>1.0072050553425989</v>
      </c>
      <c r="E1433" s="1097">
        <v>0.96958355026406806</v>
      </c>
      <c r="F1433" s="1097">
        <v>0.99765232702069218</v>
      </c>
      <c r="G1433" s="1097">
        <v>1.0138963169307873</v>
      </c>
      <c r="H1433" s="1097">
        <v>1.0121645413597162</v>
      </c>
      <c r="I1433" s="1097">
        <v>0.97139794144780012</v>
      </c>
      <c r="K1433">
        <v>5.1463404653556228</v>
      </c>
      <c r="L1433">
        <v>0</v>
      </c>
      <c r="M1433">
        <v>3.8694788600928238E-3</v>
      </c>
      <c r="N1433">
        <v>0.30673578598796941</v>
      </c>
      <c r="O1433">
        <v>0.14800342889394544</v>
      </c>
      <c r="P1433">
        <v>1.9776538090345713E-2</v>
      </c>
      <c r="Q1433">
        <v>1.262185391161083E-3</v>
      </c>
      <c r="R1433">
        <v>3.8631203270961573E-3</v>
      </c>
      <c r="S1433">
        <v>0.44850422574931614</v>
      </c>
      <c r="T1433">
        <v>3.9897881493933829</v>
      </c>
      <c r="U1433">
        <v>0</v>
      </c>
      <c r="V1433">
        <v>1.1304767209823817E-2</v>
      </c>
      <c r="W1433">
        <v>0.1865445742420884</v>
      </c>
      <c r="X1433">
        <v>2.350969595092621E-2</v>
      </c>
      <c r="Y1433">
        <v>1.0917472979658449E-2</v>
      </c>
    </row>
    <row r="1434" spans="1:25" x14ac:dyDescent="0.25">
      <c r="A1434" s="1093"/>
      <c r="B1434" s="1452">
        <v>1184</v>
      </c>
      <c r="C1434" s="1097">
        <v>1.0040615694014445</v>
      </c>
      <c r="D1434" s="1097">
        <v>0.99818841017927795</v>
      </c>
      <c r="E1434" s="1097">
        <v>1.0262705353935841</v>
      </c>
      <c r="F1434" s="1097">
        <v>0.96912095158511402</v>
      </c>
      <c r="G1434" s="1097">
        <v>0.98395257786966905</v>
      </c>
      <c r="H1434" s="1097">
        <v>1.0175785798253179</v>
      </c>
      <c r="I1434" s="1097">
        <v>1.0142747671348908</v>
      </c>
      <c r="K1434">
        <v>5.0380854310835206</v>
      </c>
      <c r="L1434">
        <v>0</v>
      </c>
      <c r="M1434">
        <v>3.3628018615999723E-3</v>
      </c>
      <c r="N1434">
        <v>0.31532048702680543</v>
      </c>
      <c r="O1434">
        <v>0.14262459055388876</v>
      </c>
      <c r="P1434">
        <v>2.0117096014098459E-2</v>
      </c>
      <c r="Q1434">
        <v>1.3285904285838799E-3</v>
      </c>
      <c r="R1434">
        <v>3.3571437844588789E-3</v>
      </c>
      <c r="S1434">
        <v>0.45843542203510096</v>
      </c>
      <c r="T1434">
        <v>3.8687821022709108</v>
      </c>
      <c r="U1434">
        <v>0</v>
      </c>
      <c r="V1434">
        <v>1.1304767209823829E-2</v>
      </c>
      <c r="W1434">
        <v>0.18454670179387728</v>
      </c>
      <c r="X1434">
        <v>2.6143787186882029E-2</v>
      </c>
      <c r="Y1434">
        <v>9.4875446406838867E-3</v>
      </c>
    </row>
    <row r="1435" spans="1:25" x14ac:dyDescent="0.25">
      <c r="A1435" s="1093"/>
      <c r="B1435" s="1452">
        <v>1185</v>
      </c>
      <c r="C1435" s="1097">
        <v>0.96550697722297496</v>
      </c>
      <c r="D1435" s="1097">
        <v>0.99631547844095891</v>
      </c>
      <c r="E1435" s="1097">
        <v>0.97033817569305203</v>
      </c>
      <c r="F1435" s="1097">
        <v>1.0127241374410199</v>
      </c>
      <c r="G1435" s="1097">
        <v>1.0211189027676344</v>
      </c>
      <c r="H1435" s="1097">
        <v>0.9650035783857982</v>
      </c>
      <c r="I1435" s="1097">
        <v>1.0086377141650407</v>
      </c>
      <c r="K1435">
        <v>5.255631421354205</v>
      </c>
      <c r="L1435">
        <v>0</v>
      </c>
      <c r="M1435">
        <v>3.9013529945620897E-3</v>
      </c>
      <c r="N1435">
        <v>0.30993929201075932</v>
      </c>
      <c r="O1435">
        <v>0.15674486373108651</v>
      </c>
      <c r="P1435">
        <v>2.0202987555602334E-2</v>
      </c>
      <c r="Q1435">
        <v>1.3178929609962257E-3</v>
      </c>
      <c r="R1435">
        <v>3.8947286837378776E-3</v>
      </c>
      <c r="S1435">
        <v>0.48163953199011161</v>
      </c>
      <c r="T1435">
        <v>4.0499656857706947</v>
      </c>
      <c r="U1435">
        <v>0</v>
      </c>
      <c r="V1435">
        <v>1.1304767209823832E-2</v>
      </c>
      <c r="W1435">
        <v>0.18839472104247904</v>
      </c>
      <c r="X1435">
        <v>2.5121502784757319E-2</v>
      </c>
      <c r="Y1435">
        <v>1.1006800608711826E-2</v>
      </c>
    </row>
    <row r="1436" spans="1:25" x14ac:dyDescent="0.25">
      <c r="A1436" s="1093"/>
      <c r="B1436" s="1452">
        <v>1186</v>
      </c>
      <c r="C1436" s="1097">
        <v>0.99941934451535441</v>
      </c>
      <c r="D1436" s="1097">
        <v>0.96829449194462214</v>
      </c>
      <c r="E1436" s="1097">
        <v>1.0254250790150827</v>
      </c>
      <c r="F1436" s="1097">
        <v>1.0356591779272595</v>
      </c>
      <c r="G1436" s="1097">
        <v>1.0315778829075775</v>
      </c>
      <c r="H1436" s="1097">
        <v>0.9668452336320903</v>
      </c>
      <c r="I1436" s="1097">
        <v>1.0399169075007675</v>
      </c>
      <c r="K1436">
        <v>5.3697738606343544</v>
      </c>
      <c r="L1436">
        <v>0</v>
      </c>
      <c r="M1436">
        <v>3.4781819177767664E-3</v>
      </c>
      <c r="N1436">
        <v>0.32533317817148311</v>
      </c>
      <c r="O1436">
        <v>0.15502335573045881</v>
      </c>
      <c r="P1436">
        <v>2.1491150111374303E-2</v>
      </c>
      <c r="Q1436">
        <v>1.3501318277565624E-3</v>
      </c>
      <c r="R1436">
        <v>3.4724177080601099E-3</v>
      </c>
      <c r="S1436">
        <v>0.49189175318937461</v>
      </c>
      <c r="T1436">
        <v>4.1345148143396084</v>
      </c>
      <c r="U1436">
        <v>0</v>
      </c>
      <c r="V1436">
        <v>1.130476720982382E-2</v>
      </c>
      <c r="W1436">
        <v>0.19051374755488992</v>
      </c>
      <c r="X1436">
        <v>2.8543409159768295E-2</v>
      </c>
      <c r="Y1436">
        <v>9.8133175495287005E-3</v>
      </c>
    </row>
    <row r="1437" spans="1:25" x14ac:dyDescent="0.25">
      <c r="A1437" s="1093"/>
      <c r="B1437" s="1452">
        <v>1187</v>
      </c>
      <c r="C1437" s="1097">
        <v>1.0090588407007652</v>
      </c>
      <c r="D1437" s="1097">
        <v>1.0061272355207136</v>
      </c>
      <c r="E1437" s="1097">
        <v>1.0219218008031603</v>
      </c>
      <c r="F1437" s="1097">
        <v>0.99304447706140664</v>
      </c>
      <c r="G1437" s="1097">
        <v>0.9819214916022827</v>
      </c>
      <c r="H1437" s="1097">
        <v>0.99059028250123105</v>
      </c>
      <c r="I1437" s="1097">
        <v>1.0308044341869098</v>
      </c>
      <c r="K1437">
        <v>5.139621196418056</v>
      </c>
      <c r="L1437">
        <v>0</v>
      </c>
      <c r="M1437">
        <v>3.3578385999815078E-3</v>
      </c>
      <c r="N1437">
        <v>0.31082997535973661</v>
      </c>
      <c r="O1437">
        <v>0.14508041889526763</v>
      </c>
      <c r="P1437">
        <v>2.053819310319583E-2</v>
      </c>
      <c r="Q1437">
        <v>1.3130001388442128E-3</v>
      </c>
      <c r="R1437">
        <v>3.35217453155276E-3</v>
      </c>
      <c r="S1437">
        <v>0.46729071600558353</v>
      </c>
      <c r="T1437">
        <v>3.9648221119386733</v>
      </c>
      <c r="U1437">
        <v>0</v>
      </c>
      <c r="V1437">
        <v>1.1304767209823824E-2</v>
      </c>
      <c r="W1437">
        <v>0.18244536430502806</v>
      </c>
      <c r="X1437">
        <v>2.6528812377741545E-2</v>
      </c>
      <c r="Y1437">
        <v>9.4735011525866816E-3</v>
      </c>
    </row>
    <row r="1438" spans="1:25" x14ac:dyDescent="0.25">
      <c r="A1438" s="1093"/>
      <c r="B1438" s="1452">
        <v>1188</v>
      </c>
      <c r="C1438" s="1097">
        <v>1.0218406327612657</v>
      </c>
      <c r="D1438" s="1097">
        <v>1.0225877294151342</v>
      </c>
      <c r="E1438" s="1097">
        <v>0.95703342093266142</v>
      </c>
      <c r="F1438" s="1097">
        <v>1.0056022055673426</v>
      </c>
      <c r="G1438" s="1097">
        <v>0.99644780764403806</v>
      </c>
      <c r="H1438" s="1097">
        <v>0.9528212673967752</v>
      </c>
      <c r="I1438" s="1097">
        <v>0.98538415083108777</v>
      </c>
      <c r="K1438">
        <v>5.1254980471449789</v>
      </c>
      <c r="L1438">
        <v>0</v>
      </c>
      <c r="M1438">
        <v>3.677791126209049E-3</v>
      </c>
      <c r="N1438">
        <v>0.28084519590529439</v>
      </c>
      <c r="O1438">
        <v>0.14589972026800876</v>
      </c>
      <c r="P1438">
        <v>1.9685077708528155E-2</v>
      </c>
      <c r="Q1438">
        <v>1.2180430015548479E-3</v>
      </c>
      <c r="R1438">
        <v>3.6714218526610726E-3</v>
      </c>
      <c r="S1438">
        <v>0.43758403154848058</v>
      </c>
      <c r="T1438">
        <v>4.0231928243279462</v>
      </c>
      <c r="U1438">
        <v>0</v>
      </c>
      <c r="V1438">
        <v>1.1304767209823822E-2</v>
      </c>
      <c r="W1438">
        <v>0.17229088474081117</v>
      </c>
      <c r="X1438">
        <v>2.3108153252656211E-2</v>
      </c>
      <c r="Y1438">
        <v>1.037571845541873E-2</v>
      </c>
    </row>
    <row r="1439" spans="1:25" x14ac:dyDescent="0.25">
      <c r="A1439" s="1093"/>
      <c r="B1439" s="1452">
        <v>1189</v>
      </c>
      <c r="C1439" s="1097">
        <v>1.0212423954181304</v>
      </c>
      <c r="D1439" s="1097">
        <v>1.0172028223001082</v>
      </c>
      <c r="E1439" s="1097">
        <v>0.98726753385811017</v>
      </c>
      <c r="F1439" s="1097">
        <v>0.97286802202066514</v>
      </c>
      <c r="G1439" s="1097">
        <v>1.0299012242973153</v>
      </c>
      <c r="H1439" s="1097">
        <v>0.98094493208780575</v>
      </c>
      <c r="I1439" s="1097">
        <v>1.014910555766543</v>
      </c>
      <c r="K1439">
        <v>5.0000804206906748</v>
      </c>
      <c r="L1439">
        <v>0</v>
      </c>
      <c r="M1439">
        <v>3.4475709242265651E-3</v>
      </c>
      <c r="N1439">
        <v>0.28798894572114958</v>
      </c>
      <c r="O1439">
        <v>0.140736091817313</v>
      </c>
      <c r="P1439">
        <v>1.9568393208803107E-2</v>
      </c>
      <c r="Q1439">
        <v>1.2539765403414152E-3</v>
      </c>
      <c r="R1439">
        <v>3.441576726822338E-3</v>
      </c>
      <c r="S1439">
        <v>0.44417075882430551</v>
      </c>
      <c r="T1439">
        <v>3.8884894559728567</v>
      </c>
      <c r="U1439">
        <v>0</v>
      </c>
      <c r="V1439">
        <v>1.1304767209823832E-2</v>
      </c>
      <c r="W1439">
        <v>0.17303200702243351</v>
      </c>
      <c r="X1439">
        <v>2.3815859989091671E-2</v>
      </c>
      <c r="Y1439">
        <v>9.7261585819532273E-3</v>
      </c>
    </row>
    <row r="1440" spans="1:25" x14ac:dyDescent="0.25">
      <c r="A1440" s="1093"/>
      <c r="B1440" s="1452">
        <v>1190</v>
      </c>
      <c r="C1440" s="1097">
        <v>1.0215436313618469</v>
      </c>
      <c r="D1440" s="1097">
        <v>0.97706434153229882</v>
      </c>
      <c r="E1440" s="1097">
        <v>0.99492549906088779</v>
      </c>
      <c r="F1440" s="1097">
        <v>0.99631402789234547</v>
      </c>
      <c r="G1440" s="1097">
        <v>1.0022463513296234</v>
      </c>
      <c r="H1440" s="1097">
        <v>0.98933525826161939</v>
      </c>
      <c r="I1440" s="1097">
        <v>0.96540076488169579</v>
      </c>
      <c r="K1440">
        <v>5.1169302413565374</v>
      </c>
      <c r="L1440">
        <v>0</v>
      </c>
      <c r="M1440">
        <v>3.559659041933482E-3</v>
      </c>
      <c r="N1440">
        <v>0.30419761587460975</v>
      </c>
      <c r="O1440">
        <v>0.14621461643798012</v>
      </c>
      <c r="P1440">
        <v>2.006349857563244E-2</v>
      </c>
      <c r="Q1440">
        <v>1.2823944235587225E-3</v>
      </c>
      <c r="R1440">
        <v>3.5536666185652286E-3</v>
      </c>
      <c r="S1440">
        <v>0.43577314284098395</v>
      </c>
      <c r="T1440">
        <v>3.9812396559886642</v>
      </c>
      <c r="U1440">
        <v>0</v>
      </c>
      <c r="V1440">
        <v>1.1304767209823808E-2</v>
      </c>
      <c r="W1440">
        <v>0.1818213856676191</v>
      </c>
      <c r="X1440">
        <v>2.4996223587358261E-2</v>
      </c>
      <c r="Y1440">
        <v>1.0042933173677044E-2</v>
      </c>
    </row>
    <row r="1441" spans="1:25" x14ac:dyDescent="0.25">
      <c r="A1441" s="1093"/>
      <c r="B1441" s="1452">
        <v>1191</v>
      </c>
      <c r="C1441" s="1097">
        <v>1.0264469221111878</v>
      </c>
      <c r="D1441" s="1097">
        <v>0.97404795898998797</v>
      </c>
      <c r="E1441" s="1097">
        <v>0.98613994396711702</v>
      </c>
      <c r="F1441" s="1097">
        <v>0.99321231385025655</v>
      </c>
      <c r="G1441" s="1097">
        <v>0.96734775074471502</v>
      </c>
      <c r="H1441" s="1097">
        <v>0.95339266007202794</v>
      </c>
      <c r="I1441" s="1097">
        <v>1.0260359247280006</v>
      </c>
      <c r="K1441">
        <v>5.0984269333248413</v>
      </c>
      <c r="L1441">
        <v>0</v>
      </c>
      <c r="M1441">
        <v>3.4710890258971942E-3</v>
      </c>
      <c r="N1441">
        <v>0.28898147599429475</v>
      </c>
      <c r="O1441">
        <v>0.14548173767310266</v>
      </c>
      <c r="P1441">
        <v>1.9959288214494584E-2</v>
      </c>
      <c r="Q1441">
        <v>1.2682047419903088E-3</v>
      </c>
      <c r="R1441">
        <v>3.4650065077440452E-3</v>
      </c>
      <c r="S1441">
        <v>0.45326043677416966</v>
      </c>
      <c r="T1441">
        <v>3.9699457403602256</v>
      </c>
      <c r="U1441">
        <v>0</v>
      </c>
      <c r="V1441">
        <v>1.1304767209823818E-2</v>
      </c>
      <c r="W1441">
        <v>0.17376192391474929</v>
      </c>
      <c r="X1441">
        <v>2.4677068028525612E-2</v>
      </c>
      <c r="Y1441">
        <v>9.7923729316171243E-3</v>
      </c>
    </row>
    <row r="1442" spans="1:25" x14ac:dyDescent="0.25">
      <c r="A1442" s="1093"/>
      <c r="B1442" s="1452">
        <v>1192</v>
      </c>
      <c r="C1442" s="1097">
        <v>1.026239070403461</v>
      </c>
      <c r="D1442" s="1097">
        <v>1.0316311041231396</v>
      </c>
      <c r="E1442" s="1097">
        <v>0.98322543862187595</v>
      </c>
      <c r="F1442" s="1097">
        <v>1.0121981485938802</v>
      </c>
      <c r="G1442" s="1097">
        <v>1.0076617259151639</v>
      </c>
      <c r="H1442" s="1097">
        <v>0.99692340531543111</v>
      </c>
      <c r="I1442" s="1097">
        <v>0.99920668387316258</v>
      </c>
      <c r="K1442">
        <v>5.1912192823716037</v>
      </c>
      <c r="L1442">
        <v>0</v>
      </c>
      <c r="M1442">
        <v>3.6377688588670135E-3</v>
      </c>
      <c r="N1442">
        <v>0.30028362592517993</v>
      </c>
      <c r="O1442">
        <v>0.14500363860771176</v>
      </c>
      <c r="P1442">
        <v>2.0250181127166048E-2</v>
      </c>
      <c r="Q1442">
        <v>1.2365288628513743E-3</v>
      </c>
      <c r="R1442">
        <v>3.6317867689017241E-3</v>
      </c>
      <c r="S1442">
        <v>0.45155638662585346</v>
      </c>
      <c r="T1442">
        <v>4.0462066273767521</v>
      </c>
      <c r="U1442">
        <v>0</v>
      </c>
      <c r="V1442">
        <v>1.1304767209823815E-2</v>
      </c>
      <c r="W1442">
        <v>0.18091755425436035</v>
      </c>
      <c r="X1442">
        <v>2.4202247789150519E-2</v>
      </c>
      <c r="Y1442">
        <v>1.0263706682719313E-2</v>
      </c>
    </row>
    <row r="1443" spans="1:25" x14ac:dyDescent="0.25">
      <c r="A1443" s="1093"/>
      <c r="B1443" s="1452">
        <v>1193</v>
      </c>
      <c r="C1443" s="1097">
        <v>1.002231048390803</v>
      </c>
      <c r="D1443" s="1097">
        <v>1.0061318458088413</v>
      </c>
      <c r="E1443" s="1097">
        <v>0.99331494488195948</v>
      </c>
      <c r="F1443" s="1097">
        <v>0.9591835358736559</v>
      </c>
      <c r="G1443" s="1097">
        <v>1.0322484065068918</v>
      </c>
      <c r="H1443" s="1097">
        <v>1.0137166516535756</v>
      </c>
      <c r="I1443" s="1097">
        <v>0.99716356706246889</v>
      </c>
      <c r="K1443">
        <v>4.9696934849049619</v>
      </c>
      <c r="L1443">
        <v>0</v>
      </c>
      <c r="M1443">
        <v>3.549629280517858E-3</v>
      </c>
      <c r="N1443">
        <v>0.30188882369252912</v>
      </c>
      <c r="O1443">
        <v>0.1418481501620556</v>
      </c>
      <c r="P1443">
        <v>1.941623275970487E-2</v>
      </c>
      <c r="Q1443">
        <v>1.2900789623794921E-3</v>
      </c>
      <c r="R1443">
        <v>3.543572099914934E-3</v>
      </c>
      <c r="S1443">
        <v>0.44625775138883572</v>
      </c>
      <c r="T1443">
        <v>3.8330618649876609</v>
      </c>
      <c r="U1443">
        <v>0</v>
      </c>
      <c r="V1443">
        <v>1.1304767209823806E-2</v>
      </c>
      <c r="W1443">
        <v>0.18063871165297729</v>
      </c>
      <c r="X1443">
        <v>2.3978755976308223E-2</v>
      </c>
      <c r="Y1443">
        <v>1.0014405293291267E-2</v>
      </c>
    </row>
    <row r="1444" spans="1:25" x14ac:dyDescent="0.25">
      <c r="A1444" s="1093"/>
      <c r="B1444" s="1452">
        <v>1194</v>
      </c>
      <c r="C1444" s="1097">
        <v>1.0310694673104892</v>
      </c>
      <c r="D1444" s="1097">
        <v>1.0186484393501198</v>
      </c>
      <c r="E1444" s="1097">
        <v>1.0085828780956323</v>
      </c>
      <c r="F1444" s="1097">
        <v>0.99165799131290533</v>
      </c>
      <c r="G1444" s="1097">
        <v>0.96916804108640353</v>
      </c>
      <c r="H1444" s="1097">
        <v>1.0247882823124921</v>
      </c>
      <c r="I1444" s="1097">
        <v>1.0000850756610391</v>
      </c>
      <c r="K1444">
        <v>5.1104787242578835</v>
      </c>
      <c r="L1444">
        <v>0</v>
      </c>
      <c r="M1444">
        <v>3.4745801168053671E-3</v>
      </c>
      <c r="N1444">
        <v>0.30920304920983344</v>
      </c>
      <c r="O1444">
        <v>0.14143992175051229</v>
      </c>
      <c r="P1444">
        <v>2.0232574859286187E-2</v>
      </c>
      <c r="Q1444">
        <v>1.264235062573549E-3</v>
      </c>
      <c r="R1444">
        <v>3.4689068045630259E-3</v>
      </c>
      <c r="S1444">
        <v>0.44821952102182677</v>
      </c>
      <c r="T1444">
        <v>3.9609352644235165</v>
      </c>
      <c r="U1444">
        <v>0</v>
      </c>
      <c r="V1444">
        <v>1.1304767209823818E-2</v>
      </c>
      <c r="W1444">
        <v>0.18311707561095442</v>
      </c>
      <c r="X1444">
        <v>2.496459295359867E-2</v>
      </c>
      <c r="Y1444">
        <v>9.8033954682011405E-3</v>
      </c>
    </row>
    <row r="1445" spans="1:25" x14ac:dyDescent="0.25">
      <c r="A1445" s="1093"/>
      <c r="B1445" s="1452">
        <v>1195</v>
      </c>
      <c r="C1445" s="1097">
        <v>0.96592804858525638</v>
      </c>
      <c r="D1445" s="1097">
        <v>0.98276051668468845</v>
      </c>
      <c r="E1445" s="1097">
        <v>1.0131812618746769</v>
      </c>
      <c r="F1445" s="1097">
        <v>1.0023178793914502</v>
      </c>
      <c r="G1445" s="1097">
        <v>1.0239808051780093</v>
      </c>
      <c r="H1445" s="1097">
        <v>1.007662437890336</v>
      </c>
      <c r="I1445" s="1097">
        <v>0.99231107909665572</v>
      </c>
      <c r="K1445">
        <v>5.2389559387233762</v>
      </c>
      <c r="L1445">
        <v>0</v>
      </c>
      <c r="M1445">
        <v>3.7032257909897352E-3</v>
      </c>
      <c r="N1445">
        <v>0.33406398370760915</v>
      </c>
      <c r="O1445">
        <v>0.15467279546035884</v>
      </c>
      <c r="P1445">
        <v>2.0636168277667923E-2</v>
      </c>
      <c r="Q1445">
        <v>1.3743627285388198E-3</v>
      </c>
      <c r="R1445">
        <v>3.6971416706271117E-3</v>
      </c>
      <c r="S1445">
        <v>0.47910512312503323</v>
      </c>
      <c r="T1445">
        <v>4.0029378680179484</v>
      </c>
      <c r="U1445">
        <v>0</v>
      </c>
      <c r="V1445">
        <v>1.1304767209823824E-2</v>
      </c>
      <c r="W1445">
        <v>0.19723087004196665</v>
      </c>
      <c r="X1445">
        <v>2.7187679650182622E-2</v>
      </c>
      <c r="Y1445">
        <v>1.0448404624605962E-2</v>
      </c>
    </row>
    <row r="1446" spans="1:25" x14ac:dyDescent="0.25">
      <c r="A1446" s="1093"/>
      <c r="B1446" s="1452">
        <v>1196</v>
      </c>
      <c r="C1446" s="1097">
        <v>1.0014036916962372</v>
      </c>
      <c r="D1446" s="1097">
        <v>1.015974981403547</v>
      </c>
      <c r="E1446" s="1097">
        <v>0.9867969001786836</v>
      </c>
      <c r="F1446" s="1097">
        <v>0.97038709680120216</v>
      </c>
      <c r="G1446" s="1097">
        <v>0.98273757194945088</v>
      </c>
      <c r="H1446" s="1097">
        <v>0.97673555579805693</v>
      </c>
      <c r="I1446" s="1097">
        <v>1.0172094194985415</v>
      </c>
      <c r="K1446">
        <v>5.0073870205077249</v>
      </c>
      <c r="L1446">
        <v>0</v>
      </c>
      <c r="M1446">
        <v>3.4970157641899891E-3</v>
      </c>
      <c r="N1446">
        <v>0.29170831383725654</v>
      </c>
      <c r="O1446">
        <v>0.14323998643388811</v>
      </c>
      <c r="P1446">
        <v>1.9553964219139946E-2</v>
      </c>
      <c r="Q1446">
        <v>1.2789166793649017E-3</v>
      </c>
      <c r="R1446">
        <v>3.4908938100217308E-3</v>
      </c>
      <c r="S1446">
        <v>0.45236457726709151</v>
      </c>
      <c r="T1446">
        <v>3.8786310498363004</v>
      </c>
      <c r="U1446">
        <v>0</v>
      </c>
      <c r="V1446">
        <v>1.1304767209823825E-2</v>
      </c>
      <c r="W1446">
        <v>0.17532296289348159</v>
      </c>
      <c r="X1446">
        <v>2.4123071661285373E-2</v>
      </c>
      <c r="Y1446">
        <v>9.8655324242558975E-3</v>
      </c>
    </row>
    <row r="1447" spans="1:25" x14ac:dyDescent="0.25">
      <c r="A1447" s="1093"/>
      <c r="B1447" s="1452">
        <v>1197</v>
      </c>
      <c r="C1447" s="1097">
        <v>1.0369186016233785</v>
      </c>
      <c r="D1447" s="1097">
        <v>0.96432163790565906</v>
      </c>
      <c r="E1447" s="1097">
        <v>0.99971056368512057</v>
      </c>
      <c r="F1447" s="1097">
        <v>0.97931592354207209</v>
      </c>
      <c r="G1447" s="1097">
        <v>1.0075785604989029</v>
      </c>
      <c r="H1447" s="1097">
        <v>0.99825128577234212</v>
      </c>
      <c r="I1447" s="1097">
        <v>1.0170570470221449</v>
      </c>
      <c r="K1447">
        <v>5.04922665258945</v>
      </c>
      <c r="L1447">
        <v>0</v>
      </c>
      <c r="M1447">
        <v>3.4614821796636074E-3</v>
      </c>
      <c r="N1447">
        <v>0.30002822074195296</v>
      </c>
      <c r="O1447">
        <v>0.14220685197913879</v>
      </c>
      <c r="P1447">
        <v>1.9882443062619652E-2</v>
      </c>
      <c r="Q1447">
        <v>1.2752591260350556E-3</v>
      </c>
      <c r="R1447">
        <v>3.4556070065080388E-3</v>
      </c>
      <c r="S1447">
        <v>0.44865233824113787</v>
      </c>
      <c r="T1447">
        <v>3.9127266687465356</v>
      </c>
      <c r="U1447">
        <v>0</v>
      </c>
      <c r="V1447">
        <v>1.1304767209823815E-2</v>
      </c>
      <c r="W1447">
        <v>0.17874921825507695</v>
      </c>
      <c r="X1447">
        <v>2.4640951176779707E-2</v>
      </c>
      <c r="Y1447">
        <v>9.7658092235062017E-3</v>
      </c>
    </row>
    <row r="1448" spans="1:25" x14ac:dyDescent="0.25">
      <c r="A1448" s="1093"/>
      <c r="B1448" s="1452">
        <v>1198</v>
      </c>
      <c r="C1448" s="1097">
        <v>0.96087144070575514</v>
      </c>
      <c r="D1448" s="1097">
        <v>1.0396696296790942</v>
      </c>
      <c r="E1448" s="1097">
        <v>1.0277520211893119</v>
      </c>
      <c r="F1448" s="1097">
        <v>0.9652655149968663</v>
      </c>
      <c r="G1448" s="1097">
        <v>0.99137885618307164</v>
      </c>
      <c r="H1448" s="1097">
        <v>1.0109132521267776</v>
      </c>
      <c r="I1448" s="1097">
        <v>1.0311358237460895</v>
      </c>
      <c r="K1448">
        <v>5.0575698558025932</v>
      </c>
      <c r="L1448">
        <v>0</v>
      </c>
      <c r="M1448">
        <v>3.4102042616307544E-3</v>
      </c>
      <c r="N1448">
        <v>0.32116344320538698</v>
      </c>
      <c r="O1448">
        <v>0.14600368162964339</v>
      </c>
      <c r="P1448">
        <v>2.016762043626083E-2</v>
      </c>
      <c r="Q1448">
        <v>1.3675873926720656E-3</v>
      </c>
      <c r="R1448">
        <v>3.4044055666286131E-3</v>
      </c>
      <c r="S1448">
        <v>0.48020556630524758</v>
      </c>
      <c r="T1448">
        <v>3.853213741958065</v>
      </c>
      <c r="U1448">
        <v>0</v>
      </c>
      <c r="V1448">
        <v>1.130476720982383E-2</v>
      </c>
      <c r="W1448">
        <v>0.18778167867080622</v>
      </c>
      <c r="X1448">
        <v>2.6746457644322215E-2</v>
      </c>
      <c r="Y1448">
        <v>9.6211100453619299E-3</v>
      </c>
    </row>
    <row r="1449" spans="1:25" x14ac:dyDescent="0.25">
      <c r="A1449" s="1093"/>
      <c r="B1449" s="1452">
        <v>1199</v>
      </c>
      <c r="C1449" s="1097">
        <v>0.96894936958118461</v>
      </c>
      <c r="D1449" s="1097">
        <v>1.012236792095039</v>
      </c>
      <c r="E1449" s="1097">
        <v>0.99908014421175795</v>
      </c>
      <c r="F1449" s="1097">
        <v>1.022742040510942</v>
      </c>
      <c r="G1449" s="1097">
        <v>0.98538127653167729</v>
      </c>
      <c r="H1449" s="1097">
        <v>0.96823079817638835</v>
      </c>
      <c r="I1449" s="1097">
        <v>1.0218220276091512</v>
      </c>
      <c r="K1449">
        <v>5.3111485262742741</v>
      </c>
      <c r="L1449">
        <v>0</v>
      </c>
      <c r="M1449">
        <v>3.6847598139393939E-3</v>
      </c>
      <c r="N1449">
        <v>0.31879192275838347</v>
      </c>
      <c r="O1449">
        <v>0.15589588905268151</v>
      </c>
      <c r="P1449">
        <v>2.0847198786736687E-2</v>
      </c>
      <c r="Q1449">
        <v>1.337775393609231E-3</v>
      </c>
      <c r="R1449">
        <v>3.6785851021206824E-3</v>
      </c>
      <c r="S1449">
        <v>0.48939442626048946</v>
      </c>
      <c r="T1449">
        <v>4.0863109240023023</v>
      </c>
      <c r="U1449">
        <v>0</v>
      </c>
      <c r="V1449">
        <v>1.1304767209823803E-2</v>
      </c>
      <c r="W1449">
        <v>0.19000913275580478</v>
      </c>
      <c r="X1449">
        <v>2.6866702420984739E-2</v>
      </c>
      <c r="Y1449">
        <v>1.039596234527981E-2</v>
      </c>
    </row>
    <row r="1450" spans="1:25" x14ac:dyDescent="0.25">
      <c r="A1450" s="1093"/>
      <c r="B1450" s="1452">
        <v>1200</v>
      </c>
      <c r="C1450" s="1097">
        <v>1.0088938578351827</v>
      </c>
      <c r="D1450" s="1097">
        <v>0.99708901698725905</v>
      </c>
      <c r="E1450" s="1097">
        <v>0.97388537231960126</v>
      </c>
      <c r="F1450" s="1097">
        <v>1.0082286721212863</v>
      </c>
      <c r="G1450" s="1097">
        <v>0.99640830549774972</v>
      </c>
      <c r="H1450" s="1097">
        <v>1.0195401373848749</v>
      </c>
      <c r="I1450" s="1097">
        <v>0.98140968104179749</v>
      </c>
      <c r="K1450">
        <v>5.2076473630206239</v>
      </c>
      <c r="L1450">
        <v>0</v>
      </c>
      <c r="M1450">
        <v>3.8967884814243236E-3</v>
      </c>
      <c r="N1450">
        <v>0.31288057202248865</v>
      </c>
      <c r="O1450">
        <v>0.14919321670289556</v>
      </c>
      <c r="P1450">
        <v>2.0064798050567732E-2</v>
      </c>
      <c r="Q1450">
        <v>1.2647341362260337E-3</v>
      </c>
      <c r="R1450">
        <v>3.890497971840939E-3</v>
      </c>
      <c r="S1450">
        <v>0.45678396366682433</v>
      </c>
      <c r="T1450">
        <v>4.0315330683455723</v>
      </c>
      <c r="U1450">
        <v>0</v>
      </c>
      <c r="V1450">
        <v>1.1304767209823813E-2</v>
      </c>
      <c r="W1450">
        <v>0.18971843198742819</v>
      </c>
      <c r="X1450">
        <v>2.3915257114485649E-2</v>
      </c>
      <c r="Y1450">
        <v>1.0994844293891505E-2</v>
      </c>
    </row>
    <row r="1451" spans="1:25" x14ac:dyDescent="0.25">
      <c r="A1451" s="1093"/>
      <c r="B1451" s="1452">
        <v>1201</v>
      </c>
      <c r="C1451" s="1097">
        <v>0.99454587432555541</v>
      </c>
      <c r="D1451" s="1097">
        <v>0.99623167347619734</v>
      </c>
      <c r="E1451" s="1097">
        <v>1.0006005530645052</v>
      </c>
      <c r="F1451" s="1097">
        <v>0.99793118978667861</v>
      </c>
      <c r="G1451" s="1097">
        <v>1.0417365722221292</v>
      </c>
      <c r="H1451" s="1097">
        <v>0.99586744838656138</v>
      </c>
      <c r="I1451" s="1097">
        <v>0.97939281996024452</v>
      </c>
      <c r="K1451">
        <v>5.1601751241143843</v>
      </c>
      <c r="L1451">
        <v>0</v>
      </c>
      <c r="M1451">
        <v>3.6144172444021547E-3</v>
      </c>
      <c r="N1451">
        <v>0.31411995876756471</v>
      </c>
      <c r="O1451">
        <v>0.1491043350986862</v>
      </c>
      <c r="P1451">
        <v>2.0258624883491078E-2</v>
      </c>
      <c r="Q1451">
        <v>1.3133913048799513E-3</v>
      </c>
      <c r="R1451">
        <v>3.6083823295944908E-3</v>
      </c>
      <c r="S1451">
        <v>0.45416742892673329</v>
      </c>
      <c r="T1451">
        <v>3.9869899904465411</v>
      </c>
      <c r="U1451">
        <v>0</v>
      </c>
      <c r="V1451">
        <v>1.1304767209823811E-2</v>
      </c>
      <c r="W1451">
        <v>0.18703219328039011</v>
      </c>
      <c r="X1451">
        <v>2.5692905160690897E-2</v>
      </c>
      <c r="Y1451">
        <v>1.0197563950392664E-2</v>
      </c>
    </row>
    <row r="1452" spans="1:25" x14ac:dyDescent="0.25">
      <c r="A1452" s="1093"/>
      <c r="B1452" s="1452">
        <v>1202</v>
      </c>
      <c r="C1452" s="1097">
        <v>0.99479728292871661</v>
      </c>
      <c r="D1452" s="1097">
        <v>1.0098556754948194</v>
      </c>
      <c r="E1452" s="1097">
        <v>1.0017675224912688</v>
      </c>
      <c r="F1452" s="1097">
        <v>0.9960775110646849</v>
      </c>
      <c r="G1452" s="1097">
        <v>1.0226648691634781</v>
      </c>
      <c r="H1452" s="1097">
        <v>0.98614298297819369</v>
      </c>
      <c r="I1452" s="1097">
        <v>0.97299899818254243</v>
      </c>
      <c r="K1452">
        <v>5.1361648829915811</v>
      </c>
      <c r="L1452">
        <v>0</v>
      </c>
      <c r="M1452">
        <v>3.5435100108388855E-3</v>
      </c>
      <c r="N1452">
        <v>0.30901809261673102</v>
      </c>
      <c r="O1452">
        <v>0.1479511561340186</v>
      </c>
      <c r="P1452">
        <v>2.0211119451446286E-2</v>
      </c>
      <c r="Q1452">
        <v>1.3072504614666588E-3</v>
      </c>
      <c r="R1452">
        <v>3.5375240442566121E-3</v>
      </c>
      <c r="S1452">
        <v>0.44742106295446793</v>
      </c>
      <c r="T1452">
        <v>3.9794382099870513</v>
      </c>
      <c r="U1452">
        <v>0</v>
      </c>
      <c r="V1452">
        <v>1.1304767209823832E-2</v>
      </c>
      <c r="W1452">
        <v>0.18384951090016838</v>
      </c>
      <c r="X1452">
        <v>2.5672386216727593E-2</v>
      </c>
      <c r="Y1452">
        <v>9.9973130262536441E-3</v>
      </c>
    </row>
    <row r="1453" spans="1:25" x14ac:dyDescent="0.25">
      <c r="A1453" s="1093"/>
      <c r="B1453" s="1452">
        <v>1203</v>
      </c>
      <c r="C1453" s="1097">
        <v>1.0057181365851864</v>
      </c>
      <c r="D1453" s="1097">
        <v>1.0011607744995059</v>
      </c>
      <c r="E1453" s="1097">
        <v>1.0192817415519164</v>
      </c>
      <c r="F1453" s="1097">
        <v>0.95448396122635037</v>
      </c>
      <c r="G1453" s="1097">
        <v>0.99222786924138351</v>
      </c>
      <c r="H1453" s="1097">
        <v>1.0162251662502011</v>
      </c>
      <c r="I1453" s="1097">
        <v>0.99550468025577898</v>
      </c>
      <c r="K1453">
        <v>4.9497319843697829</v>
      </c>
      <c r="L1453">
        <v>0</v>
      </c>
      <c r="M1453">
        <v>3.3473950588032804E-3</v>
      </c>
      <c r="N1453">
        <v>0.30744516175832165</v>
      </c>
      <c r="O1453">
        <v>0.14025699742794451</v>
      </c>
      <c r="P1453">
        <v>1.9677875813170227E-2</v>
      </c>
      <c r="Q1453">
        <v>1.3170272003866705E-3</v>
      </c>
      <c r="R1453">
        <v>3.341669069772376E-3</v>
      </c>
      <c r="S1453">
        <v>0.44304228031340465</v>
      </c>
      <c r="T1453">
        <v>3.8111789830339067</v>
      </c>
      <c r="U1453">
        <v>0</v>
      </c>
      <c r="V1453">
        <v>1.1304767209823813E-2</v>
      </c>
      <c r="W1453">
        <v>0.18077642975956407</v>
      </c>
      <c r="X1453">
        <v>2.5294375926749435E-2</v>
      </c>
      <c r="Y1453">
        <v>9.4438119155412555E-3</v>
      </c>
    </row>
    <row r="1454" spans="1:25" x14ac:dyDescent="0.25">
      <c r="A1454" s="1093"/>
      <c r="B1454" s="1452">
        <v>1204</v>
      </c>
      <c r="C1454" s="1097">
        <v>1.0105824844398414</v>
      </c>
      <c r="D1454" s="1097">
        <v>1.0169304576112099</v>
      </c>
      <c r="E1454" s="1097">
        <v>1.0023935377864654</v>
      </c>
      <c r="F1454" s="1097">
        <v>0.99896839092105494</v>
      </c>
      <c r="G1454" s="1097">
        <v>0.96769752389753172</v>
      </c>
      <c r="H1454" s="1097">
        <v>1.0017784102102549</v>
      </c>
      <c r="I1454" s="1097">
        <v>1.0148474705779136</v>
      </c>
      <c r="K1454">
        <v>5.1607050305117319</v>
      </c>
      <c r="L1454">
        <v>0</v>
      </c>
      <c r="M1454">
        <v>3.5391524692049018E-3</v>
      </c>
      <c r="N1454">
        <v>0.30922066320414093</v>
      </c>
      <c r="O1454">
        <v>0.14563843427923481</v>
      </c>
      <c r="P1454">
        <v>2.0342834760052542E-2</v>
      </c>
      <c r="Q1454">
        <v>1.2839305921787259E-3</v>
      </c>
      <c r="R1454">
        <v>3.5332841787731038E-3</v>
      </c>
      <c r="S1454">
        <v>0.46278871193939125</v>
      </c>
      <c r="T1454">
        <v>3.9909091499143181</v>
      </c>
      <c r="U1454">
        <v>0</v>
      </c>
      <c r="V1454">
        <v>1.1304767209823804E-2</v>
      </c>
      <c r="W1454">
        <v>0.18389231682069845</v>
      </c>
      <c r="X1454">
        <v>2.5344759239626778E-2</v>
      </c>
      <c r="Y1454">
        <v>9.9853308426988349E-3</v>
      </c>
    </row>
    <row r="1455" spans="1:25" x14ac:dyDescent="0.25">
      <c r="A1455" s="1093"/>
      <c r="B1455" s="1452">
        <v>1205</v>
      </c>
      <c r="C1455" s="1097">
        <v>1.0325214080069278</v>
      </c>
      <c r="D1455" s="1097">
        <v>1.008412806560917</v>
      </c>
      <c r="E1455" s="1097">
        <v>0.97682189928024588</v>
      </c>
      <c r="F1455" s="1097">
        <v>0.99408219617460158</v>
      </c>
      <c r="G1455" s="1097">
        <v>1.0168788911653559</v>
      </c>
      <c r="H1455" s="1097">
        <v>0.99397254481757946</v>
      </c>
      <c r="I1455" s="1097">
        <v>0.96275234169641577</v>
      </c>
      <c r="K1455">
        <v>5.0816016041457548</v>
      </c>
      <c r="L1455">
        <v>0</v>
      </c>
      <c r="M1455">
        <v>3.6212594285569407E-3</v>
      </c>
      <c r="N1455">
        <v>0.29328424685768456</v>
      </c>
      <c r="O1455">
        <v>0.14300756531028525</v>
      </c>
      <c r="P1455">
        <v>1.9723471011479716E-2</v>
      </c>
      <c r="Q1455">
        <v>1.2333723047265157E-3</v>
      </c>
      <c r="R1455">
        <v>3.6151781464556845E-3</v>
      </c>
      <c r="S1455">
        <v>0.42729275813700146</v>
      </c>
      <c r="T1455">
        <v>3.9745958108716057</v>
      </c>
      <c r="U1455">
        <v>0</v>
      </c>
      <c r="V1455">
        <v>1.130476720982381E-2</v>
      </c>
      <c r="W1455">
        <v>0.17747742990104509</v>
      </c>
      <c r="X1455">
        <v>2.3471494376526476E-2</v>
      </c>
      <c r="Y1455">
        <v>1.0216769447678468E-2</v>
      </c>
    </row>
    <row r="1456" spans="1:25" x14ac:dyDescent="0.25">
      <c r="A1456" s="1093"/>
      <c r="B1456" s="1452">
        <v>1206</v>
      </c>
      <c r="C1456" s="1097">
        <v>0.98635004338462862</v>
      </c>
      <c r="D1456" s="1097">
        <v>0.97520139905458347</v>
      </c>
      <c r="E1456" s="1097">
        <v>0.99171521857796052</v>
      </c>
      <c r="F1456" s="1097">
        <v>0.97220620158048421</v>
      </c>
      <c r="G1456" s="1097">
        <v>0.9840856426739959</v>
      </c>
      <c r="H1456" s="1097">
        <v>1.0302666005516172</v>
      </c>
      <c r="I1456" s="1097">
        <v>1.0263299879506178</v>
      </c>
      <c r="K1456">
        <v>5.0899983482260529</v>
      </c>
      <c r="L1456">
        <v>0</v>
      </c>
      <c r="M1456">
        <v>3.7747227773743336E-3</v>
      </c>
      <c r="N1456">
        <v>0.31952962034781834</v>
      </c>
      <c r="O1456">
        <v>0.14796925292918764</v>
      </c>
      <c r="P1456">
        <v>1.977314453071188E-2</v>
      </c>
      <c r="Q1456">
        <v>1.3254978894959972E-3</v>
      </c>
      <c r="R1456">
        <v>3.7684697124534044E-3</v>
      </c>
      <c r="S1456">
        <v>0.47813404798565323</v>
      </c>
      <c r="T1456">
        <v>3.885298624669641</v>
      </c>
      <c r="U1456">
        <v>0</v>
      </c>
      <c r="V1456">
        <v>1.1304767209823813E-2</v>
      </c>
      <c r="W1456">
        <v>0.1914021772270196</v>
      </c>
      <c r="X1456">
        <v>2.4617485385174907E-2</v>
      </c>
      <c r="Y1456">
        <v>1.0649983116445452E-2</v>
      </c>
    </row>
    <row r="1457" spans="1:25" x14ac:dyDescent="0.25">
      <c r="A1457" s="1093"/>
      <c r="B1457" s="1452">
        <v>1207</v>
      </c>
      <c r="C1457" s="1097">
        <v>0.96271988411103016</v>
      </c>
      <c r="D1457" s="1097">
        <v>0.98517588358988639</v>
      </c>
      <c r="E1457" s="1097">
        <v>1.0086766646315835</v>
      </c>
      <c r="F1457" s="1097">
        <v>0.9864172296801742</v>
      </c>
      <c r="G1457" s="1097">
        <v>0.98053594183156945</v>
      </c>
      <c r="H1457" s="1097">
        <v>1.0158585156399831</v>
      </c>
      <c r="I1457" s="1097">
        <v>1.0001362124815272</v>
      </c>
      <c r="K1457">
        <v>5.1689637454678676</v>
      </c>
      <c r="L1457">
        <v>0</v>
      </c>
      <c r="M1457">
        <v>3.7180079477792602E-3</v>
      </c>
      <c r="N1457">
        <v>0.33094994627205065</v>
      </c>
      <c r="O1457">
        <v>0.15270571561305724</v>
      </c>
      <c r="P1457">
        <v>2.0280905336060237E-2</v>
      </c>
      <c r="Q1457">
        <v>1.3723179788008241E-3</v>
      </c>
      <c r="R1457">
        <v>3.7118513185289076E-3</v>
      </c>
      <c r="S1457">
        <v>0.47940604813378107</v>
      </c>
      <c r="T1457">
        <v>3.939990756064784</v>
      </c>
      <c r="U1457">
        <v>0</v>
      </c>
      <c r="V1457">
        <v>1.1304767209823806E-2</v>
      </c>
      <c r="W1457">
        <v>0.19598373154150653</v>
      </c>
      <c r="X1457">
        <v>2.6485738734650696E-2</v>
      </c>
      <c r="Y1457">
        <v>1.0489975212604931E-2</v>
      </c>
    </row>
    <row r="1458" spans="1:25" x14ac:dyDescent="0.25">
      <c r="A1458" s="1093"/>
      <c r="B1458" s="1452">
        <v>1208</v>
      </c>
      <c r="C1458" s="1097">
        <v>0.98625586561608813</v>
      </c>
      <c r="D1458" s="1097">
        <v>0.97718379708102587</v>
      </c>
      <c r="E1458" s="1097">
        <v>1.0358789501663463</v>
      </c>
      <c r="F1458" s="1097">
        <v>1.0151007457212098</v>
      </c>
      <c r="G1458" s="1097">
        <v>1.0083036316355838</v>
      </c>
      <c r="H1458" s="1097">
        <v>0.9816789463581902</v>
      </c>
      <c r="I1458" s="1097">
        <v>1.035421856317507</v>
      </c>
      <c r="K1458">
        <v>5.28829971378783</v>
      </c>
      <c r="L1458">
        <v>0</v>
      </c>
      <c r="M1458">
        <v>3.4185058652981804E-3</v>
      </c>
      <c r="N1458">
        <v>0.32978468348986834</v>
      </c>
      <c r="O1458">
        <v>0.15310989896093954</v>
      </c>
      <c r="P1458">
        <v>2.1257387052369722E-2</v>
      </c>
      <c r="Q1458">
        <v>1.375190507588931E-3</v>
      </c>
      <c r="R1458">
        <v>3.4128133407567538E-3</v>
      </c>
      <c r="S1458">
        <v>0.49016626538627683</v>
      </c>
      <c r="T1458">
        <v>4.0511292750771188</v>
      </c>
      <c r="U1458">
        <v>0</v>
      </c>
      <c r="V1458">
        <v>1.1304767209823804E-2</v>
      </c>
      <c r="W1458">
        <v>0.19178862562511018</v>
      </c>
      <c r="X1458">
        <v>2.8744441946327089E-2</v>
      </c>
      <c r="Y1458">
        <v>9.6448710569512434E-3</v>
      </c>
    </row>
    <row r="1459" spans="1:25" x14ac:dyDescent="0.25">
      <c r="A1459" s="1093"/>
      <c r="B1459" s="1452">
        <v>1209</v>
      </c>
      <c r="C1459" s="1097">
        <v>0.99349412445926266</v>
      </c>
      <c r="D1459" s="1097">
        <v>0.97395760664777353</v>
      </c>
      <c r="E1459" s="1097">
        <v>0.99094459465519447</v>
      </c>
      <c r="F1459" s="1097">
        <v>1.0308259340424828</v>
      </c>
      <c r="G1459" s="1097">
        <v>0.9812499380187526</v>
      </c>
      <c r="H1459" s="1097">
        <v>0.97436872267868391</v>
      </c>
      <c r="I1459" s="1097">
        <v>0.99732103118756177</v>
      </c>
      <c r="K1459">
        <v>5.3281614046475738</v>
      </c>
      <c r="L1459">
        <v>0</v>
      </c>
      <c r="M1459">
        <v>3.7656061925637296E-3</v>
      </c>
      <c r="N1459">
        <v>0.31803184298610365</v>
      </c>
      <c r="O1459">
        <v>0.15586498581592689</v>
      </c>
      <c r="P1459">
        <v>2.0800034285949558E-2</v>
      </c>
      <c r="Q1459">
        <v>1.3157642823331229E-3</v>
      </c>
      <c r="R1459">
        <v>3.7593848478582278E-3</v>
      </c>
      <c r="S1459">
        <v>0.47363906436775677</v>
      </c>
      <c r="T1459">
        <v>4.1196650842448301</v>
      </c>
      <c r="U1459">
        <v>0</v>
      </c>
      <c r="V1459">
        <v>1.1304767209823806E-2</v>
      </c>
      <c r="W1459">
        <v>0.19060482591376429</v>
      </c>
      <c r="X1459">
        <v>2.6316948290283682E-2</v>
      </c>
      <c r="Y1459">
        <v>1.0624308595502879E-2</v>
      </c>
    </row>
    <row r="1460" spans="1:25" x14ac:dyDescent="0.25">
      <c r="A1460" s="1093"/>
      <c r="B1460" s="1452">
        <v>1210</v>
      </c>
      <c r="C1460" s="1097">
        <v>0.97676288178975379</v>
      </c>
      <c r="D1460" s="1097">
        <v>1.0260112449127643</v>
      </c>
      <c r="E1460" s="1097">
        <v>1.0112213576997426</v>
      </c>
      <c r="F1460" s="1097">
        <v>1.047285784277473</v>
      </c>
      <c r="G1460" s="1097">
        <v>1.0292601686943454</v>
      </c>
      <c r="H1460" s="1097">
        <v>0.97305907508279754</v>
      </c>
      <c r="I1460" s="1097">
        <v>0.96614728816154449</v>
      </c>
      <c r="K1460">
        <v>5.4005636705624633</v>
      </c>
      <c r="L1460">
        <v>0</v>
      </c>
      <c r="M1460">
        <v>3.6467242537892774E-3</v>
      </c>
      <c r="N1460">
        <v>0.32706869413779349</v>
      </c>
      <c r="O1460">
        <v>0.15714753933608167</v>
      </c>
      <c r="P1460">
        <v>2.13802621556528E-2</v>
      </c>
      <c r="Q1460">
        <v>1.3336792105663317E-3</v>
      </c>
      <c r="R1460">
        <v>3.6407858799549736E-3</v>
      </c>
      <c r="S1460">
        <v>0.46802495591270993</v>
      </c>
      <c r="T1460">
        <v>4.1827815608218399</v>
      </c>
      <c r="U1460">
        <v>0</v>
      </c>
      <c r="V1460">
        <v>1.1304767209823808E-2</v>
      </c>
      <c r="W1460">
        <v>0.19335471352548278</v>
      </c>
      <c r="X1460">
        <v>2.7884297768742631E-2</v>
      </c>
      <c r="Y1460">
        <v>1.0289138857605422E-2</v>
      </c>
    </row>
    <row r="1461" spans="1:25" x14ac:dyDescent="0.25">
      <c r="A1461" s="1093"/>
      <c r="B1461" s="1452">
        <v>1211</v>
      </c>
      <c r="C1461" s="1097">
        <v>0.95698437511742274</v>
      </c>
      <c r="D1461" s="1097">
        <v>1.0206142752182517</v>
      </c>
      <c r="E1461" s="1097">
        <v>1.017317202006889</v>
      </c>
      <c r="F1461" s="1097">
        <v>0.98817329709709689</v>
      </c>
      <c r="G1461" s="1097">
        <v>1.0467868717014088</v>
      </c>
      <c r="H1461" s="1097">
        <v>0.96698352334902593</v>
      </c>
      <c r="I1461" s="1097">
        <v>0.99910414806658854</v>
      </c>
      <c r="K1461">
        <v>5.138161958040504</v>
      </c>
      <c r="L1461">
        <v>0</v>
      </c>
      <c r="M1461">
        <v>3.4530664320832289E-3</v>
      </c>
      <c r="N1461">
        <v>0.31530423489069748</v>
      </c>
      <c r="O1461">
        <v>0.15148790372793275</v>
      </c>
      <c r="P1461">
        <v>2.0393397631011955E-2</v>
      </c>
      <c r="Q1461">
        <v>1.3711983899496742E-3</v>
      </c>
      <c r="R1461">
        <v>3.4470701700047407E-3</v>
      </c>
      <c r="S1461">
        <v>0.4697555223331582</v>
      </c>
      <c r="T1461">
        <v>3.9459394698891228</v>
      </c>
      <c r="U1461">
        <v>0</v>
      </c>
      <c r="V1461">
        <v>1.1304767209823818E-2</v>
      </c>
      <c r="W1461">
        <v>0.18564082712500632</v>
      </c>
      <c r="X1461">
        <v>2.7228949634084888E-2</v>
      </c>
      <c r="Y1461">
        <v>9.7416834717912442E-3</v>
      </c>
    </row>
    <row r="1462" spans="1:25" x14ac:dyDescent="0.25">
      <c r="A1462" s="1093"/>
      <c r="B1462" s="1452">
        <v>1212</v>
      </c>
      <c r="C1462" s="1097">
        <v>1.0164261377439578</v>
      </c>
      <c r="D1462" s="1097">
        <v>0.97927612044440082</v>
      </c>
      <c r="E1462" s="1097">
        <v>1.024331375672918</v>
      </c>
      <c r="F1462" s="1097">
        <v>1.0478482611043149</v>
      </c>
      <c r="G1462" s="1097">
        <v>0.97555976124398758</v>
      </c>
      <c r="H1462" s="1097">
        <v>1.000639986201699</v>
      </c>
      <c r="I1462" s="1097">
        <v>1.0008966927629288</v>
      </c>
      <c r="K1462">
        <v>5.4133824307864682</v>
      </c>
      <c r="L1462">
        <v>0</v>
      </c>
      <c r="M1462">
        <v>3.5732512924295766E-3</v>
      </c>
      <c r="N1462">
        <v>0.33317106129629825</v>
      </c>
      <c r="O1462">
        <v>0.15356104480438976</v>
      </c>
      <c r="P1462">
        <v>2.1624835617817605E-2</v>
      </c>
      <c r="Q1462">
        <v>1.3203477139456063E-3</v>
      </c>
      <c r="R1462">
        <v>3.5675959786980326E-3</v>
      </c>
      <c r="S1462">
        <v>0.47566752604098705</v>
      </c>
      <c r="T1462">
        <v>4.1833177550770451</v>
      </c>
      <c r="U1462">
        <v>0</v>
      </c>
      <c r="V1462">
        <v>1.1304767209823818E-2</v>
      </c>
      <c r="W1462">
        <v>0.19524544578935263</v>
      </c>
      <c r="X1462">
        <v>2.8093003941668734E-2</v>
      </c>
      <c r="Y1462">
        <v>1.0082298608868681E-2</v>
      </c>
    </row>
    <row r="1463" spans="1:25" x14ac:dyDescent="0.25">
      <c r="A1463" s="1093"/>
      <c r="B1463" s="1452">
        <v>1213</v>
      </c>
      <c r="C1463" s="1097">
        <v>1.0118524841469712</v>
      </c>
      <c r="D1463" s="1097">
        <v>1.0013143445339079</v>
      </c>
      <c r="E1463" s="1097">
        <v>0.98370662722502988</v>
      </c>
      <c r="F1463" s="1097">
        <v>0.98573209543734264</v>
      </c>
      <c r="G1463" s="1097">
        <v>1.0221958782550247</v>
      </c>
      <c r="H1463" s="1097">
        <v>0.96465510118316211</v>
      </c>
      <c r="I1463" s="1097">
        <v>1.0280332070596303</v>
      </c>
      <c r="K1463">
        <v>5.0748925329829166</v>
      </c>
      <c r="L1463">
        <v>0</v>
      </c>
      <c r="M1463">
        <v>3.5150526329257499E-3</v>
      </c>
      <c r="N1463">
        <v>0.29053910097495894</v>
      </c>
      <c r="O1463">
        <v>0.14492594304592685</v>
      </c>
      <c r="P1463">
        <v>1.9808508434656976E-2</v>
      </c>
      <c r="Q1463">
        <v>1.2696914478671194E-3</v>
      </c>
      <c r="R1463">
        <v>3.5089188708721671E-3</v>
      </c>
      <c r="S1463">
        <v>0.45745515944130427</v>
      </c>
      <c r="T1463">
        <v>3.9403500157251465</v>
      </c>
      <c r="U1463">
        <v>0</v>
      </c>
      <c r="V1463">
        <v>1.1304767209823818E-2</v>
      </c>
      <c r="W1463">
        <v>0.1749890227441909</v>
      </c>
      <c r="X1463">
        <v>2.433998509872367E-2</v>
      </c>
      <c r="Y1463">
        <v>9.9164726223675264E-3</v>
      </c>
    </row>
    <row r="1464" spans="1:25" x14ac:dyDescent="0.25">
      <c r="A1464" s="1093"/>
      <c r="B1464" s="1452">
        <v>1214</v>
      </c>
      <c r="C1464" s="1097">
        <v>1.0420773248544528</v>
      </c>
      <c r="D1464" s="1097">
        <v>1.0168536609803769</v>
      </c>
      <c r="E1464" s="1097">
        <v>1.0232219598587682</v>
      </c>
      <c r="F1464" s="1097">
        <v>0.98743382855494699</v>
      </c>
      <c r="G1464" s="1097">
        <v>1.0197948410554751</v>
      </c>
      <c r="H1464" s="1097">
        <v>1.0090113540992034</v>
      </c>
      <c r="I1464" s="1097">
        <v>0.9756213973680079</v>
      </c>
      <c r="K1464">
        <v>5.0596317447528349</v>
      </c>
      <c r="L1464">
        <v>0</v>
      </c>
      <c r="M1464">
        <v>3.2702906002109824E-3</v>
      </c>
      <c r="N1464">
        <v>0.30389879855617796</v>
      </c>
      <c r="O1464">
        <v>0.13906442106954192</v>
      </c>
      <c r="P1464">
        <v>2.0273933904526888E-2</v>
      </c>
      <c r="Q1464">
        <v>1.2674071018120691E-3</v>
      </c>
      <c r="R1464">
        <v>3.2648441993115033E-3</v>
      </c>
      <c r="S1464">
        <v>0.42852391392512529</v>
      </c>
      <c r="T1464">
        <v>3.9422616075958494</v>
      </c>
      <c r="U1464">
        <v>0</v>
      </c>
      <c r="V1464">
        <v>1.1304767209823813E-2</v>
      </c>
      <c r="W1464">
        <v>0.17822272204458539</v>
      </c>
      <c r="X1464">
        <v>2.5592920779976013E-2</v>
      </c>
      <c r="Y1464">
        <v>9.2266989663174308E-3</v>
      </c>
    </row>
    <row r="1465" spans="1:25" x14ac:dyDescent="0.25">
      <c r="A1465" s="1093"/>
      <c r="B1465" s="1452">
        <v>1215</v>
      </c>
      <c r="C1465" s="1097">
        <v>0.99542522310883597</v>
      </c>
      <c r="D1465" s="1097">
        <v>0.98045973507152007</v>
      </c>
      <c r="E1465" s="1097">
        <v>1.0335953171605667</v>
      </c>
      <c r="F1465" s="1097">
        <v>0.97080961971007684</v>
      </c>
      <c r="G1465" s="1097">
        <v>1.0036265804247038</v>
      </c>
      <c r="H1465" s="1097">
        <v>1.0377799559413927</v>
      </c>
      <c r="I1465" s="1097">
        <v>0.95535102476636535</v>
      </c>
      <c r="K1465">
        <v>5.0513272243478538</v>
      </c>
      <c r="L1465">
        <v>0</v>
      </c>
      <c r="M1465">
        <v>3.4365967254476239E-3</v>
      </c>
      <c r="N1465">
        <v>0.32930599815190609</v>
      </c>
      <c r="O1465">
        <v>0.14494894455507712</v>
      </c>
      <c r="P1465">
        <v>2.0171874954453609E-2</v>
      </c>
      <c r="Q1465">
        <v>1.3580975350573272E-3</v>
      </c>
      <c r="R1465">
        <v>3.4309368869324085E-3</v>
      </c>
      <c r="S1465">
        <v>0.44131915774101149</v>
      </c>
      <c r="T1465">
        <v>3.8746431794601057</v>
      </c>
      <c r="U1465">
        <v>0</v>
      </c>
      <c r="V1465">
        <v>1.1304767209823811E-2</v>
      </c>
      <c r="W1465">
        <v>0.19179919114268029</v>
      </c>
      <c r="X1465">
        <v>2.6785583854142939E-2</v>
      </c>
      <c r="Y1465">
        <v>9.6960895821109373E-3</v>
      </c>
    </row>
    <row r="1466" spans="1:25" x14ac:dyDescent="0.25">
      <c r="A1466" s="1093"/>
      <c r="B1466" s="1452">
        <v>1216</v>
      </c>
      <c r="C1466" s="1097">
        <v>1.0105191488431331</v>
      </c>
      <c r="D1466" s="1097">
        <v>1.0280786093166752</v>
      </c>
      <c r="E1466" s="1097">
        <v>1.0359391071853512</v>
      </c>
      <c r="F1466" s="1097">
        <v>0.99562504437467336</v>
      </c>
      <c r="G1466" s="1097">
        <v>0.97942820997853364</v>
      </c>
      <c r="H1466" s="1097">
        <v>1.0128647723493354</v>
      </c>
      <c r="I1466" s="1097">
        <v>1.0301360550363552</v>
      </c>
      <c r="K1466">
        <v>5.161253299144966</v>
      </c>
      <c r="L1466">
        <v>0</v>
      </c>
      <c r="M1466">
        <v>3.3081757898640457E-3</v>
      </c>
      <c r="N1466">
        <v>0.31920414971472671</v>
      </c>
      <c r="O1466">
        <v>0.14361838061848745</v>
      </c>
      <c r="P1466">
        <v>2.0799130747956411E-2</v>
      </c>
      <c r="Q1466">
        <v>1.3152544437542906E-3</v>
      </c>
      <c r="R1466">
        <v>3.3027323350917417E-3</v>
      </c>
      <c r="S1466">
        <v>0.46956534255584392</v>
      </c>
      <c r="T1466">
        <v>3.9733970027021934</v>
      </c>
      <c r="U1466">
        <v>0</v>
      </c>
      <c r="V1466">
        <v>1.130476720982381E-2</v>
      </c>
      <c r="W1466">
        <v>0.1856280743762552</v>
      </c>
      <c r="X1466">
        <v>2.7092866500047101E-2</v>
      </c>
      <c r="Y1466">
        <v>9.3337737306547087E-3</v>
      </c>
    </row>
    <row r="1467" spans="1:25" x14ac:dyDescent="0.25">
      <c r="A1467" s="1093"/>
      <c r="B1467" s="1452">
        <v>1217</v>
      </c>
      <c r="C1467" s="1097">
        <v>1.0323990247000603</v>
      </c>
      <c r="D1467" s="1097">
        <v>0.99620910906908167</v>
      </c>
      <c r="E1467" s="1097">
        <v>0.96261098302023596</v>
      </c>
      <c r="F1467" s="1097">
        <v>1.0369247391792493</v>
      </c>
      <c r="G1467" s="1097">
        <v>0.97664578593745577</v>
      </c>
      <c r="H1467" s="1097">
        <v>1.0307951927154948</v>
      </c>
      <c r="I1467" s="1097">
        <v>0.98815803090861376</v>
      </c>
      <c r="K1467">
        <v>5.3356482126460323</v>
      </c>
      <c r="L1467">
        <v>0</v>
      </c>
      <c r="M1467">
        <v>4.0555926617828822E-3</v>
      </c>
      <c r="N1467">
        <v>0.31492771254773616</v>
      </c>
      <c r="O1467">
        <v>0.15031443825683946</v>
      </c>
      <c r="P1467">
        <v>2.0430501465379551E-2</v>
      </c>
      <c r="Q1467">
        <v>1.2242446032042875E-3</v>
      </c>
      <c r="R1467">
        <v>4.0492961958739655E-3</v>
      </c>
      <c r="S1467">
        <v>0.46237428015909854</v>
      </c>
      <c r="T1467">
        <v>4.1477676156428815</v>
      </c>
      <c r="U1467">
        <v>0</v>
      </c>
      <c r="V1467">
        <v>1.1304767209823806E-2</v>
      </c>
      <c r="W1467">
        <v>0.192452488954478</v>
      </c>
      <c r="X1467">
        <v>2.3414840073820761E-2</v>
      </c>
      <c r="Y1467">
        <v>1.1443620198679717E-2</v>
      </c>
    </row>
    <row r="1468" spans="1:25" x14ac:dyDescent="0.25">
      <c r="A1468" s="1093"/>
      <c r="B1468" s="1452">
        <v>1218</v>
      </c>
      <c r="C1468" s="1097">
        <v>1.0051644912127409</v>
      </c>
      <c r="D1468" s="1097">
        <v>1.0188802313587277</v>
      </c>
      <c r="E1468" s="1097">
        <v>0.98067337022507717</v>
      </c>
      <c r="F1468" s="1097">
        <v>0.98164989833294547</v>
      </c>
      <c r="G1468" s="1097">
        <v>1.0028185015987601</v>
      </c>
      <c r="H1468" s="1097">
        <v>1.0168690832703455</v>
      </c>
      <c r="I1468" s="1097">
        <v>1.032026058796957</v>
      </c>
      <c r="K1468">
        <v>5.0918160687423093</v>
      </c>
      <c r="L1468">
        <v>0</v>
      </c>
      <c r="M1468">
        <v>3.7123680770204037E-3</v>
      </c>
      <c r="N1468">
        <v>0.30412451486418213</v>
      </c>
      <c r="O1468">
        <v>0.14436071292157696</v>
      </c>
      <c r="P1468">
        <v>1.974302517512503E-2</v>
      </c>
      <c r="Q1468">
        <v>1.2659463419971418E-3</v>
      </c>
      <c r="R1468">
        <v>3.7061971220856854E-3</v>
      </c>
      <c r="S1468">
        <v>0.46892765329601038</v>
      </c>
      <c r="T1468">
        <v>3.9244088738784639</v>
      </c>
      <c r="U1468">
        <v>0</v>
      </c>
      <c r="V1468">
        <v>1.130476720982382E-2</v>
      </c>
      <c r="W1468">
        <v>0.18355188244715484</v>
      </c>
      <c r="X1468">
        <v>2.3660867541126479E-2</v>
      </c>
      <c r="Y1468">
        <v>1.0473996021778908E-2</v>
      </c>
    </row>
    <row r="1469" spans="1:25" x14ac:dyDescent="0.25">
      <c r="A1469" s="1093"/>
      <c r="B1469" s="1452">
        <v>1219</v>
      </c>
      <c r="C1469" s="1097">
        <v>0.97724977544628755</v>
      </c>
      <c r="D1469" s="1097">
        <v>1.02218902465175</v>
      </c>
      <c r="E1469" s="1097">
        <v>0.99918445676460343</v>
      </c>
      <c r="F1469" s="1097">
        <v>0.97891946741852798</v>
      </c>
      <c r="G1469" s="1097">
        <v>1.0081713423999847</v>
      </c>
      <c r="H1469" s="1097">
        <v>0.98867601359533097</v>
      </c>
      <c r="I1469" s="1097">
        <v>1.0370207285234303</v>
      </c>
      <c r="K1469">
        <v>5.095557537958542</v>
      </c>
      <c r="L1469">
        <v>0</v>
      </c>
      <c r="M1469">
        <v>3.5562899763058931E-3</v>
      </c>
      <c r="N1469">
        <v>0.30776037189938715</v>
      </c>
      <c r="O1469">
        <v>0.14736789871906508</v>
      </c>
      <c r="P1469">
        <v>2.0000160165105883E-2</v>
      </c>
      <c r="Q1469">
        <v>1.3213501480443886E-3</v>
      </c>
      <c r="R1469">
        <v>3.5501929626224286E-3</v>
      </c>
      <c r="S1469">
        <v>0.47777861390363563</v>
      </c>
      <c r="T1469">
        <v>3.9112073596240804</v>
      </c>
      <c r="U1469">
        <v>0</v>
      </c>
      <c r="V1469">
        <v>1.130476720982382E-2</v>
      </c>
      <c r="W1469">
        <v>0.18342107227000351</v>
      </c>
      <c r="X1469">
        <v>2.5368924676295767E-2</v>
      </c>
      <c r="Y1469">
        <v>1.0033116356781602E-2</v>
      </c>
    </row>
    <row r="1470" spans="1:25" x14ac:dyDescent="0.25">
      <c r="A1470" s="1093"/>
      <c r="B1470" s="1452">
        <v>1220</v>
      </c>
      <c r="C1470" s="1097">
        <v>0.97262747251098913</v>
      </c>
      <c r="D1470" s="1097">
        <v>1.0202189731282649</v>
      </c>
      <c r="E1470" s="1097">
        <v>1.0133517602806907</v>
      </c>
      <c r="F1470" s="1097">
        <v>0.98917760612549932</v>
      </c>
      <c r="G1470" s="1097">
        <v>1.0007515580402653</v>
      </c>
      <c r="H1470" s="1097">
        <v>1.0074073892039028</v>
      </c>
      <c r="I1470" s="1097">
        <v>0.95995059416175477</v>
      </c>
      <c r="K1470">
        <v>5.1339030162557515</v>
      </c>
      <c r="L1470">
        <v>0</v>
      </c>
      <c r="M1470">
        <v>3.5734879021175467E-3</v>
      </c>
      <c r="N1470">
        <v>0.32251602593023904</v>
      </c>
      <c r="O1470">
        <v>0.14933746431224154</v>
      </c>
      <c r="P1470">
        <v>2.0272329342615858E-2</v>
      </c>
      <c r="Q1470">
        <v>1.3448203211166951E-3</v>
      </c>
      <c r="R1470">
        <v>3.567537565849991E-3</v>
      </c>
      <c r="S1470">
        <v>0.45183299578319069</v>
      </c>
      <c r="T1470">
        <v>3.9504387658824882</v>
      </c>
      <c r="U1470">
        <v>0</v>
      </c>
      <c r="V1470">
        <v>1.1304767209823815E-2</v>
      </c>
      <c r="W1470">
        <v>0.19039122847516096</v>
      </c>
      <c r="X1470">
        <v>2.6388435805444629E-2</v>
      </c>
      <c r="Y1470">
        <v>1.0082133529700506E-2</v>
      </c>
    </row>
    <row r="1471" spans="1:25" x14ac:dyDescent="0.25">
      <c r="A1471" s="1093"/>
      <c r="B1471" s="1452">
        <v>1221</v>
      </c>
      <c r="C1471" s="1097">
        <v>0.98421326986081581</v>
      </c>
      <c r="D1471" s="1097">
        <v>0.97993475684601294</v>
      </c>
      <c r="E1471" s="1097">
        <v>0.99553439979073421</v>
      </c>
      <c r="F1471" s="1097">
        <v>1.0174502620374866</v>
      </c>
      <c r="G1471" s="1097">
        <v>0.98923947133559598</v>
      </c>
      <c r="H1471" s="1097">
        <v>0.97267680281993674</v>
      </c>
      <c r="I1471" s="1097">
        <v>0.97363264275371009</v>
      </c>
      <c r="K1471">
        <v>5.2572880696543987</v>
      </c>
      <c r="L1471">
        <v>0</v>
      </c>
      <c r="M1471">
        <v>3.7003006356521534E-3</v>
      </c>
      <c r="N1471">
        <v>0.31678975686544009</v>
      </c>
      <c r="O1471">
        <v>0.15478051347677121</v>
      </c>
      <c r="P1471">
        <v>2.0568594718016756E-2</v>
      </c>
      <c r="Q1471">
        <v>1.3301696992574846E-3</v>
      </c>
      <c r="R1471">
        <v>3.6940961739355465E-3</v>
      </c>
      <c r="S1471">
        <v>0.46079964416025176</v>
      </c>
      <c r="T1471">
        <v>4.065621427976235</v>
      </c>
      <c r="U1471">
        <v>0</v>
      </c>
      <c r="V1471">
        <v>1.1304767209823817E-2</v>
      </c>
      <c r="W1471">
        <v>0.18926964971955668</v>
      </c>
      <c r="X1471">
        <v>2.6389952472319626E-2</v>
      </c>
      <c r="Y1471">
        <v>1.043979781844293E-2</v>
      </c>
    </row>
    <row r="1472" spans="1:25" x14ac:dyDescent="0.25">
      <c r="A1472" s="1093"/>
      <c r="B1472" s="1452">
        <v>1222</v>
      </c>
      <c r="C1472" s="1097">
        <v>0.9951298510402159</v>
      </c>
      <c r="D1472" s="1097">
        <v>1.0023004237089899</v>
      </c>
      <c r="E1472" s="1097">
        <v>1.007823981744745</v>
      </c>
      <c r="F1472" s="1097">
        <v>0.97359305561936071</v>
      </c>
      <c r="G1472" s="1097">
        <v>0.97407041537908523</v>
      </c>
      <c r="H1472" s="1097">
        <v>1.0063757299625684</v>
      </c>
      <c r="I1472" s="1097">
        <v>1.008699957465067</v>
      </c>
      <c r="K1472">
        <v>5.0556175338404854</v>
      </c>
      <c r="L1472">
        <v>0</v>
      </c>
      <c r="M1472">
        <v>3.4992185203523134E-3</v>
      </c>
      <c r="N1472">
        <v>0.31067775290095406</v>
      </c>
      <c r="O1472">
        <v>0.14483323187380004</v>
      </c>
      <c r="P1472">
        <v>1.9942411173286202E-2</v>
      </c>
      <c r="Q1472">
        <v>1.3175453505166836E-3</v>
      </c>
      <c r="R1472">
        <v>3.4932926740659492E-3</v>
      </c>
      <c r="S1472">
        <v>0.45932969203288004</v>
      </c>
      <c r="T1472">
        <v>3.8888717050590715</v>
      </c>
      <c r="U1472">
        <v>0</v>
      </c>
      <c r="V1472">
        <v>1.1304767209823818E-2</v>
      </c>
      <c r="W1472">
        <v>0.18408430140028398</v>
      </c>
      <c r="X1472">
        <v>2.538974088896406E-2</v>
      </c>
      <c r="Y1472">
        <v>9.8723117971894654E-3</v>
      </c>
    </row>
    <row r="1473" spans="1:25" x14ac:dyDescent="0.25">
      <c r="A1473" s="1093"/>
      <c r="B1473" s="1452">
        <v>1223</v>
      </c>
      <c r="C1473" s="1097">
        <v>1.0186452494180935</v>
      </c>
      <c r="D1473" s="1097">
        <v>1.0006020435699914</v>
      </c>
      <c r="E1473" s="1097">
        <v>1.0003747896885633</v>
      </c>
      <c r="F1473" s="1097">
        <v>1.0029193959594593</v>
      </c>
      <c r="G1473" s="1097">
        <v>0.96113273552411105</v>
      </c>
      <c r="H1473" s="1097">
        <v>0.99915511562085457</v>
      </c>
      <c r="I1473" s="1097">
        <v>0.97824391651229203</v>
      </c>
      <c r="K1473">
        <v>5.1586031388728317</v>
      </c>
      <c r="L1473">
        <v>0</v>
      </c>
      <c r="M1473">
        <v>3.5536892181817037E-3</v>
      </c>
      <c r="N1473">
        <v>0.30863997425473705</v>
      </c>
      <c r="O1473">
        <v>0.14605470024507611</v>
      </c>
      <c r="P1473">
        <v>2.0304137563609138E-2</v>
      </c>
      <c r="Q1473">
        <v>1.2798278978748444E-3</v>
      </c>
      <c r="R1473">
        <v>3.5478045892699496E-3</v>
      </c>
      <c r="S1473">
        <v>0.44496699196656786</v>
      </c>
      <c r="T1473">
        <v>4.0069475696723176</v>
      </c>
      <c r="U1473">
        <v>0</v>
      </c>
      <c r="V1473">
        <v>1.1304767209823815E-2</v>
      </c>
      <c r="W1473">
        <v>0.18379735410135539</v>
      </c>
      <c r="X1473">
        <v>2.5287333959036949E-2</v>
      </c>
      <c r="Y1473">
        <v>1.0026366631343818E-2</v>
      </c>
    </row>
    <row r="1474" spans="1:25" x14ac:dyDescent="0.25">
      <c r="A1474" s="1093"/>
      <c r="B1474" s="1452">
        <v>1224</v>
      </c>
      <c r="C1474" s="1097">
        <v>0.98324827042046103</v>
      </c>
      <c r="D1474" s="1097">
        <v>1.0272667059845992</v>
      </c>
      <c r="E1474" s="1097">
        <v>1.0228360744160157</v>
      </c>
      <c r="F1474" s="1097">
        <v>1.0044890205569141</v>
      </c>
      <c r="G1474" s="1097">
        <v>1.0002232208279878</v>
      </c>
      <c r="H1474" s="1097">
        <v>0.96435867191883107</v>
      </c>
      <c r="I1474" s="1097">
        <v>1.0344831152623799</v>
      </c>
      <c r="K1474">
        <v>5.2035197896996257</v>
      </c>
      <c r="L1474">
        <v>0</v>
      </c>
      <c r="M1474">
        <v>3.3587269888347435E-3</v>
      </c>
      <c r="N1474">
        <v>0.31174603089992708</v>
      </c>
      <c r="O1474">
        <v>0.14933157915785153</v>
      </c>
      <c r="P1474">
        <v>2.081609497244194E-2</v>
      </c>
      <c r="Q1474">
        <v>1.337338800701046E-3</v>
      </c>
      <c r="R1474">
        <v>3.3529735085959431E-3</v>
      </c>
      <c r="S1474">
        <v>0.47882510023272901</v>
      </c>
      <c r="T1474">
        <v>4.0104014254645852</v>
      </c>
      <c r="U1474">
        <v>0</v>
      </c>
      <c r="V1474">
        <v>1.1304767209823803E-2</v>
      </c>
      <c r="W1474">
        <v>0.18287171569154603</v>
      </c>
      <c r="X1474">
        <v>2.7415731627553657E-2</v>
      </c>
      <c r="Y1474">
        <v>9.4757591227097298E-3</v>
      </c>
    </row>
    <row r="1475" spans="1:25" x14ac:dyDescent="0.25">
      <c r="A1475" s="1093"/>
      <c r="B1475" s="1452">
        <v>1225</v>
      </c>
      <c r="C1475" s="1097">
        <v>0.99764197681652789</v>
      </c>
      <c r="D1475" s="1097">
        <v>0.96537861427564275</v>
      </c>
      <c r="E1475" s="1097">
        <v>1.0097438592120735</v>
      </c>
      <c r="F1475" s="1097">
        <v>0.98956558218088386</v>
      </c>
      <c r="G1475" s="1097">
        <v>1.0103213024976678</v>
      </c>
      <c r="H1475" s="1097">
        <v>0.99899994105132861</v>
      </c>
      <c r="I1475" s="1097">
        <v>1.0031900845046473</v>
      </c>
      <c r="K1475">
        <v>5.1406480753129786</v>
      </c>
      <c r="L1475">
        <v>0</v>
      </c>
      <c r="M1475">
        <v>3.5603967237722435E-3</v>
      </c>
      <c r="N1475">
        <v>0.31791637100208076</v>
      </c>
      <c r="O1475">
        <v>0.14900601166532731</v>
      </c>
      <c r="P1475">
        <v>2.0283320042314576E-2</v>
      </c>
      <c r="Q1475">
        <v>1.3362918354876271E-3</v>
      </c>
      <c r="R1475">
        <v>3.5544206323166422E-3</v>
      </c>
      <c r="S1475">
        <v>0.46399971734258155</v>
      </c>
      <c r="T1475">
        <v>3.9524340269664666</v>
      </c>
      <c r="U1475">
        <v>0</v>
      </c>
      <c r="V1475">
        <v>1.1304767209823822E-2</v>
      </c>
      <c r="W1475">
        <v>0.18813053785588923</v>
      </c>
      <c r="X1475">
        <v>2.6197943410354373E-2</v>
      </c>
      <c r="Y1475">
        <v>1.0045064074104762E-2</v>
      </c>
    </row>
    <row r="1476" spans="1:25" x14ac:dyDescent="0.25">
      <c r="A1476" s="1093"/>
      <c r="B1476" s="1452">
        <v>1226</v>
      </c>
      <c r="C1476" s="1097">
        <v>0.97108853435435782</v>
      </c>
      <c r="D1476" s="1097">
        <v>1.0432677918292705</v>
      </c>
      <c r="E1476" s="1097">
        <v>0.96413906926558024</v>
      </c>
      <c r="F1476" s="1097">
        <v>0.96472457340299012</v>
      </c>
      <c r="G1476" s="1097">
        <v>1.0361824004417455</v>
      </c>
      <c r="H1476" s="1097">
        <v>1.0336416731098268</v>
      </c>
      <c r="I1476" s="1097">
        <v>1.0362446192896799</v>
      </c>
      <c r="K1476">
        <v>5.0460299787513048</v>
      </c>
      <c r="L1476">
        <v>0</v>
      </c>
      <c r="M1476">
        <v>3.9367809101393918E-3</v>
      </c>
      <c r="N1476">
        <v>0.30705843146937528</v>
      </c>
      <c r="O1476">
        <v>0.14591634782774596</v>
      </c>
      <c r="P1476">
        <v>1.9259206082155901E-2</v>
      </c>
      <c r="Q1476">
        <v>1.2794433476578282E-3</v>
      </c>
      <c r="R1476">
        <v>3.9302303561489027E-3</v>
      </c>
      <c r="S1476">
        <v>0.48127209682315109</v>
      </c>
      <c r="T1476">
        <v>3.858773915593241</v>
      </c>
      <c r="U1476">
        <v>0</v>
      </c>
      <c r="V1476">
        <v>1.1304767209823824E-2</v>
      </c>
      <c r="W1476">
        <v>0.18744497639460309</v>
      </c>
      <c r="X1476">
        <v>2.2620213512168804E-2</v>
      </c>
      <c r="Y1476">
        <v>1.1107131045369853E-2</v>
      </c>
    </row>
    <row r="1477" spans="1:25" x14ac:dyDescent="0.25">
      <c r="A1477" s="1093"/>
      <c r="B1477" s="1452">
        <v>1227</v>
      </c>
      <c r="C1477" s="1097">
        <v>1.0114171836176526</v>
      </c>
      <c r="D1477" s="1097">
        <v>1.0142012478848521</v>
      </c>
      <c r="E1477" s="1097">
        <v>1.0078695966840532</v>
      </c>
      <c r="F1477" s="1097">
        <v>1.0023165238209861</v>
      </c>
      <c r="G1477" s="1097">
        <v>0.99509845804845409</v>
      </c>
      <c r="H1477" s="1097">
        <v>0.98964606637802333</v>
      </c>
      <c r="I1477" s="1097">
        <v>0.9994131880959769</v>
      </c>
      <c r="K1477">
        <v>5.1634148248873837</v>
      </c>
      <c r="L1477">
        <v>0</v>
      </c>
      <c r="M1477">
        <v>3.4685997590926756E-3</v>
      </c>
      <c r="N1477">
        <v>0.3080072386020048</v>
      </c>
      <c r="O1477">
        <v>0.14601277601445065</v>
      </c>
      <c r="P1477">
        <v>2.0446503127726629E-2</v>
      </c>
      <c r="Q1477">
        <v>1.2902723832762268E-3</v>
      </c>
      <c r="R1477">
        <v>3.4627973606508608E-3</v>
      </c>
      <c r="S1477">
        <v>0.4546552165323548</v>
      </c>
      <c r="T1477">
        <v>4.0035975794851781</v>
      </c>
      <c r="U1477">
        <v>0</v>
      </c>
      <c r="V1477">
        <v>1.1304767209823813E-2</v>
      </c>
      <c r="W1477">
        <v>0.18249635861410599</v>
      </c>
      <c r="X1477">
        <v>2.5823785603631997E-2</v>
      </c>
      <c r="Y1477">
        <v>9.7861297132713857E-3</v>
      </c>
    </row>
    <row r="1478" spans="1:25" x14ac:dyDescent="0.25">
      <c r="A1478" s="1093"/>
      <c r="B1478" s="1452">
        <v>1228</v>
      </c>
      <c r="C1478" s="1097">
        <v>1.032929326503728</v>
      </c>
      <c r="D1478" s="1097">
        <v>1.0338053779519831</v>
      </c>
      <c r="E1478" s="1097">
        <v>1.0227099192733735</v>
      </c>
      <c r="F1478" s="1097">
        <v>1.01472166102862</v>
      </c>
      <c r="G1478" s="1097">
        <v>1.0235403840515269</v>
      </c>
      <c r="H1478" s="1097">
        <v>0.96854103546147885</v>
      </c>
      <c r="I1478" s="1097">
        <v>1.0053204942437104</v>
      </c>
      <c r="K1478">
        <v>5.1870345668618976</v>
      </c>
      <c r="L1478">
        <v>0</v>
      </c>
      <c r="M1478">
        <v>3.2363447388813493E-3</v>
      </c>
      <c r="N1478">
        <v>0.30028222899923407</v>
      </c>
      <c r="O1478">
        <v>0.14323662266464246</v>
      </c>
      <c r="P1478">
        <v>2.0855774095348702E-2</v>
      </c>
      <c r="Q1478">
        <v>1.2696543857029304E-3</v>
      </c>
      <c r="R1478">
        <v>3.2308804108762959E-3</v>
      </c>
      <c r="S1478">
        <v>0.4469605536920187</v>
      </c>
      <c r="T1478">
        <v>4.0512709282922277</v>
      </c>
      <c r="U1478">
        <v>0</v>
      </c>
      <c r="V1478">
        <v>1.1304767209823827E-2</v>
      </c>
      <c r="W1478">
        <v>0.17616178471782282</v>
      </c>
      <c r="X1478">
        <v>2.6567002425888622E-2</v>
      </c>
      <c r="Y1478">
        <v>9.1307147071869529E-3</v>
      </c>
    </row>
    <row r="1479" spans="1:25" x14ac:dyDescent="0.25">
      <c r="A1479" s="1093"/>
      <c r="B1479" s="1452">
        <v>1229</v>
      </c>
      <c r="C1479" s="1097">
        <v>0.9611226225305376</v>
      </c>
      <c r="D1479" s="1097">
        <v>0.99637439418157769</v>
      </c>
      <c r="E1479" s="1097">
        <v>1.0260923051372477</v>
      </c>
      <c r="F1479" s="1097">
        <v>0.97100575649018195</v>
      </c>
      <c r="G1479" s="1097">
        <v>1.0241596499398111</v>
      </c>
      <c r="H1479" s="1097">
        <v>0.99505292036230353</v>
      </c>
      <c r="I1479" s="1097">
        <v>1.0197405818359286</v>
      </c>
      <c r="K1479">
        <v>5.0856398614967446</v>
      </c>
      <c r="L1479">
        <v>0</v>
      </c>
      <c r="M1479">
        <v>3.4457444758278274E-3</v>
      </c>
      <c r="N1479">
        <v>0.32291629139915157</v>
      </c>
      <c r="O1479">
        <v>0.14939991786242557</v>
      </c>
      <c r="P1479">
        <v>2.0240665240892908E-2</v>
      </c>
      <c r="Q1479">
        <v>1.388747869169336E-3</v>
      </c>
      <c r="R1479">
        <v>3.4398270877422461E-3</v>
      </c>
      <c r="S1479">
        <v>0.47810052499596156</v>
      </c>
      <c r="T1479">
        <v>3.8763278030102022</v>
      </c>
      <c r="U1479">
        <v>0</v>
      </c>
      <c r="V1479">
        <v>1.1304767209823817E-2</v>
      </c>
      <c r="W1479">
        <v>0.18901464407831667</v>
      </c>
      <c r="X1479">
        <v>2.7231203250551117E-2</v>
      </c>
      <c r="Y1479">
        <v>9.7212139683342646E-3</v>
      </c>
    </row>
    <row r="1480" spans="1:25" x14ac:dyDescent="0.25">
      <c r="A1480" s="1093"/>
      <c r="B1480" s="1452">
        <v>1230</v>
      </c>
      <c r="C1480" s="1097">
        <v>0.96435466570336292</v>
      </c>
      <c r="D1480" s="1097">
        <v>0.99370811570067086</v>
      </c>
      <c r="E1480" s="1097">
        <v>0.9639693000474242</v>
      </c>
      <c r="F1480" s="1097">
        <v>1.0167561941271936</v>
      </c>
      <c r="G1480" s="1097">
        <v>0.97410253200032848</v>
      </c>
      <c r="H1480" s="1097">
        <v>0.98192009117039192</v>
      </c>
      <c r="I1480" s="1097">
        <v>0.97541094833009845</v>
      </c>
      <c r="K1480">
        <v>5.2733395905806972</v>
      </c>
      <c r="L1480">
        <v>0</v>
      </c>
      <c r="M1480">
        <v>4.0481244307436545E-3</v>
      </c>
      <c r="N1480">
        <v>0.31558430354376321</v>
      </c>
      <c r="O1480">
        <v>0.15790940054681371</v>
      </c>
      <c r="P1480">
        <v>2.0134015608287117E-2</v>
      </c>
      <c r="Q1480">
        <v>1.3135095364180112E-3</v>
      </c>
      <c r="R1480">
        <v>4.0413960704046769E-3</v>
      </c>
      <c r="S1480">
        <v>0.47138779356322835</v>
      </c>
      <c r="T1480">
        <v>4.0669157266031126</v>
      </c>
      <c r="U1480">
        <v>0</v>
      </c>
      <c r="V1480">
        <v>1.1304767209823817E-2</v>
      </c>
      <c r="W1480">
        <v>0.1926722818192573</v>
      </c>
      <c r="X1480">
        <v>2.470322666937207E-2</v>
      </c>
      <c r="Y1480">
        <v>1.1421293840957457E-2</v>
      </c>
    </row>
    <row r="1481" spans="1:25" x14ac:dyDescent="0.25">
      <c r="A1481" s="1093"/>
      <c r="B1481" s="1452">
        <v>1231</v>
      </c>
      <c r="C1481" s="1097">
        <v>1.0043330079688748</v>
      </c>
      <c r="D1481" s="1097">
        <v>1.0040225647754362</v>
      </c>
      <c r="E1481" s="1097">
        <v>1.0019108734518343</v>
      </c>
      <c r="F1481" s="1097">
        <v>0.98328382646679335</v>
      </c>
      <c r="G1481" s="1097">
        <v>0.98628889597920644</v>
      </c>
      <c r="H1481" s="1097">
        <v>0.99098514764108447</v>
      </c>
      <c r="I1481" s="1097">
        <v>0.97974197637742266</v>
      </c>
      <c r="K1481">
        <v>5.0691626368278211</v>
      </c>
      <c r="L1481">
        <v>0</v>
      </c>
      <c r="M1481">
        <v>3.4888969216561503E-3</v>
      </c>
      <c r="N1481">
        <v>0.30438056059249508</v>
      </c>
      <c r="O1481">
        <v>0.14499586950749474</v>
      </c>
      <c r="P1481">
        <v>1.9959433716882892E-2</v>
      </c>
      <c r="Q1481">
        <v>1.2980017746161195E-3</v>
      </c>
      <c r="R1481">
        <v>3.4829558289161382E-3</v>
      </c>
      <c r="S1481">
        <v>0.44281515436019592</v>
      </c>
      <c r="T1481">
        <v>3.9283083637848484</v>
      </c>
      <c r="U1481">
        <v>0</v>
      </c>
      <c r="V1481">
        <v>1.1304767209823815E-2</v>
      </c>
      <c r="W1481">
        <v>0.18107290065443443</v>
      </c>
      <c r="X1481">
        <v>2.5190427236151287E-2</v>
      </c>
      <c r="Y1481">
        <v>9.8430990836153049E-3</v>
      </c>
    </row>
    <row r="1482" spans="1:25" x14ac:dyDescent="0.25">
      <c r="A1482" s="1093"/>
      <c r="B1482" s="1452">
        <v>1232</v>
      </c>
      <c r="C1482" s="1097">
        <v>1.025740485620926</v>
      </c>
      <c r="D1482" s="1097">
        <v>1.0279473096988607</v>
      </c>
      <c r="E1482" s="1097">
        <v>1.0163721561309502</v>
      </c>
      <c r="F1482" s="1097">
        <v>1.0341460281883543</v>
      </c>
      <c r="G1482" s="1097">
        <v>0.96858180801003246</v>
      </c>
      <c r="H1482" s="1097">
        <v>0.98835378133781904</v>
      </c>
      <c r="I1482" s="1097">
        <v>0.98879299134448706</v>
      </c>
      <c r="K1482">
        <v>5.2995142357594807</v>
      </c>
      <c r="L1482">
        <v>0</v>
      </c>
      <c r="M1482">
        <v>3.4427449312905557E-3</v>
      </c>
      <c r="N1482">
        <v>0.31351930432501285</v>
      </c>
      <c r="O1482">
        <v>0.1475120922225516</v>
      </c>
      <c r="P1482">
        <v>2.1152102402429412E-2</v>
      </c>
      <c r="Q1482">
        <v>1.2746059812152296E-3</v>
      </c>
      <c r="R1482">
        <v>3.4371554586863852E-3</v>
      </c>
      <c r="S1482">
        <v>0.45395598688513045</v>
      </c>
      <c r="T1482">
        <v>4.1296379214308736</v>
      </c>
      <c r="U1482">
        <v>0</v>
      </c>
      <c r="V1482">
        <v>1.1304767209823817E-2</v>
      </c>
      <c r="W1482">
        <v>0.18470652159897599</v>
      </c>
      <c r="X1482">
        <v>2.6742859435419271E-2</v>
      </c>
      <c r="Y1482">
        <v>9.7136637406531681E-3</v>
      </c>
    </row>
    <row r="1483" spans="1:25" x14ac:dyDescent="0.25">
      <c r="A1483" s="1093"/>
      <c r="B1483" s="1452">
        <v>1233</v>
      </c>
      <c r="C1483" s="1097">
        <v>1.0000754327486554</v>
      </c>
      <c r="D1483" s="1097">
        <v>1.0268917210850499</v>
      </c>
      <c r="E1483" s="1097">
        <v>1.0072389894777316</v>
      </c>
      <c r="F1483" s="1097">
        <v>0.96497809038457261</v>
      </c>
      <c r="G1483" s="1097">
        <v>1.0198060209801461</v>
      </c>
      <c r="H1483" s="1097">
        <v>0.99196637322467196</v>
      </c>
      <c r="I1483" s="1097">
        <v>1.0293087830710506</v>
      </c>
      <c r="K1483">
        <v>4.9970983328748186</v>
      </c>
      <c r="L1483">
        <v>0</v>
      </c>
      <c r="M1483">
        <v>3.3730781554576414E-3</v>
      </c>
      <c r="N1483">
        <v>0.29894809103780146</v>
      </c>
      <c r="O1483">
        <v>0.14147908299591427</v>
      </c>
      <c r="P1483">
        <v>1.9771033830954143E-2</v>
      </c>
      <c r="Q1483">
        <v>1.297732485926814E-3</v>
      </c>
      <c r="R1483">
        <v>3.3672313003318558E-3</v>
      </c>
      <c r="S1483">
        <v>0.4580783420910236</v>
      </c>
      <c r="T1483">
        <v>3.8545311400277491</v>
      </c>
      <c r="U1483">
        <v>0</v>
      </c>
      <c r="V1483">
        <v>1.130476720982382E-2</v>
      </c>
      <c r="W1483">
        <v>0.17720387737573737</v>
      </c>
      <c r="X1483">
        <v>2.497405994432482E-2</v>
      </c>
      <c r="Y1483">
        <v>9.5160527306863262E-3</v>
      </c>
    </row>
    <row r="1484" spans="1:25" x14ac:dyDescent="0.25">
      <c r="A1484" s="1093"/>
      <c r="B1484" s="1452">
        <v>1234</v>
      </c>
      <c r="C1484" s="1097">
        <v>1.0373007476292067</v>
      </c>
      <c r="D1484" s="1097">
        <v>1.019963449791109</v>
      </c>
      <c r="E1484" s="1097">
        <v>1.0245003609326144</v>
      </c>
      <c r="F1484" s="1097">
        <v>0.98493188024416456</v>
      </c>
      <c r="G1484" s="1097">
        <v>1.0065564426440048</v>
      </c>
      <c r="H1484" s="1097">
        <v>0.98884597152205944</v>
      </c>
      <c r="I1484" s="1097">
        <v>0.98168285787081333</v>
      </c>
      <c r="K1484">
        <v>5.0406221174151904</v>
      </c>
      <c r="L1484">
        <v>0</v>
      </c>
      <c r="M1484">
        <v>3.1989710763885553E-3</v>
      </c>
      <c r="N1484">
        <v>0.29838600036280166</v>
      </c>
      <c r="O1484">
        <v>0.13914717016938355</v>
      </c>
      <c r="P1484">
        <v>2.0245766113859868E-2</v>
      </c>
      <c r="Q1484">
        <v>1.2730621416906821E-3</v>
      </c>
      <c r="R1484">
        <v>3.1935210208157722E-3</v>
      </c>
      <c r="S1484">
        <v>0.42849893217147994</v>
      </c>
      <c r="T1484">
        <v>3.9321164435220362</v>
      </c>
      <c r="U1484">
        <v>0</v>
      </c>
      <c r="V1484">
        <v>1.130476720982382E-2</v>
      </c>
      <c r="W1484">
        <v>0.17484100487076931</v>
      </c>
      <c r="X1484">
        <v>2.5789286690292575E-2</v>
      </c>
      <c r="Y1484">
        <v>9.0251342186214133E-3</v>
      </c>
    </row>
    <row r="1485" spans="1:25" x14ac:dyDescent="0.25">
      <c r="A1485" s="1093"/>
      <c r="B1485" s="1452">
        <v>1235</v>
      </c>
      <c r="C1485" s="1097">
        <v>0.99895217865255936</v>
      </c>
      <c r="D1485" s="1097">
        <v>1.0165199802670819</v>
      </c>
      <c r="E1485" s="1097">
        <v>1.0309357552005443</v>
      </c>
      <c r="F1485" s="1097">
        <v>0.96270304655410022</v>
      </c>
      <c r="G1485" s="1097">
        <v>0.98823403384073039</v>
      </c>
      <c r="H1485" s="1097">
        <v>0.99610117523909747</v>
      </c>
      <c r="I1485" s="1097">
        <v>0.99730615451146831</v>
      </c>
      <c r="K1485">
        <v>4.9833540887713763</v>
      </c>
      <c r="L1485">
        <v>0</v>
      </c>
      <c r="M1485">
        <v>3.2309115125675426E-3</v>
      </c>
      <c r="N1485">
        <v>0.30714660551220258</v>
      </c>
      <c r="O1485">
        <v>0.14124752731633988</v>
      </c>
      <c r="P1485">
        <v>2.0001512814309577E-2</v>
      </c>
      <c r="Q1485">
        <v>1.3309158370513215E-3</v>
      </c>
      <c r="R1485">
        <v>3.2253211775838111E-3</v>
      </c>
      <c r="S1485">
        <v>0.44508512140181761</v>
      </c>
      <c r="T1485">
        <v>3.842605219586785</v>
      </c>
      <c r="U1485">
        <v>0</v>
      </c>
      <c r="V1485">
        <v>1.1304767209823825E-2</v>
      </c>
      <c r="W1485">
        <v>0.17920770173606559</v>
      </c>
      <c r="X1485">
        <v>2.631530380248304E-2</v>
      </c>
      <c r="Y1485">
        <v>9.1150038894750075E-3</v>
      </c>
    </row>
    <row r="1486" spans="1:25" x14ac:dyDescent="0.25">
      <c r="A1486" s="1093"/>
      <c r="B1486" s="1452">
        <v>1236</v>
      </c>
      <c r="C1486" s="1097">
        <v>1.0404716866742998</v>
      </c>
      <c r="D1486" s="1097">
        <v>0.96514177445535432</v>
      </c>
      <c r="E1486" s="1097">
        <v>1.0057696094347457</v>
      </c>
      <c r="F1486" s="1097">
        <v>1.0091119496168179</v>
      </c>
      <c r="G1486" s="1097">
        <v>0.97645548716144159</v>
      </c>
      <c r="H1486" s="1097">
        <v>1.0216377008983999</v>
      </c>
      <c r="I1486" s="1097">
        <v>1.022521430434997</v>
      </c>
      <c r="K1486">
        <v>5.2157089430593189</v>
      </c>
      <c r="L1486">
        <v>0</v>
      </c>
      <c r="M1486">
        <v>3.5903496251731911E-3</v>
      </c>
      <c r="N1486">
        <v>0.31686196103852704</v>
      </c>
      <c r="O1486">
        <v>0.14581758494918315</v>
      </c>
      <c r="P1486">
        <v>2.0588184732541103E-2</v>
      </c>
      <c r="Q1486">
        <v>1.2770750861479997E-3</v>
      </c>
      <c r="R1486">
        <v>3.5845707478581344E-3</v>
      </c>
      <c r="S1486">
        <v>0.46522493840539375</v>
      </c>
      <c r="T1486">
        <v>4.031006059420351</v>
      </c>
      <c r="U1486">
        <v>0</v>
      </c>
      <c r="V1486">
        <v>1.1304767209823813E-2</v>
      </c>
      <c r="W1486">
        <v>0.18800826805773932</v>
      </c>
      <c r="X1486">
        <v>2.5495612434451271E-2</v>
      </c>
      <c r="Y1486">
        <v>1.0130270602477448E-2</v>
      </c>
    </row>
    <row r="1487" spans="1:25" x14ac:dyDescent="0.25">
      <c r="A1487" s="1093"/>
      <c r="B1487" s="1452">
        <v>1237</v>
      </c>
      <c r="C1487" s="1097">
        <v>0.96650663378343504</v>
      </c>
      <c r="D1487" s="1097">
        <v>1.0055458139996889</v>
      </c>
      <c r="E1487" s="1097">
        <v>1.0262858703786562</v>
      </c>
      <c r="F1487" s="1097">
        <v>1.012765489397079</v>
      </c>
      <c r="G1487" s="1097">
        <v>1.0085236401040141</v>
      </c>
      <c r="H1487" s="1097">
        <v>0.98500763092160359</v>
      </c>
      <c r="I1487" s="1097">
        <v>1.0162454454091716</v>
      </c>
      <c r="K1487">
        <v>5.2809741612963812</v>
      </c>
      <c r="L1487">
        <v>0</v>
      </c>
      <c r="M1487">
        <v>3.5232014229046953E-3</v>
      </c>
      <c r="N1487">
        <v>0.33038202159269436</v>
      </c>
      <c r="O1487">
        <v>0.15438454987966335</v>
      </c>
      <c r="P1487">
        <v>2.1061889831487612E-2</v>
      </c>
      <c r="Q1487">
        <v>1.3761839942036012E-3</v>
      </c>
      <c r="R1487">
        <v>3.5173409244924525E-3</v>
      </c>
      <c r="S1487">
        <v>0.4879104392952292</v>
      </c>
      <c r="T1487">
        <v>4.0430114801479666</v>
      </c>
      <c r="U1487">
        <v>0</v>
      </c>
      <c r="V1487">
        <v>1.1304767209823806E-2</v>
      </c>
      <c r="W1487">
        <v>0.1933597534108569</v>
      </c>
      <c r="X1487">
        <v>2.8248662443980204E-2</v>
      </c>
      <c r="Y1487">
        <v>9.9402739888918325E-3</v>
      </c>
    </row>
    <row r="1488" spans="1:25" x14ac:dyDescent="0.25">
      <c r="A1488" s="1093"/>
      <c r="B1488" s="1452">
        <v>1238</v>
      </c>
      <c r="C1488" s="1097">
        <v>0.98004518348713421</v>
      </c>
      <c r="D1488" s="1097">
        <v>1.032141674228467</v>
      </c>
      <c r="E1488" s="1097">
        <v>1.0258687667131978</v>
      </c>
      <c r="F1488" s="1097">
        <v>1.0089820971309091</v>
      </c>
      <c r="G1488" s="1097">
        <v>0.96460575603505139</v>
      </c>
      <c r="H1488" s="1097">
        <v>0.9724338583185016</v>
      </c>
      <c r="I1488" s="1097">
        <v>0.99099540292713839</v>
      </c>
      <c r="K1488">
        <v>5.2144319085205746</v>
      </c>
      <c r="L1488">
        <v>0</v>
      </c>
      <c r="M1488">
        <v>3.3848695668165785E-3</v>
      </c>
      <c r="N1488">
        <v>0.31701008433611011</v>
      </c>
      <c r="O1488">
        <v>0.15011922649599707</v>
      </c>
      <c r="P1488">
        <v>2.0870371978814521E-2</v>
      </c>
      <c r="Q1488">
        <v>1.3426028448663887E-3</v>
      </c>
      <c r="R1488">
        <v>3.3791450174248928E-3</v>
      </c>
      <c r="S1488">
        <v>0.46303321489167321</v>
      </c>
      <c r="T1488">
        <v>4.0279601735397081</v>
      </c>
      <c r="U1488">
        <v>0</v>
      </c>
      <c r="V1488">
        <v>1.1304767209823813E-2</v>
      </c>
      <c r="W1488">
        <v>0.18558507488477965</v>
      </c>
      <c r="X1488">
        <v>2.7662395083431896E-2</v>
      </c>
      <c r="Y1488">
        <v>9.5497218047605192E-3</v>
      </c>
    </row>
    <row r="1489" spans="1:25" x14ac:dyDescent="0.25">
      <c r="A1489" s="1093"/>
      <c r="B1489" s="1452">
        <v>1239</v>
      </c>
      <c r="C1489" s="1097">
        <v>1.0080001854214591</v>
      </c>
      <c r="D1489" s="1097">
        <v>1.0149686935236517</v>
      </c>
      <c r="E1489" s="1097">
        <v>0.99626448534398004</v>
      </c>
      <c r="F1489" s="1097">
        <v>1.0077863898325929</v>
      </c>
      <c r="G1489" s="1097">
        <v>1.0045708721086533</v>
      </c>
      <c r="H1489" s="1097">
        <v>0.99711395648644796</v>
      </c>
      <c r="I1489" s="1097">
        <v>1.0184496176436195</v>
      </c>
      <c r="K1489">
        <v>5.2063326335343358</v>
      </c>
      <c r="L1489">
        <v>0</v>
      </c>
      <c r="M1489">
        <v>3.611889393318096E-3</v>
      </c>
      <c r="N1489">
        <v>0.30989843691996499</v>
      </c>
      <c r="O1489">
        <v>0.1475837594847694</v>
      </c>
      <c r="P1489">
        <v>2.0438596000116677E-2</v>
      </c>
      <c r="Q1489">
        <v>1.2814625293267167E-3</v>
      </c>
      <c r="R1489">
        <v>3.6059250420668971E-3</v>
      </c>
      <c r="S1489">
        <v>0.4683619590106709</v>
      </c>
      <c r="T1489">
        <v>4.0269130814783072</v>
      </c>
      <c r="U1489">
        <v>0</v>
      </c>
      <c r="V1489">
        <v>1.1304767209823804E-2</v>
      </c>
      <c r="W1489">
        <v>0.18506075738547276</v>
      </c>
      <c r="X1489">
        <v>2.5305158398904772E-2</v>
      </c>
      <c r="Y1489">
        <v>1.0190619468234652E-2</v>
      </c>
    </row>
    <row r="1490" spans="1:25" x14ac:dyDescent="0.25">
      <c r="A1490" s="1093"/>
      <c r="B1490" s="1452">
        <v>1240</v>
      </c>
      <c r="C1490" s="1097">
        <v>0.98315393639124793</v>
      </c>
      <c r="D1490" s="1097">
        <v>1.0262350455097384</v>
      </c>
      <c r="E1490" s="1097">
        <v>0.98482271599814919</v>
      </c>
      <c r="F1490" s="1097">
        <v>0.99116745900684733</v>
      </c>
      <c r="G1490" s="1097">
        <v>1.0093766884540587</v>
      </c>
      <c r="H1490" s="1097">
        <v>1.0097549171921991</v>
      </c>
      <c r="I1490" s="1097">
        <v>0.99462708138146261</v>
      </c>
      <c r="K1490">
        <v>5.1416334951400646</v>
      </c>
      <c r="L1490">
        <v>0</v>
      </c>
      <c r="M1490">
        <v>3.7615490849433881E-3</v>
      </c>
      <c r="N1490">
        <v>0.31197171692556303</v>
      </c>
      <c r="O1490">
        <v>0.14848027804808062</v>
      </c>
      <c r="P1490">
        <v>1.9950965246619615E-2</v>
      </c>
      <c r="Q1490">
        <v>1.2952181221440493E-3</v>
      </c>
      <c r="R1490">
        <v>3.7553126874967256E-3</v>
      </c>
      <c r="S1490">
        <v>0.46382904045810941</v>
      </c>
      <c r="T1490">
        <v>3.9619373368287611</v>
      </c>
      <c r="U1490">
        <v>0</v>
      </c>
      <c r="V1490">
        <v>1.1304767209823811E-2</v>
      </c>
      <c r="W1490">
        <v>0.18775448205713061</v>
      </c>
      <c r="X1490">
        <v>2.4503126281850644E-2</v>
      </c>
      <c r="Y1490">
        <v>1.0612800359426539E-2</v>
      </c>
    </row>
    <row r="1491" spans="1:25" x14ac:dyDescent="0.25">
      <c r="A1491" s="1093"/>
      <c r="B1491" s="1452">
        <v>1241</v>
      </c>
      <c r="C1491" s="1097">
        <v>1.0023401337545303</v>
      </c>
      <c r="D1491" s="1097">
        <v>1.0065886260445374</v>
      </c>
      <c r="E1491" s="1097">
        <v>1.018590785103715</v>
      </c>
      <c r="F1491" s="1097">
        <v>1.0272880508797526</v>
      </c>
      <c r="G1491" s="1097">
        <v>0.98761559515977249</v>
      </c>
      <c r="H1491" s="1097">
        <v>1.01185603861523</v>
      </c>
      <c r="I1491" s="1097">
        <v>1.01565861641871</v>
      </c>
      <c r="K1491">
        <v>5.3288686426150997</v>
      </c>
      <c r="L1491">
        <v>0</v>
      </c>
      <c r="M1491">
        <v>3.5963463187911023E-3</v>
      </c>
      <c r="N1491">
        <v>0.32967346132580194</v>
      </c>
      <c r="O1491">
        <v>0.15115639531722266</v>
      </c>
      <c r="P1491">
        <v>2.1183648152436278E-2</v>
      </c>
      <c r="Q1491">
        <v>1.3178395196574181E-3</v>
      </c>
      <c r="R1491">
        <v>3.5906050725954047E-3</v>
      </c>
      <c r="S1491">
        <v>0.48098131556653384</v>
      </c>
      <c r="T1491">
        <v>4.1019682789296459</v>
      </c>
      <c r="U1491">
        <v>0</v>
      </c>
      <c r="V1491">
        <v>1.1304767209823817E-2</v>
      </c>
      <c r="W1491">
        <v>0.1939359680042741</v>
      </c>
      <c r="X1491">
        <v>2.720538577101551E-2</v>
      </c>
      <c r="Y1491">
        <v>1.0147324064883872E-2</v>
      </c>
    </row>
    <row r="1492" spans="1:25" x14ac:dyDescent="0.25">
      <c r="A1492" s="1093"/>
      <c r="B1492" s="1452">
        <v>1242</v>
      </c>
      <c r="C1492" s="1097">
        <v>0.96300360344899405</v>
      </c>
      <c r="D1492" s="1097">
        <v>0.99600631441852805</v>
      </c>
      <c r="E1492" s="1097">
        <v>0.98974416540892785</v>
      </c>
      <c r="F1492" s="1097">
        <v>0.96565734261855074</v>
      </c>
      <c r="G1492" s="1097">
        <v>1.0333000303544959</v>
      </c>
      <c r="H1492" s="1097">
        <v>0.98735780282094621</v>
      </c>
      <c r="I1492" s="1097">
        <v>1.0239094279876062</v>
      </c>
      <c r="K1492">
        <v>5.0450496878854016</v>
      </c>
      <c r="L1492">
        <v>0</v>
      </c>
      <c r="M1492">
        <v>3.6645094701640486E-3</v>
      </c>
      <c r="N1492">
        <v>0.30836665469571106</v>
      </c>
      <c r="O1492">
        <v>0.1493249730382662</v>
      </c>
      <c r="P1492">
        <v>1.9614813270568399E-2</v>
      </c>
      <c r="Q1492">
        <v>1.3439314207246481E-3</v>
      </c>
      <c r="R1492">
        <v>3.6581322839893994E-3</v>
      </c>
      <c r="S1492">
        <v>0.47547104196845952</v>
      </c>
      <c r="T1492">
        <v>3.8593669547981406</v>
      </c>
      <c r="U1492">
        <v>0</v>
      </c>
      <c r="V1492">
        <v>1.1304767209823813E-2</v>
      </c>
      <c r="W1492">
        <v>0.18496321888938611</v>
      </c>
      <c r="X1492">
        <v>2.4961548660752394E-2</v>
      </c>
      <c r="Y1492">
        <v>1.0338161119742008E-2</v>
      </c>
    </row>
    <row r="1493" spans="1:25" x14ac:dyDescent="0.25">
      <c r="A1493" s="1093"/>
      <c r="B1493" s="1452">
        <v>1243</v>
      </c>
      <c r="C1493" s="1097">
        <v>0.9910290747467051</v>
      </c>
      <c r="D1493" s="1097">
        <v>1.0153117068494835</v>
      </c>
      <c r="E1493" s="1097">
        <v>0.96697234724623393</v>
      </c>
      <c r="F1493" s="1097">
        <v>0.99667296704672059</v>
      </c>
      <c r="G1493" s="1097">
        <v>1.0287254086744773</v>
      </c>
      <c r="H1493" s="1097">
        <v>0.99630573131293365</v>
      </c>
      <c r="I1493" s="1097">
        <v>1.0180587362758162</v>
      </c>
      <c r="K1493">
        <v>5.1626128301717786</v>
      </c>
      <c r="L1493">
        <v>0</v>
      </c>
      <c r="M1493">
        <v>3.8601401611304369E-3</v>
      </c>
      <c r="N1493">
        <v>0.30362319466973792</v>
      </c>
      <c r="O1493">
        <v>0.14925029291559888</v>
      </c>
      <c r="P1493">
        <v>1.9823540597679778E-2</v>
      </c>
      <c r="Q1493">
        <v>1.2705450256514715E-3</v>
      </c>
      <c r="R1493">
        <v>3.8536896839017629E-3</v>
      </c>
      <c r="S1493">
        <v>0.4716031156297254</v>
      </c>
      <c r="T1493">
        <v>3.9862031182097262</v>
      </c>
      <c r="U1493">
        <v>0</v>
      </c>
      <c r="V1493">
        <v>1.1304767209823827E-2</v>
      </c>
      <c r="W1493">
        <v>0.18498491981975812</v>
      </c>
      <c r="X1493">
        <v>2.366496530930708E-2</v>
      </c>
      <c r="Y1493">
        <v>1.0890821261995543E-2</v>
      </c>
    </row>
    <row r="1494" spans="1:25" x14ac:dyDescent="0.25">
      <c r="A1494" s="1093"/>
      <c r="B1494" s="1452">
        <v>1244</v>
      </c>
      <c r="C1494" s="1097">
        <v>1.008981483007972</v>
      </c>
      <c r="D1494" s="1097">
        <v>1.0103511640888212</v>
      </c>
      <c r="E1494" s="1097">
        <v>1.0017251035190333</v>
      </c>
      <c r="F1494" s="1097">
        <v>1.034613226811647</v>
      </c>
      <c r="G1494" s="1097">
        <v>1.0392421440689616</v>
      </c>
      <c r="H1494" s="1097">
        <v>0.99987764785290967</v>
      </c>
      <c r="I1494" s="1097">
        <v>0.98256306659959214</v>
      </c>
      <c r="K1494">
        <v>5.3291945063373403</v>
      </c>
      <c r="L1494">
        <v>0</v>
      </c>
      <c r="M1494">
        <v>3.6787778709214099E-3</v>
      </c>
      <c r="N1494">
        <v>0.32080141628303688</v>
      </c>
      <c r="O1494">
        <v>0.15148613721276444</v>
      </c>
      <c r="P1494">
        <v>2.0979956814688977E-2</v>
      </c>
      <c r="Q1494">
        <v>1.2885735512854408E-3</v>
      </c>
      <c r="R1494">
        <v>3.6728766853111206E-3</v>
      </c>
      <c r="S1494">
        <v>0.46243662683313208</v>
      </c>
      <c r="T1494">
        <v>4.1333980996935784</v>
      </c>
      <c r="U1494">
        <v>0</v>
      </c>
      <c r="V1494">
        <v>1.1304767209823815E-2</v>
      </c>
      <c r="W1494">
        <v>0.19086543421848409</v>
      </c>
      <c r="X1494">
        <v>2.6259565782595307E-2</v>
      </c>
      <c r="Y1494">
        <v>1.0379829923558983E-2</v>
      </c>
    </row>
    <row r="1495" spans="1:25" x14ac:dyDescent="0.25">
      <c r="A1495" s="1093"/>
      <c r="B1495" s="1452">
        <v>1245</v>
      </c>
      <c r="C1495" s="1097">
        <v>1.015873194713107</v>
      </c>
      <c r="D1495" s="1097">
        <v>1.0208031903902652</v>
      </c>
      <c r="E1495" s="1097">
        <v>1.0212765392363554</v>
      </c>
      <c r="F1495" s="1097">
        <v>0.9967846143743968</v>
      </c>
      <c r="G1495" s="1097">
        <v>1.002388146644855</v>
      </c>
      <c r="H1495" s="1097">
        <v>1.0006035223126628</v>
      </c>
      <c r="I1495" s="1097">
        <v>0.97450162347620461</v>
      </c>
      <c r="K1495">
        <v>5.1269347984183344</v>
      </c>
      <c r="L1495">
        <v>0</v>
      </c>
      <c r="M1495">
        <v>3.3667520009808042E-3</v>
      </c>
      <c r="N1495">
        <v>0.31106795425782874</v>
      </c>
      <c r="O1495">
        <v>0.14383201519935246</v>
      </c>
      <c r="P1495">
        <v>2.0475114079852207E-2</v>
      </c>
      <c r="Q1495">
        <v>1.2959529057442838E-3</v>
      </c>
      <c r="R1495">
        <v>3.3611507899614459E-3</v>
      </c>
      <c r="S1495">
        <v>0.44073003755600199</v>
      </c>
      <c r="T1495">
        <v>3.9798348876205272</v>
      </c>
      <c r="U1495">
        <v>0</v>
      </c>
      <c r="V1495">
        <v>1.1304767209823808E-2</v>
      </c>
      <c r="W1495">
        <v>0.18266353856835346</v>
      </c>
      <c r="X1495">
        <v>2.6237263487721041E-2</v>
      </c>
      <c r="Y1495">
        <v>9.4988687441545372E-3</v>
      </c>
    </row>
    <row r="1496" spans="1:25" x14ac:dyDescent="0.25">
      <c r="A1496" s="1093"/>
      <c r="B1496" s="1452">
        <v>1246</v>
      </c>
      <c r="C1496" s="1097">
        <v>0.98665394394078143</v>
      </c>
      <c r="D1496" s="1097">
        <v>0.98748604542281293</v>
      </c>
      <c r="E1496" s="1097">
        <v>0.96274546269353922</v>
      </c>
      <c r="F1496" s="1097">
        <v>1.0028403513023765</v>
      </c>
      <c r="G1496" s="1097">
        <v>0.99437482003939737</v>
      </c>
      <c r="H1496" s="1097">
        <v>0.95550362642265008</v>
      </c>
      <c r="I1496" s="1097">
        <v>0.9976800456501822</v>
      </c>
      <c r="K1496">
        <v>5.1704089615014164</v>
      </c>
      <c r="L1496">
        <v>0</v>
      </c>
      <c r="M1496">
        <v>3.8168997104987652E-3</v>
      </c>
      <c r="N1496">
        <v>0.29645780415108186</v>
      </c>
      <c r="O1496">
        <v>0.15264582902399165</v>
      </c>
      <c r="P1496">
        <v>1.9825352789270022E-2</v>
      </c>
      <c r="Q1496">
        <v>1.2856714662273019E-3</v>
      </c>
      <c r="R1496">
        <v>3.8102899589460312E-3</v>
      </c>
      <c r="S1496">
        <v>0.46137489867079062</v>
      </c>
      <c r="T1496">
        <v>4.0114105796726562</v>
      </c>
      <c r="U1496">
        <v>0</v>
      </c>
      <c r="V1496">
        <v>1.1304767209823811E-2</v>
      </c>
      <c r="W1496">
        <v>0.18114862844381416</v>
      </c>
      <c r="X1496">
        <v>2.4193869499453867E-2</v>
      </c>
      <c r="Y1496">
        <v>1.0768170325858389E-2</v>
      </c>
    </row>
    <row r="1497" spans="1:25" x14ac:dyDescent="0.25">
      <c r="A1497" s="1093"/>
      <c r="B1497" s="1452">
        <v>1247</v>
      </c>
      <c r="C1497" s="1097">
        <v>1.0078198899330657</v>
      </c>
      <c r="D1497" s="1097">
        <v>1.010464796442005</v>
      </c>
      <c r="E1497" s="1097">
        <v>0.96378336776693763</v>
      </c>
      <c r="F1497" s="1097">
        <v>1.0120270458393879</v>
      </c>
      <c r="G1497" s="1097">
        <v>0.97841030141628127</v>
      </c>
      <c r="H1497" s="1097">
        <v>1.0169313985779174</v>
      </c>
      <c r="I1497" s="1097">
        <v>1.0374366758122495</v>
      </c>
      <c r="K1497">
        <v>5.2457633212117036</v>
      </c>
      <c r="L1497">
        <v>0</v>
      </c>
      <c r="M1497">
        <v>3.9679479628609926E-3</v>
      </c>
      <c r="N1497">
        <v>0.30917847101774037</v>
      </c>
      <c r="O1497">
        <v>0.1493988400411925</v>
      </c>
      <c r="P1497">
        <v>2.0099514204803028E-2</v>
      </c>
      <c r="Q1497">
        <v>1.2482780416176562E-3</v>
      </c>
      <c r="R1497">
        <v>3.9615502132044518E-3</v>
      </c>
      <c r="S1497">
        <v>0.48312996404706554</v>
      </c>
      <c r="T1497">
        <v>4.0480236646946173</v>
      </c>
      <c r="U1497">
        <v>0</v>
      </c>
      <c r="V1497">
        <v>1.130476720982383E-2</v>
      </c>
      <c r="W1497">
        <v>0.18878567124646961</v>
      </c>
      <c r="X1497">
        <v>2.3404905105459103E-2</v>
      </c>
      <c r="Y1497">
        <v>1.11956433525668E-2</v>
      </c>
    </row>
    <row r="1498" spans="1:25" x14ac:dyDescent="0.25">
      <c r="A1498" s="1093"/>
      <c r="B1498" s="1452">
        <v>1248</v>
      </c>
      <c r="C1498" s="1097">
        <v>0.98345760718913755</v>
      </c>
      <c r="D1498" s="1097">
        <v>0.98800370449155794</v>
      </c>
      <c r="E1498" s="1097">
        <v>0.98572810245308307</v>
      </c>
      <c r="F1498" s="1097">
        <v>0.98532539932263985</v>
      </c>
      <c r="G1498" s="1097">
        <v>1.0016660596251534</v>
      </c>
      <c r="H1498" s="1097">
        <v>1.0468715899534864</v>
      </c>
      <c r="I1498" s="1097">
        <v>1.0055094171905454</v>
      </c>
      <c r="K1498">
        <v>5.15634485871999</v>
      </c>
      <c r="L1498">
        <v>0</v>
      </c>
      <c r="M1498">
        <v>3.9274996347021321E-3</v>
      </c>
      <c r="N1498">
        <v>0.32662725258501529</v>
      </c>
      <c r="O1498">
        <v>0.14979215649742361</v>
      </c>
      <c r="P1498">
        <v>1.9918289104747779E-2</v>
      </c>
      <c r="Q1498">
        <v>1.3156617946588987E-3</v>
      </c>
      <c r="R1498">
        <v>3.9211817919223698E-3</v>
      </c>
      <c r="S1498">
        <v>0.47699271338061122</v>
      </c>
      <c r="T1498">
        <v>3.9384724239954059</v>
      </c>
      <c r="U1498">
        <v>0</v>
      </c>
      <c r="V1498">
        <v>1.1304767209823824E-2</v>
      </c>
      <c r="W1498">
        <v>0.19645318669252196</v>
      </c>
      <c r="X1498">
        <v>2.4393166190518456E-2</v>
      </c>
      <c r="Y1498">
        <v>1.1081559112040468E-2</v>
      </c>
    </row>
    <row r="1499" spans="1:25" x14ac:dyDescent="0.25">
      <c r="A1499" s="1093"/>
      <c r="B1499" s="1452">
        <v>1249</v>
      </c>
      <c r="C1499" s="1097">
        <v>0.97982533669730421</v>
      </c>
      <c r="D1499" s="1097">
        <v>1.0189144449998473</v>
      </c>
      <c r="E1499" s="1097">
        <v>0.99227234052197</v>
      </c>
      <c r="F1499" s="1097">
        <v>0.99442901684684981</v>
      </c>
      <c r="G1499" s="1097">
        <v>1.043817371841316</v>
      </c>
      <c r="H1499" s="1097">
        <v>1.0212548844708524</v>
      </c>
      <c r="I1499" s="1097">
        <v>1.018919534082138</v>
      </c>
      <c r="K1499">
        <v>5.1858289848178387</v>
      </c>
      <c r="L1499">
        <v>0</v>
      </c>
      <c r="M1499">
        <v>3.7811556847899834E-3</v>
      </c>
      <c r="N1499">
        <v>0.32061055072016148</v>
      </c>
      <c r="O1499">
        <v>0.1496947654173677</v>
      </c>
      <c r="P1499">
        <v>2.0195482726766443E-2</v>
      </c>
      <c r="Q1499">
        <v>1.3117543246511914E-3</v>
      </c>
      <c r="R1499">
        <v>3.7749776681644492E-3</v>
      </c>
      <c r="S1499">
        <v>0.48096751619472977</v>
      </c>
      <c r="T1499">
        <v>3.9740394635386758</v>
      </c>
      <c r="U1499">
        <v>0</v>
      </c>
      <c r="V1499">
        <v>1.1304767209823808E-2</v>
      </c>
      <c r="W1499">
        <v>0.19197697206193087</v>
      </c>
      <c r="X1499">
        <v>2.5065515544214229E-2</v>
      </c>
      <c r="Y1499">
        <v>1.0668375096143779E-2</v>
      </c>
    </row>
    <row r="1500" spans="1:25" x14ac:dyDescent="0.25">
      <c r="A1500" s="1093"/>
      <c r="B1500" s="1452">
        <v>1250</v>
      </c>
      <c r="C1500" s="1097">
        <v>1.0123615222367743</v>
      </c>
      <c r="D1500" s="1097">
        <v>1.0382128290822537</v>
      </c>
      <c r="E1500" s="1097">
        <v>0.9982896964880732</v>
      </c>
      <c r="F1500" s="1097">
        <v>1.005264770437867</v>
      </c>
      <c r="G1500" s="1097">
        <v>1.0215843752976415</v>
      </c>
      <c r="H1500" s="1097">
        <v>0.97701004290143612</v>
      </c>
      <c r="I1500" s="1097">
        <v>1.0068460852692254</v>
      </c>
      <c r="K1500">
        <v>5.1620061241836446</v>
      </c>
      <c r="L1500">
        <v>0</v>
      </c>
      <c r="M1500">
        <v>3.4685060943295261E-3</v>
      </c>
      <c r="N1500">
        <v>0.29937625541998225</v>
      </c>
      <c r="O1500">
        <v>0.14520351800689907</v>
      </c>
      <c r="P1500">
        <v>2.0358983304655409E-2</v>
      </c>
      <c r="Q1500">
        <v>1.2666379469336189E-3</v>
      </c>
      <c r="R1500">
        <v>3.4626460185693221E-3</v>
      </c>
      <c r="S1500">
        <v>0.45435380945336751</v>
      </c>
      <c r="T1500">
        <v>4.0165812568561696</v>
      </c>
      <c r="U1500">
        <v>0</v>
      </c>
      <c r="V1500">
        <v>1.1304767209823825E-2</v>
      </c>
      <c r="W1500">
        <v>0.17853227725451828</v>
      </c>
      <c r="X1500">
        <v>2.5248776798057225E-2</v>
      </c>
      <c r="Y1500">
        <v>9.7857020089945346E-3</v>
      </c>
    </row>
    <row r="1501" spans="1:25" x14ac:dyDescent="0.25">
      <c r="A1501" s="1093"/>
      <c r="B1501" s="1452">
        <v>1251</v>
      </c>
      <c r="C1501" s="1097">
        <v>1.0061411692838425</v>
      </c>
      <c r="D1501" s="1097">
        <v>0.9891697695467665</v>
      </c>
      <c r="E1501" s="1097">
        <v>0.98376959543825415</v>
      </c>
      <c r="F1501" s="1097">
        <v>0.98837481801960136</v>
      </c>
      <c r="G1501" s="1097">
        <v>0.98072712414046748</v>
      </c>
      <c r="H1501" s="1097">
        <v>1.0065988779542683</v>
      </c>
      <c r="I1501" s="1097">
        <v>1.0052902306606495</v>
      </c>
      <c r="K1501">
        <v>5.1169802680716652</v>
      </c>
      <c r="L1501">
        <v>0</v>
      </c>
      <c r="M1501">
        <v>3.716188271192313E-3</v>
      </c>
      <c r="N1501">
        <v>0.30724524033204664</v>
      </c>
      <c r="O1501">
        <v>0.146852694966258</v>
      </c>
      <c r="P1501">
        <v>1.9867190651089703E-2</v>
      </c>
      <c r="Q1501">
        <v>1.2832166882891162E-3</v>
      </c>
      <c r="R1501">
        <v>3.7099903278205544E-3</v>
      </c>
      <c r="S1501">
        <v>0.45974994006462361</v>
      </c>
      <c r="T1501">
        <v>3.9509061199679651</v>
      </c>
      <c r="U1501">
        <v>0</v>
      </c>
      <c r="V1501">
        <v>1.1304767209823817E-2</v>
      </c>
      <c r="W1501">
        <v>0.18504301360983449</v>
      </c>
      <c r="X1501">
        <v>2.4249566614322822E-2</v>
      </c>
      <c r="Y1501">
        <v>1.0484715910783206E-2</v>
      </c>
    </row>
    <row r="1502" spans="1:25" x14ac:dyDescent="0.25">
      <c r="A1502" s="1093"/>
      <c r="B1502" s="1452">
        <v>1252</v>
      </c>
      <c r="C1502" s="1097">
        <v>0.96560836409882222</v>
      </c>
      <c r="D1502" s="1097">
        <v>1.0311645823416267</v>
      </c>
      <c r="E1502" s="1097">
        <v>0.99707613631632597</v>
      </c>
      <c r="F1502" s="1097">
        <v>0.9877865580092654</v>
      </c>
      <c r="G1502" s="1097">
        <v>0.97651466220465055</v>
      </c>
      <c r="H1502" s="1097">
        <v>0.98368218853492428</v>
      </c>
      <c r="I1502" s="1097">
        <v>1.0460752692839119</v>
      </c>
      <c r="K1502">
        <v>5.151952375405366</v>
      </c>
      <c r="L1502">
        <v>0</v>
      </c>
      <c r="M1502">
        <v>3.6167714401286587E-3</v>
      </c>
      <c r="N1502">
        <v>0.31104710905778926</v>
      </c>
      <c r="O1502">
        <v>0.15002946967792644</v>
      </c>
      <c r="P1502">
        <v>2.018447908578945E-2</v>
      </c>
      <c r="Q1502">
        <v>1.330203569575481E-3</v>
      </c>
      <c r="R1502">
        <v>3.6105951068857362E-3</v>
      </c>
      <c r="S1502">
        <v>0.48963723420329724</v>
      </c>
      <c r="T1502">
        <v>3.9468969308274007</v>
      </c>
      <c r="U1502">
        <v>0</v>
      </c>
      <c r="V1502">
        <v>1.130476720982381E-2</v>
      </c>
      <c r="W1502">
        <v>0.18564460682867676</v>
      </c>
      <c r="X1502">
        <v>2.5679933850376528E-2</v>
      </c>
      <c r="Y1502">
        <v>1.0203817427955274E-2</v>
      </c>
    </row>
    <row r="1503" spans="1:25" x14ac:dyDescent="0.25">
      <c r="A1503" s="1093"/>
      <c r="B1503" s="1452">
        <v>1253</v>
      </c>
      <c r="C1503" s="1097">
        <v>1.0138129091568484</v>
      </c>
      <c r="D1503" s="1097">
        <v>1.0062609637023008</v>
      </c>
      <c r="E1503" s="1097">
        <v>0.9923605617486948</v>
      </c>
      <c r="F1503" s="1097">
        <v>0.99397544850408748</v>
      </c>
      <c r="G1503" s="1097">
        <v>1.0367528451544232</v>
      </c>
      <c r="H1503" s="1097">
        <v>0.98379842121219574</v>
      </c>
      <c r="I1503" s="1097">
        <v>0.99713990356970039</v>
      </c>
      <c r="K1503">
        <v>5.1133361279928726</v>
      </c>
      <c r="L1503">
        <v>0</v>
      </c>
      <c r="M1503">
        <v>3.5357359921975233E-3</v>
      </c>
      <c r="N1503">
        <v>0.29986050643372436</v>
      </c>
      <c r="O1503">
        <v>0.14533258350276124</v>
      </c>
      <c r="P1503">
        <v>2.004401909280008E-2</v>
      </c>
      <c r="Q1503">
        <v>1.274228129192846E-3</v>
      </c>
      <c r="R1503">
        <v>3.5297362834469546E-3</v>
      </c>
      <c r="S1503">
        <v>0.44901031892566873</v>
      </c>
      <c r="T1503">
        <v>3.9722158176480442</v>
      </c>
      <c r="U1503">
        <v>0</v>
      </c>
      <c r="V1503">
        <v>1.1304767209823822E-2</v>
      </c>
      <c r="W1503">
        <v>0.17954138317055207</v>
      </c>
      <c r="X1503">
        <v>2.4783199369416097E-2</v>
      </c>
      <c r="Y1503">
        <v>9.9753042196381418E-3</v>
      </c>
    </row>
    <row r="1504" spans="1:25" x14ac:dyDescent="0.25">
      <c r="A1504" s="1093"/>
      <c r="B1504" s="1452">
        <v>1254</v>
      </c>
      <c r="C1504" s="1097">
        <v>1.008800514957126</v>
      </c>
      <c r="D1504" s="1097">
        <v>1.008076519887255</v>
      </c>
      <c r="E1504" s="1097">
        <v>0.9948414406464392</v>
      </c>
      <c r="F1504" s="1097">
        <v>0.99089050857413552</v>
      </c>
      <c r="G1504" s="1097">
        <v>0.97752598054678341</v>
      </c>
      <c r="H1504" s="1097">
        <v>0.99273073557406877</v>
      </c>
      <c r="I1504" s="1097">
        <v>0.98495682518742067</v>
      </c>
      <c r="K1504">
        <v>5.103541052982</v>
      </c>
      <c r="L1504">
        <v>0</v>
      </c>
      <c r="M1504">
        <v>3.5532852610778379E-3</v>
      </c>
      <c r="N1504">
        <v>0.30357624762093011</v>
      </c>
      <c r="O1504">
        <v>0.14542884141186063</v>
      </c>
      <c r="P1504">
        <v>2.0010576613978551E-2</v>
      </c>
      <c r="Q1504">
        <v>1.2823711029667825E-3</v>
      </c>
      <c r="R1504">
        <v>3.5472914534734755E-3</v>
      </c>
      <c r="S1504">
        <v>0.446028448911789</v>
      </c>
      <c r="T1504">
        <v>3.9595779254260584</v>
      </c>
      <c r="U1504">
        <v>0</v>
      </c>
      <c r="V1504">
        <v>1.1304767209823815E-2</v>
      </c>
      <c r="W1504">
        <v>0.18146033368739037</v>
      </c>
      <c r="X1504">
        <v>2.4852618334396323E-2</v>
      </c>
      <c r="Y1504">
        <v>1.002491647040692E-2</v>
      </c>
    </row>
    <row r="1505" spans="1:25" x14ac:dyDescent="0.25">
      <c r="A1505" s="1093"/>
      <c r="B1505" s="1452">
        <v>1255</v>
      </c>
      <c r="C1505" s="1097">
        <v>0.95557769375932744</v>
      </c>
      <c r="D1505" s="1097">
        <v>0.96980927843672549</v>
      </c>
      <c r="E1505" s="1097">
        <v>0.98924161536402955</v>
      </c>
      <c r="F1505" s="1097">
        <v>1.0169956155817308</v>
      </c>
      <c r="G1505" s="1097">
        <v>0.97939426625387238</v>
      </c>
      <c r="H1505" s="1097">
        <v>0.97206986786622407</v>
      </c>
      <c r="I1505" s="1097">
        <v>1.0194709977609124</v>
      </c>
      <c r="K1505">
        <v>5.3142513117351262</v>
      </c>
      <c r="L1505">
        <v>0</v>
      </c>
      <c r="M1505">
        <v>3.8738983215499357E-3</v>
      </c>
      <c r="N1505">
        <v>0.32552132364608921</v>
      </c>
      <c r="O1505">
        <v>0.16019964144052745</v>
      </c>
      <c r="P1505">
        <v>2.0633420034433025E-2</v>
      </c>
      <c r="Q1505">
        <v>1.3682990080806641E-3</v>
      </c>
      <c r="R1505">
        <v>3.8673958241886917E-3</v>
      </c>
      <c r="S1505">
        <v>0.49765496192035574</v>
      </c>
      <c r="T1505">
        <v>4.0646110890079656</v>
      </c>
      <c r="U1505">
        <v>0</v>
      </c>
      <c r="V1505">
        <v>1.1304767209823817E-2</v>
      </c>
      <c r="W1505">
        <v>0.19531966814727192</v>
      </c>
      <c r="X1505">
        <v>2.6715087957079574E-2</v>
      </c>
      <c r="Y1505">
        <v>1.0929555860860717E-2</v>
      </c>
    </row>
    <row r="1506" spans="1:25" x14ac:dyDescent="0.25">
      <c r="A1506" s="1093"/>
      <c r="B1506" s="1452">
        <v>1256</v>
      </c>
      <c r="C1506" s="1097">
        <v>0.99170225047302307</v>
      </c>
      <c r="D1506" s="1097">
        <v>1.0323169897188424</v>
      </c>
      <c r="E1506" s="1097">
        <v>0.99791750972639837</v>
      </c>
      <c r="F1506" s="1097">
        <v>1.0255746116561422</v>
      </c>
      <c r="G1506" s="1097">
        <v>0.99401176832875449</v>
      </c>
      <c r="H1506" s="1097">
        <v>0.99614441646426877</v>
      </c>
      <c r="I1506" s="1097">
        <v>0.98412382870698423</v>
      </c>
      <c r="K1506">
        <v>5.2928275460607122</v>
      </c>
      <c r="L1506">
        <v>0</v>
      </c>
      <c r="M1506">
        <v>3.6942161136700306E-3</v>
      </c>
      <c r="N1506">
        <v>0.31852722735357625</v>
      </c>
      <c r="O1506">
        <v>0.1515786038906842</v>
      </c>
      <c r="P1506">
        <v>2.0771033199581575E-2</v>
      </c>
      <c r="Q1506">
        <v>1.2955597767872486E-3</v>
      </c>
      <c r="R1506">
        <v>3.6882156171455832E-3</v>
      </c>
      <c r="S1506">
        <v>0.46514487552195127</v>
      </c>
      <c r="T1506">
        <v>4.0977781210941622</v>
      </c>
      <c r="U1506">
        <v>0</v>
      </c>
      <c r="V1506">
        <v>1.1304767209823834E-2</v>
      </c>
      <c r="W1506">
        <v>0.19000076171343219</v>
      </c>
      <c r="X1506">
        <v>2.6009417881236906E-2</v>
      </c>
      <c r="Y1506">
        <v>1.0423178915995221E-2</v>
      </c>
    </row>
    <row r="1507" spans="1:25" x14ac:dyDescent="0.25">
      <c r="A1507" s="1093"/>
      <c r="B1507" s="1452">
        <v>1257</v>
      </c>
      <c r="C1507" s="1097">
        <v>0.96947262348348773</v>
      </c>
      <c r="D1507" s="1097">
        <v>1.0026349053949706</v>
      </c>
      <c r="E1507" s="1097">
        <v>1.0191121945730475</v>
      </c>
      <c r="F1507" s="1097">
        <v>1.0271495872767378</v>
      </c>
      <c r="G1507" s="1097">
        <v>1.0076502959349913</v>
      </c>
      <c r="H1507" s="1097">
        <v>1.0030155960826752</v>
      </c>
      <c r="I1507" s="1097">
        <v>1.007589328671628</v>
      </c>
      <c r="K1507">
        <v>5.3596239209453218</v>
      </c>
      <c r="L1507">
        <v>0</v>
      </c>
      <c r="M1507">
        <v>3.6870329259524001E-3</v>
      </c>
      <c r="N1507">
        <v>0.33850360312009203</v>
      </c>
      <c r="O1507">
        <v>0.15649072345108866</v>
      </c>
      <c r="P1507">
        <v>2.1239233076931083E-2</v>
      </c>
      <c r="Q1507">
        <v>1.3652668262720427E-3</v>
      </c>
      <c r="R1507">
        <v>3.6810942289472997E-3</v>
      </c>
      <c r="S1507">
        <v>0.4918922444416492</v>
      </c>
      <c r="T1507">
        <v>4.1013487489793921</v>
      </c>
      <c r="U1507">
        <v>0</v>
      </c>
      <c r="V1507">
        <v>1.1304767209823832E-2</v>
      </c>
      <c r="W1507">
        <v>0.19906117453220804</v>
      </c>
      <c r="X1507">
        <v>2.8021044675610483E-2</v>
      </c>
      <c r="Y1507">
        <v>1.04030533292546E-2</v>
      </c>
    </row>
    <row r="1508" spans="1:25" x14ac:dyDescent="0.25">
      <c r="A1508" s="1093"/>
      <c r="B1508" s="1452">
        <v>1258</v>
      </c>
      <c r="C1508" s="1097">
        <v>1.0226642686969758</v>
      </c>
      <c r="D1508" s="1097">
        <v>0.99504561802255798</v>
      </c>
      <c r="E1508" s="1097">
        <v>1.0210219997937353</v>
      </c>
      <c r="F1508" s="1097">
        <v>1.010706693319696</v>
      </c>
      <c r="G1508" s="1097">
        <v>1.0056382619739737</v>
      </c>
      <c r="H1508" s="1097">
        <v>1.018675226947511</v>
      </c>
      <c r="I1508" s="1097">
        <v>0.96447950104379243</v>
      </c>
      <c r="K1508">
        <v>5.2067593925096229</v>
      </c>
      <c r="L1508">
        <v>0</v>
      </c>
      <c r="M1508">
        <v>3.489621170552259E-3</v>
      </c>
      <c r="N1508">
        <v>0.32219442051913494</v>
      </c>
      <c r="O1508">
        <v>0.14636803239112953</v>
      </c>
      <c r="P1508">
        <v>2.0742379511385599E-2</v>
      </c>
      <c r="Q1508">
        <v>1.3002946409378874E-3</v>
      </c>
      <c r="R1508">
        <v>3.4839969607105654E-3</v>
      </c>
      <c r="S1508">
        <v>0.44379894680498655</v>
      </c>
      <c r="T1508">
        <v>4.0354531724908353</v>
      </c>
      <c r="U1508">
        <v>0</v>
      </c>
      <c r="V1508">
        <v>1.1304767209823825E-2</v>
      </c>
      <c r="W1508">
        <v>0.18922924726276055</v>
      </c>
      <c r="X1508">
        <v>2.6527714486916334E-2</v>
      </c>
      <c r="Y1508">
        <v>9.8460414015530094E-3</v>
      </c>
    </row>
    <row r="1509" spans="1:25" x14ac:dyDescent="0.25">
      <c r="A1509" s="1093"/>
      <c r="B1509" s="1452">
        <v>1259</v>
      </c>
      <c r="C1509" s="1097">
        <v>1.0100301022123568</v>
      </c>
      <c r="D1509" s="1097">
        <v>0.99284965440514183</v>
      </c>
      <c r="E1509" s="1097">
        <v>1.0241095106070595</v>
      </c>
      <c r="F1509" s="1097">
        <v>0.99232899171687261</v>
      </c>
      <c r="G1509" s="1097">
        <v>0.99332745843116821</v>
      </c>
      <c r="H1509" s="1097">
        <v>0.9941234963883514</v>
      </c>
      <c r="I1509" s="1097">
        <v>1.0372227355002974</v>
      </c>
      <c r="K1509">
        <v>5.1455029948158861</v>
      </c>
      <c r="L1509">
        <v>0</v>
      </c>
      <c r="M1509">
        <v>3.3664769778539876E-3</v>
      </c>
      <c r="N1509">
        <v>0.3136542363407227</v>
      </c>
      <c r="O1509">
        <v>0.14554814676474256</v>
      </c>
      <c r="P1509">
        <v>2.0575450673105556E-2</v>
      </c>
      <c r="Q1509">
        <v>1.3211653531512754E-3</v>
      </c>
      <c r="R1509">
        <v>3.3608144474725414E-3</v>
      </c>
      <c r="S1509">
        <v>0.47136830159511151</v>
      </c>
      <c r="T1509">
        <v>3.9616958652900855</v>
      </c>
      <c r="U1509">
        <v>0</v>
      </c>
      <c r="V1509">
        <v>1.1304767209823817E-2</v>
      </c>
      <c r="W1509">
        <v>0.18383528102758767</v>
      </c>
      <c r="X1509">
        <v>2.670752487733043E-2</v>
      </c>
      <c r="Y1509">
        <v>9.4979182146023629E-3</v>
      </c>
    </row>
    <row r="1510" spans="1:25" x14ac:dyDescent="0.25">
      <c r="A1510" s="1093"/>
      <c r="B1510" s="1452">
        <v>1260</v>
      </c>
      <c r="C1510" s="1097">
        <v>1.0061457690570592</v>
      </c>
      <c r="D1510" s="1097">
        <v>1.0054115754535411</v>
      </c>
      <c r="E1510" s="1097">
        <v>0.98220136592645146</v>
      </c>
      <c r="F1510" s="1097">
        <v>1.0093841894627049</v>
      </c>
      <c r="G1510" s="1097">
        <v>0.99926795974958604</v>
      </c>
      <c r="H1510" s="1097">
        <v>1.0358906482436523</v>
      </c>
      <c r="I1510" s="1097">
        <v>0.96298850994596674</v>
      </c>
      <c r="K1510">
        <v>5.2177868042632491</v>
      </c>
      <c r="L1510">
        <v>0</v>
      </c>
      <c r="M1510">
        <v>3.8929076475506179E-3</v>
      </c>
      <c r="N1510">
        <v>0.32038795414020399</v>
      </c>
      <c r="O1510">
        <v>0.14904343041377499</v>
      </c>
      <c r="P1510">
        <v>2.018695989697112E-2</v>
      </c>
      <c r="Q1510">
        <v>1.2731475224231721E-3</v>
      </c>
      <c r="R1510">
        <v>3.886729662172855E-3</v>
      </c>
      <c r="S1510">
        <v>0.452083704538503</v>
      </c>
      <c r="T1510">
        <v>4.0350888142270271</v>
      </c>
      <c r="U1510">
        <v>0</v>
      </c>
      <c r="V1510">
        <v>1.1304767209823829E-2</v>
      </c>
      <c r="W1510">
        <v>0.19316542087521049</v>
      </c>
      <c r="X1510">
        <v>2.4274588661611082E-2</v>
      </c>
      <c r="Y1510">
        <v>1.0984194763072662E-2</v>
      </c>
    </row>
    <row r="1511" spans="1:25" x14ac:dyDescent="0.25">
      <c r="A1511" s="1093"/>
      <c r="B1511" s="1452">
        <v>1261</v>
      </c>
      <c r="C1511" s="1097">
        <v>1.0085912044157761</v>
      </c>
      <c r="D1511" s="1097">
        <v>0.97202243086674733</v>
      </c>
      <c r="E1511" s="1097">
        <v>1.0161485220792357</v>
      </c>
      <c r="F1511" s="1097">
        <v>0.96564308468426929</v>
      </c>
      <c r="G1511" s="1097">
        <v>1.0207391348083545</v>
      </c>
      <c r="H1511" s="1097">
        <v>0.96278096526960433</v>
      </c>
      <c r="I1511" s="1097">
        <v>1.0183353940174582</v>
      </c>
      <c r="K1511">
        <v>4.9873948069567131</v>
      </c>
      <c r="L1511">
        <v>0</v>
      </c>
      <c r="M1511">
        <v>3.2587369662870906E-3</v>
      </c>
      <c r="N1511">
        <v>0.29651810262803135</v>
      </c>
      <c r="O1511">
        <v>0.14325863702394095</v>
      </c>
      <c r="P1511">
        <v>1.9867734460349125E-2</v>
      </c>
      <c r="Q1511">
        <v>1.3253595682499284E-3</v>
      </c>
      <c r="R1511">
        <v>3.252921078436929E-3</v>
      </c>
      <c r="S1511">
        <v>0.44917755541082038</v>
      </c>
      <c r="T1511">
        <v>3.8561131759294618</v>
      </c>
      <c r="U1511">
        <v>0</v>
      </c>
      <c r="V1511">
        <v>1.1304767209823832E-2</v>
      </c>
      <c r="W1511">
        <v>0.17471656374108444</v>
      </c>
      <c r="X1511">
        <v>2.5925723556355647E-2</v>
      </c>
      <c r="Y1511">
        <v>9.1930033164386669E-3</v>
      </c>
    </row>
    <row r="1512" spans="1:25" x14ac:dyDescent="0.25">
      <c r="A1512" s="1093"/>
      <c r="B1512" s="1452">
        <v>1262</v>
      </c>
      <c r="C1512" s="1097">
        <v>1.0025994019243942</v>
      </c>
      <c r="D1512" s="1097">
        <v>1.0040924838876082</v>
      </c>
      <c r="E1512" s="1097">
        <v>1.0070644015414312</v>
      </c>
      <c r="F1512" s="1097">
        <v>0.9943347485553915</v>
      </c>
      <c r="G1512" s="1097">
        <v>1.0302891537365779</v>
      </c>
      <c r="H1512" s="1097">
        <v>0.99947233193011287</v>
      </c>
      <c r="I1512" s="1097">
        <v>1.041779663599524</v>
      </c>
      <c r="K1512">
        <v>5.1625195908553634</v>
      </c>
      <c r="L1512">
        <v>0</v>
      </c>
      <c r="M1512">
        <v>3.5258098886140196E-3</v>
      </c>
      <c r="N1512">
        <v>0.31234276745389156</v>
      </c>
      <c r="O1512">
        <v>0.14673284417313903</v>
      </c>
      <c r="P1512">
        <v>2.0394544703334905E-2</v>
      </c>
      <c r="Q1512">
        <v>1.3059488913792629E-3</v>
      </c>
      <c r="R1512">
        <v>3.5199229720824115E-3</v>
      </c>
      <c r="S1512">
        <v>0.4777305294503541</v>
      </c>
      <c r="T1512">
        <v>3.9718157871102808</v>
      </c>
      <c r="U1512">
        <v>0</v>
      </c>
      <c r="V1512">
        <v>1.1304767209823839E-2</v>
      </c>
      <c r="W1512">
        <v>0.18516542166878569</v>
      </c>
      <c r="X1512">
        <v>2.578529605838862E-2</v>
      </c>
      <c r="Y1512">
        <v>9.9475710525110603E-3</v>
      </c>
    </row>
    <row r="1513" spans="1:25" x14ac:dyDescent="0.25">
      <c r="A1513" s="1093"/>
      <c r="B1513" s="1452">
        <v>1263</v>
      </c>
      <c r="C1513" s="1097">
        <v>0.9938660683105216</v>
      </c>
      <c r="D1513" s="1097">
        <v>1.0285464312889356</v>
      </c>
      <c r="E1513" s="1097">
        <v>1.0219751931874299</v>
      </c>
      <c r="F1513" s="1097">
        <v>0.99150665480795663</v>
      </c>
      <c r="G1513" s="1097">
        <v>1.0226857494999884</v>
      </c>
      <c r="H1513" s="1097">
        <v>1.0417184017377947</v>
      </c>
      <c r="I1513" s="1097">
        <v>1.0056361293727261</v>
      </c>
      <c r="K1513">
        <v>5.1649683208625268</v>
      </c>
      <c r="L1513">
        <v>0</v>
      </c>
      <c r="M1513">
        <v>3.5477693895065001E-3</v>
      </c>
      <c r="N1513">
        <v>0.32848987423500881</v>
      </c>
      <c r="O1513">
        <v>0.14577786817679619</v>
      </c>
      <c r="P1513">
        <v>2.0522092926610905E-2</v>
      </c>
      <c r="Q1513">
        <v>1.3214313305536624E-3</v>
      </c>
      <c r="R1513">
        <v>3.5420698505646119E-3</v>
      </c>
      <c r="S1513">
        <v>0.46977968589691071</v>
      </c>
      <c r="T1513">
        <v>3.9586756362811015</v>
      </c>
      <c r="U1513">
        <v>0</v>
      </c>
      <c r="V1513">
        <v>1.1304767209823803E-2</v>
      </c>
      <c r="W1513">
        <v>0.19280419755952721</v>
      </c>
      <c r="X1513">
        <v>2.6288306963203306E-2</v>
      </c>
      <c r="Y1513">
        <v>1.0010159821935947E-2</v>
      </c>
    </row>
    <row r="1514" spans="1:25" x14ac:dyDescent="0.25">
      <c r="A1514" s="1093"/>
      <c r="B1514" s="1452">
        <v>1264</v>
      </c>
      <c r="C1514" s="1097">
        <v>1.0298315812376557</v>
      </c>
      <c r="D1514" s="1097">
        <v>1.0117020352409434</v>
      </c>
      <c r="E1514" s="1097">
        <v>1.0035246938360298</v>
      </c>
      <c r="F1514" s="1097">
        <v>1.0028039004344145</v>
      </c>
      <c r="G1514" s="1097">
        <v>1.0036919968272358</v>
      </c>
      <c r="H1514" s="1097">
        <v>1.0021622235348739</v>
      </c>
      <c r="I1514" s="1097">
        <v>0.9837519349573377</v>
      </c>
      <c r="K1514">
        <v>5.1471458368838192</v>
      </c>
      <c r="L1514">
        <v>0</v>
      </c>
      <c r="M1514">
        <v>3.4865278040376113E-3</v>
      </c>
      <c r="N1514">
        <v>0.30564735917389119</v>
      </c>
      <c r="O1514">
        <v>0.14373054679165373</v>
      </c>
      <c r="P1514">
        <v>2.0335051467098384E-2</v>
      </c>
      <c r="Q1514">
        <v>1.263754715258518E-3</v>
      </c>
      <c r="R1514">
        <v>3.4807710511044823E-3</v>
      </c>
      <c r="S1514">
        <v>0.44215360460856168</v>
      </c>
      <c r="T1514">
        <v>4.0060899073365475</v>
      </c>
      <c r="U1514">
        <v>0</v>
      </c>
      <c r="V1514">
        <v>1.1304767209823813E-2</v>
      </c>
      <c r="W1514">
        <v>0.1816286538511408</v>
      </c>
      <c r="X1514">
        <v>2.5161023748057926E-2</v>
      </c>
      <c r="Y1514">
        <v>9.8369247347196726E-3</v>
      </c>
    </row>
    <row r="1515" spans="1:25" x14ac:dyDescent="0.25">
      <c r="A1515" s="1093"/>
      <c r="B1515" s="1452">
        <v>1265</v>
      </c>
      <c r="C1515" s="1097">
        <v>0.95352096835510769</v>
      </c>
      <c r="D1515" s="1097">
        <v>1.0306173507916128</v>
      </c>
      <c r="E1515" s="1097">
        <v>1.0203135187281782</v>
      </c>
      <c r="F1515" s="1097">
        <v>0.98160576609226469</v>
      </c>
      <c r="G1515" s="1097">
        <v>1.0304640352561623</v>
      </c>
      <c r="H1515" s="1097">
        <v>0.99783401132660965</v>
      </c>
      <c r="I1515" s="1097">
        <v>1.0119858257403322</v>
      </c>
      <c r="K1515">
        <v>5.1339437363780398</v>
      </c>
      <c r="L1515">
        <v>0</v>
      </c>
      <c r="M1515">
        <v>3.5162926002205385E-3</v>
      </c>
      <c r="N1515">
        <v>0.32395048401738963</v>
      </c>
      <c r="O1515">
        <v>0.15035476641707954</v>
      </c>
      <c r="P1515">
        <v>2.0362560677426825E-2</v>
      </c>
      <c r="Q1515">
        <v>1.3743032151559984E-3</v>
      </c>
      <c r="R1515">
        <v>3.5103358061761179E-3</v>
      </c>
      <c r="S1515">
        <v>0.47994870799273048</v>
      </c>
      <c r="T1515">
        <v>3.9193482332241545</v>
      </c>
      <c r="U1515">
        <v>0</v>
      </c>
      <c r="V1515">
        <v>1.1304767209823808E-2</v>
      </c>
      <c r="W1515">
        <v>0.19035046864463046</v>
      </c>
      <c r="X1515">
        <v>2.7034924783979595E-2</v>
      </c>
      <c r="Y1515">
        <v>9.9204769897143844E-3</v>
      </c>
    </row>
    <row r="1516" spans="1:25" x14ac:dyDescent="0.25">
      <c r="A1516" s="1093"/>
      <c r="B1516" s="1452">
        <v>1266</v>
      </c>
      <c r="C1516" s="1097">
        <v>1.0349731429979596</v>
      </c>
      <c r="D1516" s="1097">
        <v>0.99136917678169567</v>
      </c>
      <c r="E1516" s="1097">
        <v>0.98472461510295628</v>
      </c>
      <c r="F1516" s="1097">
        <v>0.97969355393401347</v>
      </c>
      <c r="G1516" s="1097">
        <v>0.99681761287984372</v>
      </c>
      <c r="H1516" s="1097">
        <v>0.98078038231354292</v>
      </c>
      <c r="I1516" s="1097">
        <v>0.9987927395272943</v>
      </c>
      <c r="K1516">
        <v>5.0212438318674968</v>
      </c>
      <c r="L1516">
        <v>0</v>
      </c>
      <c r="M1516">
        <v>3.4790508815603902E-3</v>
      </c>
      <c r="N1516">
        <v>0.2884382832976487</v>
      </c>
      <c r="O1516">
        <v>0.14135688537634272</v>
      </c>
      <c r="P1516">
        <v>1.9618217709247487E-2</v>
      </c>
      <c r="Q1516">
        <v>1.2473922937945691E-3</v>
      </c>
      <c r="R1516">
        <v>3.4730430145839541E-3</v>
      </c>
      <c r="S1516">
        <v>0.43600858226559053</v>
      </c>
      <c r="T1516">
        <v>3.9160855013224887</v>
      </c>
      <c r="U1516">
        <v>0</v>
      </c>
      <c r="V1516">
        <v>1.1304767209823818E-2</v>
      </c>
      <c r="W1516">
        <v>0.17360294460781367</v>
      </c>
      <c r="X1516">
        <v>2.3772180938215787E-2</v>
      </c>
      <c r="Y1516">
        <v>9.815084713504979E-3</v>
      </c>
    </row>
    <row r="1517" spans="1:25" x14ac:dyDescent="0.25">
      <c r="A1517" s="1093"/>
      <c r="B1517" s="1452">
        <v>1267</v>
      </c>
      <c r="C1517" s="1097">
        <v>0.98271965726796506</v>
      </c>
      <c r="D1517" s="1097">
        <v>0.99265646248014172</v>
      </c>
      <c r="E1517" s="1097">
        <v>1.0068155108433572</v>
      </c>
      <c r="F1517" s="1097">
        <v>0.99441943892485807</v>
      </c>
      <c r="G1517" s="1097">
        <v>0.97736702769837791</v>
      </c>
      <c r="H1517" s="1097">
        <v>0.9808475366364392</v>
      </c>
      <c r="I1517" s="1097">
        <v>1.0384786912162638</v>
      </c>
      <c r="K1517">
        <v>5.1757040346306082</v>
      </c>
      <c r="L1517">
        <v>0</v>
      </c>
      <c r="M1517">
        <v>3.5484780236843439E-3</v>
      </c>
      <c r="N1517">
        <v>0.31410933650800177</v>
      </c>
      <c r="O1517">
        <v>0.15040848033693663</v>
      </c>
      <c r="P1517">
        <v>2.0417963633274985E-2</v>
      </c>
      <c r="Q1517">
        <v>1.3382019104378393E-3</v>
      </c>
      <c r="R1517">
        <v>3.5424412700775488E-3</v>
      </c>
      <c r="S1517">
        <v>0.48330569747056584</v>
      </c>
      <c r="T1517">
        <v>3.9721850511904018</v>
      </c>
      <c r="U1517">
        <v>0</v>
      </c>
      <c r="V1517">
        <v>1.1304767209823813E-2</v>
      </c>
      <c r="W1517">
        <v>0.18624387266731315</v>
      </c>
      <c r="X1517">
        <v>2.6385490975625106E-2</v>
      </c>
      <c r="Y1517">
        <v>1.0011209481836045E-2</v>
      </c>
    </row>
    <row r="1518" spans="1:25" x14ac:dyDescent="0.25">
      <c r="A1518" s="1093"/>
      <c r="B1518" s="1452">
        <v>1268</v>
      </c>
      <c r="C1518" s="1097">
        <v>0.9721409406763738</v>
      </c>
      <c r="D1518" s="1097">
        <v>1.0161396274186258</v>
      </c>
      <c r="E1518" s="1097">
        <v>0.97747169173624671</v>
      </c>
      <c r="F1518" s="1097">
        <v>0.98436663097963817</v>
      </c>
      <c r="G1518" s="1097">
        <v>0.9850420274122752</v>
      </c>
      <c r="H1518" s="1097">
        <v>0.97122277031135507</v>
      </c>
      <c r="I1518" s="1097">
        <v>1.0035357094660076</v>
      </c>
      <c r="K1518">
        <v>5.0995557131721929</v>
      </c>
      <c r="L1518">
        <v>0</v>
      </c>
      <c r="M1518">
        <v>3.7050792533505116E-3</v>
      </c>
      <c r="N1518">
        <v>0.30063510361189349</v>
      </c>
      <c r="O1518">
        <v>0.14992868801808645</v>
      </c>
      <c r="P1518">
        <v>1.9724172641101677E-2</v>
      </c>
      <c r="Q1518">
        <v>1.3067226398680515E-3</v>
      </c>
      <c r="R1518">
        <v>3.6986487228303231E-3</v>
      </c>
      <c r="S1518">
        <v>0.46418110845806043</v>
      </c>
      <c r="T1518">
        <v>3.9356693191982224</v>
      </c>
      <c r="U1518">
        <v>0</v>
      </c>
      <c r="V1518">
        <v>1.1304767209823825E-2</v>
      </c>
      <c r="W1518">
        <v>0.18184458050680855</v>
      </c>
      <c r="X1518">
        <v>2.4515017749652462E-2</v>
      </c>
      <c r="Y1518">
        <v>1.0452663669190234E-2</v>
      </c>
    </row>
    <row r="1519" spans="1:25" x14ac:dyDescent="0.25">
      <c r="A1519" s="1093"/>
      <c r="B1519" s="1452">
        <v>1269</v>
      </c>
      <c r="C1519" s="1097">
        <v>1.0130059203382997</v>
      </c>
      <c r="D1519" s="1097">
        <v>1.0133664203503743</v>
      </c>
      <c r="E1519" s="1097">
        <v>1.0073630722090805</v>
      </c>
      <c r="F1519" s="1097">
        <v>1.0121734273463869</v>
      </c>
      <c r="G1519" s="1097">
        <v>1.0175105638997077</v>
      </c>
      <c r="H1519" s="1097">
        <v>0.98745959418699947</v>
      </c>
      <c r="I1519" s="1097">
        <v>1.0097176280210776</v>
      </c>
      <c r="K1519">
        <v>5.2149888851157638</v>
      </c>
      <c r="L1519">
        <v>0</v>
      </c>
      <c r="M1519">
        <v>3.4943134925645939E-3</v>
      </c>
      <c r="N1519">
        <v>0.30982941768535527</v>
      </c>
      <c r="O1519">
        <v>0.14727994868397834</v>
      </c>
      <c r="P1519">
        <v>2.0653073231869226E-2</v>
      </c>
      <c r="Q1519">
        <v>1.28811660641816E-3</v>
      </c>
      <c r="R1519">
        <v>3.4885120933395727E-3</v>
      </c>
      <c r="S1519">
        <v>0.46206786212960244</v>
      </c>
      <c r="T1519">
        <v>4.0430335876525376</v>
      </c>
      <c r="U1519">
        <v>0</v>
      </c>
      <c r="V1519">
        <v>1.1304767209823822E-2</v>
      </c>
      <c r="W1519">
        <v>0.18363854564663354</v>
      </c>
      <c r="X1519">
        <v>2.6040566157692239E-2</v>
      </c>
      <c r="Y1519">
        <v>9.8588015110766553E-3</v>
      </c>
    </row>
    <row r="1520" spans="1:25" x14ac:dyDescent="0.25">
      <c r="A1520" s="1093"/>
      <c r="B1520" s="1452">
        <v>1270</v>
      </c>
      <c r="C1520" s="1097">
        <v>1.0141180670439371</v>
      </c>
      <c r="D1520" s="1097">
        <v>0.96316159400106904</v>
      </c>
      <c r="E1520" s="1097">
        <v>0.99227609116232007</v>
      </c>
      <c r="F1520" s="1097">
        <v>1.0183688652501033</v>
      </c>
      <c r="G1520" s="1097">
        <v>0.97997824407916811</v>
      </c>
      <c r="H1520" s="1097">
        <v>0.96610456316475357</v>
      </c>
      <c r="I1520" s="1097">
        <v>0.97966523051229648</v>
      </c>
      <c r="K1520">
        <v>5.2316032645430077</v>
      </c>
      <c r="L1520">
        <v>0</v>
      </c>
      <c r="M1520">
        <v>3.6196033297488947E-3</v>
      </c>
      <c r="N1520">
        <v>0.3068994557263463</v>
      </c>
      <c r="O1520">
        <v>0.15148624628228169</v>
      </c>
      <c r="P1520">
        <v>2.0490866906707081E-2</v>
      </c>
      <c r="Q1520">
        <v>1.2962521149217821E-3</v>
      </c>
      <c r="R1520">
        <v>3.6134983923227547E-3</v>
      </c>
      <c r="S1520">
        <v>0.45062242084115772</v>
      </c>
      <c r="T1520">
        <v>4.069709865428047</v>
      </c>
      <c r="U1520">
        <v>0</v>
      </c>
      <c r="V1520">
        <v>1.130476720982382E-2</v>
      </c>
      <c r="W1520">
        <v>0.18376649790844968</v>
      </c>
      <c r="X1520">
        <v>2.5820974728439076E-2</v>
      </c>
      <c r="Y1520">
        <v>1.0212022334255643E-2</v>
      </c>
    </row>
    <row r="1521" spans="1:25" x14ac:dyDescent="0.25">
      <c r="A1521" s="1093"/>
      <c r="B1521" s="1452">
        <v>1271</v>
      </c>
      <c r="C1521" s="1097">
        <v>1.0233908419319393</v>
      </c>
      <c r="D1521" s="1097">
        <v>1.0174405851279245</v>
      </c>
      <c r="E1521" s="1097">
        <v>1.0047108867402943</v>
      </c>
      <c r="F1521" s="1097">
        <v>0.97416330567319032</v>
      </c>
      <c r="G1521" s="1097">
        <v>0.98507947324884326</v>
      </c>
      <c r="H1521" s="1097">
        <v>1.0119053729415994</v>
      </c>
      <c r="I1521" s="1097">
        <v>0.98730131929896914</v>
      </c>
      <c r="K1521">
        <v>5.0155490229331399</v>
      </c>
      <c r="L1521">
        <v>0</v>
      </c>
      <c r="M1521">
        <v>3.4252195773699728E-3</v>
      </c>
      <c r="N1521">
        <v>0.30131995619921703</v>
      </c>
      <c r="O1521">
        <v>0.14015552494558731</v>
      </c>
      <c r="P1521">
        <v>1.9806870008694463E-2</v>
      </c>
      <c r="Q1521">
        <v>1.2701214365670929E-3</v>
      </c>
      <c r="R1521">
        <v>3.4194541152639279E-3</v>
      </c>
      <c r="S1521">
        <v>0.43705422773380559</v>
      </c>
      <c r="T1521">
        <v>3.8915291197515374</v>
      </c>
      <c r="U1521">
        <v>0</v>
      </c>
      <c r="V1521">
        <v>1.1304767209823806E-2</v>
      </c>
      <c r="W1521">
        <v>0.17891403138985948</v>
      </c>
      <c r="X1521">
        <v>2.4536531327446796E-2</v>
      </c>
      <c r="Y1521">
        <v>9.6636383927076672E-3</v>
      </c>
    </row>
    <row r="1522" spans="1:25" x14ac:dyDescent="0.25">
      <c r="A1522" s="1093"/>
      <c r="B1522" s="1452">
        <v>1272</v>
      </c>
      <c r="C1522" s="1097">
        <v>0.97836512537482168</v>
      </c>
      <c r="D1522" s="1097">
        <v>0.9955990259897487</v>
      </c>
      <c r="E1522" s="1097">
        <v>0.95649992552244922</v>
      </c>
      <c r="F1522" s="1097">
        <v>0.96112204427825565</v>
      </c>
      <c r="G1522" s="1097">
        <v>1.0214198884062875</v>
      </c>
      <c r="H1522" s="1097">
        <v>1.0044198124027059</v>
      </c>
      <c r="I1522" s="1097">
        <v>1.0143056980474758</v>
      </c>
      <c r="K1522">
        <v>5.0045866907626992</v>
      </c>
      <c r="L1522">
        <v>0</v>
      </c>
      <c r="M1522">
        <v>3.9164230653562487E-3</v>
      </c>
      <c r="N1522">
        <v>0.29859774009575557</v>
      </c>
      <c r="O1522">
        <v>0.14722395483763759</v>
      </c>
      <c r="P1522">
        <v>1.9015072384421228E-2</v>
      </c>
      <c r="Q1522">
        <v>1.2852485998393985E-3</v>
      </c>
      <c r="R1522">
        <v>3.9096917005678241E-3</v>
      </c>
      <c r="S1522">
        <v>0.46503347984778176</v>
      </c>
      <c r="T1522">
        <v>3.8453031778966378</v>
      </c>
      <c r="U1522">
        <v>0</v>
      </c>
      <c r="V1522">
        <v>1.1304767209823834E-2</v>
      </c>
      <c r="W1522">
        <v>0.18324962792177979</v>
      </c>
      <c r="X1522">
        <v>2.2531266097157478E-2</v>
      </c>
      <c r="Y1522">
        <v>1.1049087236645549E-2</v>
      </c>
    </row>
    <row r="1523" spans="1:25" x14ac:dyDescent="0.25">
      <c r="A1523" s="1093"/>
      <c r="B1523" s="1452">
        <v>1273</v>
      </c>
      <c r="C1523" s="1097">
        <v>0.98881586941687771</v>
      </c>
      <c r="D1523" s="1097">
        <v>1.0220520333394656</v>
      </c>
      <c r="E1523" s="1097">
        <v>0.98989226320103096</v>
      </c>
      <c r="F1523" s="1097">
        <v>1.0087019909332957</v>
      </c>
      <c r="G1523" s="1097">
        <v>0.99134186055015316</v>
      </c>
      <c r="H1523" s="1097">
        <v>1.0029653263931788</v>
      </c>
      <c r="I1523" s="1097">
        <v>1.0302518382503103</v>
      </c>
      <c r="K1523">
        <v>5.2390192674091685</v>
      </c>
      <c r="L1523">
        <v>0</v>
      </c>
      <c r="M1523">
        <v>3.746520166086769E-3</v>
      </c>
      <c r="N1523">
        <v>0.31543790794093668</v>
      </c>
      <c r="O1523">
        <v>0.15034478056088602</v>
      </c>
      <c r="P1523">
        <v>2.0431188013069115E-2</v>
      </c>
      <c r="Q1523">
        <v>1.2955694764172371E-3</v>
      </c>
      <c r="R1523">
        <v>3.7403751647767285E-3</v>
      </c>
      <c r="S1523">
        <v>0.48384412345595978</v>
      </c>
      <c r="T1523">
        <v>4.0313812786720895</v>
      </c>
      <c r="U1523">
        <v>0</v>
      </c>
      <c r="V1523">
        <v>1.130476720982383E-2</v>
      </c>
      <c r="W1523">
        <v>0.18918559990548461</v>
      </c>
      <c r="X1523">
        <v>2.5229611396009644E-2</v>
      </c>
      <c r="Y1523">
        <v>1.0570585779793917E-2</v>
      </c>
    </row>
    <row r="1524" spans="1:25" x14ac:dyDescent="0.25">
      <c r="A1524" s="1093"/>
      <c r="B1524" s="1452">
        <v>1274</v>
      </c>
      <c r="C1524" s="1097">
        <v>0.99019336350044251</v>
      </c>
      <c r="D1524" s="1097">
        <v>1.0006078424481182</v>
      </c>
      <c r="E1524" s="1097">
        <v>1.0025478441610174</v>
      </c>
      <c r="F1524" s="1097">
        <v>1.0281665793347905</v>
      </c>
      <c r="G1524" s="1097">
        <v>1.0003636043435313</v>
      </c>
      <c r="H1524" s="1097">
        <v>0.98725868781315362</v>
      </c>
      <c r="I1524" s="1097">
        <v>0.983591054741209</v>
      </c>
      <c r="K1524">
        <v>5.313627401546567</v>
      </c>
      <c r="L1524">
        <v>0</v>
      </c>
      <c r="M1524">
        <v>3.6861358233003954E-3</v>
      </c>
      <c r="N1524">
        <v>0.32221758338895073</v>
      </c>
      <c r="O1524">
        <v>0.1539706195383185</v>
      </c>
      <c r="P1524">
        <v>2.0898919632782974E-2</v>
      </c>
      <c r="Q1524">
        <v>1.3190509971371168E-3</v>
      </c>
      <c r="R1524">
        <v>3.680109767977194E-3</v>
      </c>
      <c r="S1524">
        <v>0.46769088322851932</v>
      </c>
      <c r="T1524">
        <v>4.107536905834607</v>
      </c>
      <c r="U1524">
        <v>0</v>
      </c>
      <c r="V1524">
        <v>1.130476720982381E-2</v>
      </c>
      <c r="W1524">
        <v>0.1916015842965281</v>
      </c>
      <c r="X1524">
        <v>2.669284230783258E-2</v>
      </c>
      <c r="Y1524">
        <v>1.0400271167393045E-2</v>
      </c>
    </row>
    <row r="1525" spans="1:25" x14ac:dyDescent="0.25">
      <c r="A1525" s="1093"/>
      <c r="B1525" s="1452">
        <v>1275</v>
      </c>
      <c r="C1525" s="1097">
        <v>1.0287109343663694</v>
      </c>
      <c r="D1525" s="1097">
        <v>1.0321339643629348</v>
      </c>
      <c r="E1525" s="1097">
        <v>0.96002292404065115</v>
      </c>
      <c r="F1525" s="1097">
        <v>1.0402231608745627</v>
      </c>
      <c r="G1525" s="1097">
        <v>1.0297843397526019</v>
      </c>
      <c r="H1525" s="1097">
        <v>0.9862496071815765</v>
      </c>
      <c r="I1525" s="1097">
        <v>1.0339524462306871</v>
      </c>
      <c r="K1525">
        <v>5.3340805213832452</v>
      </c>
      <c r="L1525">
        <v>0</v>
      </c>
      <c r="M1525">
        <v>3.8725618956806408E-3</v>
      </c>
      <c r="N1525">
        <v>0.29839172130862279</v>
      </c>
      <c r="O1525">
        <v>0.14927567557217519</v>
      </c>
      <c r="P1525">
        <v>2.0504694176183301E-2</v>
      </c>
      <c r="Q1525">
        <v>1.2085950716902321E-3</v>
      </c>
      <c r="R1525">
        <v>3.8662979301743563E-3</v>
      </c>
      <c r="S1525">
        <v>0.47489537368946261</v>
      </c>
      <c r="T1525">
        <v>4.1613056380475175</v>
      </c>
      <c r="U1525">
        <v>0</v>
      </c>
      <c r="V1525">
        <v>1.1304767209823829E-2</v>
      </c>
      <c r="W1525">
        <v>0.18267511673226497</v>
      </c>
      <c r="X1525">
        <v>2.3598750412449888E-2</v>
      </c>
      <c r="Y1525">
        <v>1.092645312855596E-2</v>
      </c>
    </row>
    <row r="1526" spans="1:25" x14ac:dyDescent="0.25">
      <c r="A1526" s="1093"/>
      <c r="B1526" s="1452">
        <v>1276</v>
      </c>
      <c r="C1526" s="1097">
        <v>1.0171552205448728</v>
      </c>
      <c r="D1526" s="1097">
        <v>0.95964265321977793</v>
      </c>
      <c r="E1526" s="1097">
        <v>1.0006133631371084</v>
      </c>
      <c r="F1526" s="1097">
        <v>1.010610019307475</v>
      </c>
      <c r="G1526" s="1097">
        <v>0.99797725403676452</v>
      </c>
      <c r="H1526" s="1097">
        <v>1.0058211075297652</v>
      </c>
      <c r="I1526" s="1097">
        <v>1.010355624024023</v>
      </c>
      <c r="K1526">
        <v>5.233930990283473</v>
      </c>
      <c r="L1526">
        <v>0</v>
      </c>
      <c r="M1526">
        <v>3.6690837812260466E-3</v>
      </c>
      <c r="N1526">
        <v>0.31889488498542062</v>
      </c>
      <c r="O1526">
        <v>0.14986842337034095</v>
      </c>
      <c r="P1526">
        <v>2.0553756048616312E-2</v>
      </c>
      <c r="Q1526">
        <v>1.3035773670917441E-3</v>
      </c>
      <c r="R1526">
        <v>3.6630941879127439E-3</v>
      </c>
      <c r="S1526">
        <v>0.4683325537832671</v>
      </c>
      <c r="T1526">
        <v>4.0376435278101264</v>
      </c>
      <c r="U1526">
        <v>0</v>
      </c>
      <c r="V1526">
        <v>1.1304767209823811E-2</v>
      </c>
      <c r="W1526">
        <v>0.18987361968119562</v>
      </c>
      <c r="X1526">
        <v>2.5809685781849393E-2</v>
      </c>
      <c r="Y1526">
        <v>1.0352183839052823E-2</v>
      </c>
    </row>
    <row r="1527" spans="1:25" x14ac:dyDescent="0.25">
      <c r="A1527" s="1093"/>
      <c r="B1527" s="1452">
        <v>1277</v>
      </c>
      <c r="C1527" s="1097">
        <v>0.9754835927303015</v>
      </c>
      <c r="D1527" s="1097">
        <v>0.96852267313491458</v>
      </c>
      <c r="E1527" s="1097">
        <v>1.0043071917000721</v>
      </c>
      <c r="F1527" s="1097">
        <v>0.96842498135071287</v>
      </c>
      <c r="G1527" s="1097">
        <v>0.99354318609377601</v>
      </c>
      <c r="H1527" s="1097">
        <v>0.95468412935227787</v>
      </c>
      <c r="I1527" s="1097">
        <v>0.9698369963724498</v>
      </c>
      <c r="K1527">
        <v>5.0098383797609687</v>
      </c>
      <c r="L1527">
        <v>0</v>
      </c>
      <c r="M1527">
        <v>3.4403098307394238E-3</v>
      </c>
      <c r="N1527">
        <v>0.30225204684060492</v>
      </c>
      <c r="O1527">
        <v>0.14909346906982426</v>
      </c>
      <c r="P1527">
        <v>1.9720059170565032E-2</v>
      </c>
      <c r="Q1527">
        <v>1.3585533029801893E-3</v>
      </c>
      <c r="R1527">
        <v>3.4341355715113058E-3</v>
      </c>
      <c r="S1527">
        <v>0.44220039098038283</v>
      </c>
      <c r="T1527">
        <v>3.8686549866244606</v>
      </c>
      <c r="U1527">
        <v>0</v>
      </c>
      <c r="V1527">
        <v>1.1304767209823817E-2</v>
      </c>
      <c r="W1527">
        <v>0.17951630094182697</v>
      </c>
      <c r="X1527">
        <v>2.6038850570786854E-2</v>
      </c>
      <c r="Y1527">
        <v>9.705129308938916E-3</v>
      </c>
    </row>
    <row r="1528" spans="1:25" x14ac:dyDescent="0.25">
      <c r="A1528" s="1093"/>
      <c r="B1528" s="1452">
        <v>1278</v>
      </c>
      <c r="C1528" s="1097">
        <v>1.0085906031993179</v>
      </c>
      <c r="D1528" s="1097">
        <v>1.0052166130366769</v>
      </c>
      <c r="E1528" s="1097">
        <v>1.0429009515375167</v>
      </c>
      <c r="F1528" s="1097">
        <v>0.99661482621022268</v>
      </c>
      <c r="G1528" s="1097">
        <v>1.0142700461356808</v>
      </c>
      <c r="H1528" s="1097">
        <v>0.97708578076709307</v>
      </c>
      <c r="I1528" s="1097">
        <v>1.0343899301359343</v>
      </c>
      <c r="K1528">
        <v>5.155006961388044</v>
      </c>
      <c r="L1528">
        <v>0</v>
      </c>
      <c r="M1528">
        <v>3.1822317239824003E-3</v>
      </c>
      <c r="N1528">
        <v>0.3134142097083164</v>
      </c>
      <c r="O1528">
        <v>0.14514642244249643</v>
      </c>
      <c r="P1528">
        <v>2.0911055486954672E-2</v>
      </c>
      <c r="Q1528">
        <v>1.3374371083037047E-3</v>
      </c>
      <c r="R1528">
        <v>3.1768091460566712E-3</v>
      </c>
      <c r="S1528">
        <v>0.4680477675958738</v>
      </c>
      <c r="T1528">
        <v>3.9764922061894752</v>
      </c>
      <c r="U1528">
        <v>0</v>
      </c>
      <c r="V1528">
        <v>1.1304767209823808E-2</v>
      </c>
      <c r="W1528">
        <v>0.18142786110751816</v>
      </c>
      <c r="X1528">
        <v>2.7952751932546496E-2</v>
      </c>
      <c r="Y1528">
        <v>8.9779051846609129E-3</v>
      </c>
    </row>
    <row r="1529" spans="1:25" x14ac:dyDescent="0.25">
      <c r="A1529" s="1093"/>
      <c r="B1529" s="1452">
        <v>1279</v>
      </c>
      <c r="C1529" s="1097">
        <v>0.99605132720574541</v>
      </c>
      <c r="D1529" s="1097">
        <v>1.015129177906662</v>
      </c>
      <c r="E1529" s="1097">
        <v>0.99762969335958296</v>
      </c>
      <c r="F1529" s="1097">
        <v>0.97545329753129706</v>
      </c>
      <c r="G1529" s="1097">
        <v>1.0012457622132525</v>
      </c>
      <c r="H1529" s="1097">
        <v>1.0381744335782872</v>
      </c>
      <c r="I1529" s="1097">
        <v>1.0286534987480331</v>
      </c>
      <c r="K1529">
        <v>5.0881679357845311</v>
      </c>
      <c r="L1529">
        <v>0</v>
      </c>
      <c r="M1529">
        <v>3.6730350988932133E-3</v>
      </c>
      <c r="N1529">
        <v>0.31642642705221846</v>
      </c>
      <c r="O1529">
        <v>0.14451630348589806</v>
      </c>
      <c r="P1529">
        <v>1.9895592956864216E-2</v>
      </c>
      <c r="Q1529">
        <v>1.2982743106211803E-3</v>
      </c>
      <c r="R1529">
        <v>3.6670168988575829E-3</v>
      </c>
      <c r="S1529">
        <v>0.47351589481449141</v>
      </c>
      <c r="T1529">
        <v>3.8975490655282994</v>
      </c>
      <c r="U1529">
        <v>0</v>
      </c>
      <c r="V1529">
        <v>1.1304767209823822E-2</v>
      </c>
      <c r="W1529">
        <v>0.18878441488848297</v>
      </c>
      <c r="X1529">
        <v>2.4519944018197272E-2</v>
      </c>
      <c r="Y1529">
        <v>1.036326971966775E-2</v>
      </c>
    </row>
    <row r="1530" spans="1:25" x14ac:dyDescent="0.25">
      <c r="A1530" s="1093"/>
      <c r="B1530" s="1452">
        <v>1280</v>
      </c>
      <c r="C1530" s="1097">
        <v>0.99622480325752849</v>
      </c>
      <c r="D1530" s="1097">
        <v>1.0376505184252043</v>
      </c>
      <c r="E1530" s="1097">
        <v>1.0018437892725516</v>
      </c>
      <c r="F1530" s="1097">
        <v>1.0288115494377796</v>
      </c>
      <c r="G1530" s="1097">
        <v>1.0052844673944792</v>
      </c>
      <c r="H1530" s="1097">
        <v>0.98284694777927184</v>
      </c>
      <c r="I1530" s="1097">
        <v>1.0183730828592636</v>
      </c>
      <c r="K1530">
        <v>5.3097242564136886</v>
      </c>
      <c r="L1530">
        <v>0</v>
      </c>
      <c r="M1530">
        <v>3.6023847352068773E-3</v>
      </c>
      <c r="N1530">
        <v>0.31423852075080633</v>
      </c>
      <c r="O1530">
        <v>0.15094382998715875</v>
      </c>
      <c r="P1530">
        <v>2.0944235150987107E-2</v>
      </c>
      <c r="Q1530">
        <v>1.2913610391612341E-3</v>
      </c>
      <c r="R1530">
        <v>3.5964728630117084E-3</v>
      </c>
      <c r="S1530">
        <v>0.47737436609022127</v>
      </c>
      <c r="T1530">
        <v>4.1102044176287711</v>
      </c>
      <c r="U1530">
        <v>0</v>
      </c>
      <c r="V1530">
        <v>1.130476720982382E-2</v>
      </c>
      <c r="W1530">
        <v>0.18694576614939143</v>
      </c>
      <c r="X1530">
        <v>2.6318997390977091E-2</v>
      </c>
      <c r="Y1530">
        <v>1.0163906888584954E-2</v>
      </c>
    </row>
    <row r="1531" spans="1:25" x14ac:dyDescent="0.25">
      <c r="A1531" s="1093"/>
      <c r="B1531" s="1452">
        <v>1281</v>
      </c>
      <c r="C1531" s="1097">
        <v>1.010270403897261</v>
      </c>
      <c r="D1531" s="1097">
        <v>1.0064882471239829</v>
      </c>
      <c r="E1531" s="1097">
        <v>0.99778158338748446</v>
      </c>
      <c r="F1531" s="1097">
        <v>0.9591966785046564</v>
      </c>
      <c r="G1531" s="1097">
        <v>0.98608518064969797</v>
      </c>
      <c r="H1531" s="1097">
        <v>0.9977115365378294</v>
      </c>
      <c r="I1531" s="1097">
        <v>1.0184242173855196</v>
      </c>
      <c r="K1531">
        <v>4.9606914296736973</v>
      </c>
      <c r="L1531">
        <v>0</v>
      </c>
      <c r="M1531">
        <v>3.4329202060447302E-3</v>
      </c>
      <c r="N1531">
        <v>0.29584579913191517</v>
      </c>
      <c r="O1531">
        <v>0.14058364229965445</v>
      </c>
      <c r="P1531">
        <v>1.9492535238741424E-2</v>
      </c>
      <c r="Q1531">
        <v>1.2845535378410338E-3</v>
      </c>
      <c r="R1531">
        <v>3.4269682888602485E-3</v>
      </c>
      <c r="S1531">
        <v>0.44922636759568846</v>
      </c>
      <c r="T1531">
        <v>3.8325753422184574</v>
      </c>
      <c r="U1531">
        <v>0</v>
      </c>
      <c r="V1531">
        <v>1.1304767209823829E-2</v>
      </c>
      <c r="W1531">
        <v>0.1764875784095559</v>
      </c>
      <c r="X1531">
        <v>2.4211921928229914E-2</v>
      </c>
      <c r="Y1531">
        <v>9.6848740209708843E-3</v>
      </c>
    </row>
    <row r="1532" spans="1:25" x14ac:dyDescent="0.25">
      <c r="A1532" s="1093"/>
      <c r="B1532" s="1452">
        <v>1282</v>
      </c>
      <c r="C1532" s="1097">
        <v>1.0270725940544738</v>
      </c>
      <c r="D1532" s="1097">
        <v>0.9947801938625277</v>
      </c>
      <c r="E1532" s="1097">
        <v>1.005371575729441</v>
      </c>
      <c r="F1532" s="1097">
        <v>1.0005344339455238</v>
      </c>
      <c r="G1532" s="1097">
        <v>0.98119401141233986</v>
      </c>
      <c r="H1532" s="1097">
        <v>0.98365570876771335</v>
      </c>
      <c r="I1532" s="1097">
        <v>0.97270598458156277</v>
      </c>
      <c r="K1532">
        <v>5.1274945005596795</v>
      </c>
      <c r="L1532">
        <v>0</v>
      </c>
      <c r="M1532">
        <v>3.4333717712309963E-3</v>
      </c>
      <c r="N1532">
        <v>0.3026278957364712</v>
      </c>
      <c r="O1532">
        <v>0.14471374201654577</v>
      </c>
      <c r="P1532">
        <v>2.0290976538625827E-2</v>
      </c>
      <c r="Q1532">
        <v>1.2777430463632793E-3</v>
      </c>
      <c r="R1532">
        <v>3.4275830511940174E-3</v>
      </c>
      <c r="S1532">
        <v>0.43568824615008861</v>
      </c>
      <c r="T1532">
        <v>3.9967921217568239</v>
      </c>
      <c r="U1532">
        <v>0</v>
      </c>
      <c r="V1532">
        <v>1.130476720982383E-2</v>
      </c>
      <c r="W1532">
        <v>0.17961069560297296</v>
      </c>
      <c r="X1532">
        <v>2.5507489835735173E-2</v>
      </c>
      <c r="Y1532">
        <v>9.6866113862609984E-3</v>
      </c>
    </row>
    <row r="1533" spans="1:25" x14ac:dyDescent="0.25">
      <c r="A1533" s="1093"/>
      <c r="B1533" s="1452">
        <v>1283</v>
      </c>
      <c r="C1533" s="1097">
        <v>1.0282528621340759</v>
      </c>
      <c r="D1533" s="1097">
        <v>1.0080242764825391</v>
      </c>
      <c r="E1533" s="1097">
        <v>0.99856321639655765</v>
      </c>
      <c r="F1533" s="1097">
        <v>1.0049235488390957</v>
      </c>
      <c r="G1533" s="1097">
        <v>0.9955464403389952</v>
      </c>
      <c r="H1533" s="1097">
        <v>1.0084752683254745</v>
      </c>
      <c r="I1533" s="1097">
        <v>0.97493600200206798</v>
      </c>
      <c r="K1533">
        <v>5.1600882411189204</v>
      </c>
      <c r="L1533">
        <v>0</v>
      </c>
      <c r="M1533">
        <v>3.5634712071514673E-3</v>
      </c>
      <c r="N1533">
        <v>0.30783843346168044</v>
      </c>
      <c r="O1533">
        <v>0.14460033105822626</v>
      </c>
      <c r="P1533">
        <v>2.029646102150761E-2</v>
      </c>
      <c r="Q1533">
        <v>1.2621653836779696E-3</v>
      </c>
      <c r="R1533">
        <v>3.557636554659893E-3</v>
      </c>
      <c r="S1533">
        <v>0.44107825384486321</v>
      </c>
      <c r="T1533">
        <v>4.015183354523681</v>
      </c>
      <c r="U1533">
        <v>0</v>
      </c>
      <c r="V1533">
        <v>1.1304767209823836E-2</v>
      </c>
      <c r="W1533">
        <v>0.18354470545447918</v>
      </c>
      <c r="X1533">
        <v>2.4931451297297222E-2</v>
      </c>
      <c r="Y1533">
        <v>1.0054152516170846E-2</v>
      </c>
    </row>
    <row r="1534" spans="1:25" x14ac:dyDescent="0.25">
      <c r="A1534" s="1093"/>
      <c r="B1534" s="1452">
        <v>1284</v>
      </c>
      <c r="C1534" s="1097">
        <v>0.99017600259998184</v>
      </c>
      <c r="D1534" s="1097">
        <v>0.98820284140381753</v>
      </c>
      <c r="E1534" s="1097">
        <v>1.0001587549978654</v>
      </c>
      <c r="F1534" s="1097">
        <v>0.97111563592291428</v>
      </c>
      <c r="G1534" s="1097">
        <v>1.0075011520539119</v>
      </c>
      <c r="H1534" s="1097">
        <v>0.99733773908814249</v>
      </c>
      <c r="I1534" s="1097">
        <v>1.0116373032788257</v>
      </c>
      <c r="K1534">
        <v>5.0473588675568504</v>
      </c>
      <c r="L1534">
        <v>0</v>
      </c>
      <c r="M1534">
        <v>3.5529697006915898E-3</v>
      </c>
      <c r="N1534">
        <v>0.30836234413963848</v>
      </c>
      <c r="O1534">
        <v>0.14622267894044991</v>
      </c>
      <c r="P1534">
        <v>1.9798790621768449E-2</v>
      </c>
      <c r="Q1534">
        <v>1.3229634919261889E-3</v>
      </c>
      <c r="R1534">
        <v>3.5468828400917027E-3</v>
      </c>
      <c r="S1534">
        <v>0.46161282900649808</v>
      </c>
      <c r="T1534">
        <v>3.879908860914115</v>
      </c>
      <c r="U1534">
        <v>0</v>
      </c>
      <c r="V1534">
        <v>1.130476720982382E-2</v>
      </c>
      <c r="W1534">
        <v>0.18365883297932342</v>
      </c>
      <c r="X1534">
        <v>2.51491254161097E-2</v>
      </c>
      <c r="Y1534">
        <v>1.002376169779387E-2</v>
      </c>
    </row>
    <row r="1535" spans="1:25" x14ac:dyDescent="0.25">
      <c r="A1535" s="1093"/>
      <c r="B1535" s="1452">
        <v>1285</v>
      </c>
      <c r="C1535" s="1097">
        <v>1.0032217682564797</v>
      </c>
      <c r="D1535" s="1097">
        <v>0.98353483411143905</v>
      </c>
      <c r="E1535" s="1097">
        <v>0.96565558542743579</v>
      </c>
      <c r="F1535" s="1097">
        <v>1.0274002353022444</v>
      </c>
      <c r="G1535" s="1097">
        <v>0.98939036853332596</v>
      </c>
      <c r="H1535" s="1097">
        <v>0.98107326073762546</v>
      </c>
      <c r="I1535" s="1097">
        <v>0.99150498656989039</v>
      </c>
      <c r="K1535">
        <v>5.2928504990758203</v>
      </c>
      <c r="L1535">
        <v>0</v>
      </c>
      <c r="M1535">
        <v>3.9308677821434457E-3</v>
      </c>
      <c r="N1535">
        <v>0.30798702319629173</v>
      </c>
      <c r="O1535">
        <v>0.15396498697383362</v>
      </c>
      <c r="P1535">
        <v>2.0321347538448244E-2</v>
      </c>
      <c r="Q1535">
        <v>1.2697043559242579E-3</v>
      </c>
      <c r="R1535">
        <v>3.9243963106660902E-3</v>
      </c>
      <c r="S1535">
        <v>0.46541099110001638</v>
      </c>
      <c r="T1535">
        <v>4.1092696521202212</v>
      </c>
      <c r="U1535">
        <v>0</v>
      </c>
      <c r="V1535">
        <v>1.1304767209823813E-2</v>
      </c>
      <c r="W1535">
        <v>0.18781456953426981</v>
      </c>
      <c r="X1535">
        <v>2.4423284931041341E-2</v>
      </c>
      <c r="Y1535">
        <v>1.1090643587427118E-2</v>
      </c>
    </row>
    <row r="1536" spans="1:25" x14ac:dyDescent="0.25">
      <c r="A1536" s="1093"/>
      <c r="B1536" s="1452">
        <v>1286</v>
      </c>
      <c r="C1536" s="1097">
        <v>0.97967014777358052</v>
      </c>
      <c r="D1536" s="1097">
        <v>0.97926972772505727</v>
      </c>
      <c r="E1536" s="1097">
        <v>0.98158731293110757</v>
      </c>
      <c r="F1536" s="1097">
        <v>0.98896252784098371</v>
      </c>
      <c r="G1536" s="1097">
        <v>1.0179102881366873</v>
      </c>
      <c r="H1536" s="1097">
        <v>1.0294027799667969</v>
      </c>
      <c r="I1536" s="1097">
        <v>0.97120884785659134</v>
      </c>
      <c r="K1536">
        <v>5.1534804524626532</v>
      </c>
      <c r="L1536">
        <v>0</v>
      </c>
      <c r="M1536">
        <v>3.93913872158504E-3</v>
      </c>
      <c r="N1536">
        <v>0.32358878275745756</v>
      </c>
      <c r="O1536">
        <v>0.15158061303460102</v>
      </c>
      <c r="P1536">
        <v>1.9854157349533646E-2</v>
      </c>
      <c r="Q1536">
        <v>1.3207030308289888E-3</v>
      </c>
      <c r="R1536">
        <v>3.9327182852343786E-3</v>
      </c>
      <c r="S1536">
        <v>0.4615356064756917</v>
      </c>
      <c r="T1536">
        <v>3.9535285867050103</v>
      </c>
      <c r="U1536">
        <v>0</v>
      </c>
      <c r="V1536">
        <v>1.1304767209823813E-2</v>
      </c>
      <c r="W1536">
        <v>0.19517722492086009</v>
      </c>
      <c r="X1536">
        <v>2.4482269292284926E-2</v>
      </c>
      <c r="Y1536">
        <v>1.1114162122909806E-2</v>
      </c>
    </row>
    <row r="1537" spans="1:25" x14ac:dyDescent="0.25">
      <c r="A1537" s="1093"/>
      <c r="B1537" s="1452">
        <v>1287</v>
      </c>
      <c r="C1537" s="1097">
        <v>1.0017147910652466</v>
      </c>
      <c r="D1537" s="1097">
        <v>0.99294865850735814</v>
      </c>
      <c r="E1537" s="1097">
        <v>0.98048257262927319</v>
      </c>
      <c r="F1537" s="1097">
        <v>1.001500375584965</v>
      </c>
      <c r="G1537" s="1097">
        <v>1.0188486572064992</v>
      </c>
      <c r="H1537" s="1097">
        <v>0.98887471218768119</v>
      </c>
      <c r="I1537" s="1097">
        <v>0.98199678370406163</v>
      </c>
      <c r="K1537">
        <v>5.163746084390282</v>
      </c>
      <c r="L1537">
        <v>0</v>
      </c>
      <c r="M1537">
        <v>3.7355345484276076E-3</v>
      </c>
      <c r="N1537">
        <v>0.30584510095282064</v>
      </c>
      <c r="O1537">
        <v>0.14932433058519604</v>
      </c>
      <c r="P1537">
        <v>2.0022154926634807E-2</v>
      </c>
      <c r="Q1537">
        <v>1.2832609727136957E-3</v>
      </c>
      <c r="R1537">
        <v>3.7292756495501699E-3</v>
      </c>
      <c r="S1537">
        <v>0.45247405944424962</v>
      </c>
      <c r="T1537">
        <v>4.0037906927781748</v>
      </c>
      <c r="U1537">
        <v>0</v>
      </c>
      <c r="V1537">
        <v>1.1304767209823832E-2</v>
      </c>
      <c r="W1537">
        <v>0.1846144502090758</v>
      </c>
      <c r="X1537">
        <v>2.4554308508109163E-2</v>
      </c>
      <c r="Y1537">
        <v>1.053921770235576E-2</v>
      </c>
    </row>
    <row r="1538" spans="1:25" x14ac:dyDescent="0.25">
      <c r="A1538" s="1093"/>
      <c r="B1538" s="1452">
        <v>1288</v>
      </c>
      <c r="C1538" s="1097">
        <v>1.024851350554397</v>
      </c>
      <c r="D1538" s="1097">
        <v>1.0046198094242407</v>
      </c>
      <c r="E1538" s="1097">
        <v>0.99317568380049703</v>
      </c>
      <c r="F1538" s="1097">
        <v>1.0133861310542023</v>
      </c>
      <c r="G1538" s="1097">
        <v>1.0025931169979898</v>
      </c>
      <c r="H1538" s="1097">
        <v>0.97251282808982598</v>
      </c>
      <c r="I1538" s="1097">
        <v>1.0202541906856131</v>
      </c>
      <c r="K1538">
        <v>5.2028986040040062</v>
      </c>
      <c r="L1538">
        <v>0</v>
      </c>
      <c r="M1538">
        <v>3.521196690340267E-3</v>
      </c>
      <c r="N1538">
        <v>0.29935388546084452</v>
      </c>
      <c r="O1538">
        <v>0.14664811474540343</v>
      </c>
      <c r="P1538">
        <v>2.0456132235765725E-2</v>
      </c>
      <c r="Q1538">
        <v>1.2622124929416519E-3</v>
      </c>
      <c r="R1538">
        <v>3.5152679013362117E-3</v>
      </c>
      <c r="S1538">
        <v>0.45991136940899752</v>
      </c>
      <c r="T1538">
        <v>4.0496825035058155</v>
      </c>
      <c r="U1538">
        <v>0</v>
      </c>
      <c r="V1538">
        <v>1.1304767209823808E-2</v>
      </c>
      <c r="W1538">
        <v>0.17913883948812551</v>
      </c>
      <c r="X1538">
        <v>2.5212292778112013E-2</v>
      </c>
      <c r="Y1538">
        <v>9.9344154671844598E-3</v>
      </c>
    </row>
    <row r="1539" spans="1:25" x14ac:dyDescent="0.25">
      <c r="A1539" s="1093"/>
      <c r="B1539" s="1452">
        <v>1289</v>
      </c>
      <c r="C1539" s="1097">
        <v>0.97956624060376563</v>
      </c>
      <c r="D1539" s="1097">
        <v>1.0201837164305458</v>
      </c>
      <c r="E1539" s="1097">
        <v>1.043846035414018</v>
      </c>
      <c r="F1539" s="1097">
        <v>0.98585041791917483</v>
      </c>
      <c r="G1539" s="1097">
        <v>1.0438177271375977</v>
      </c>
      <c r="H1539" s="1097">
        <v>1.0011586112982851</v>
      </c>
      <c r="I1539" s="1097">
        <v>0.96349569981422234</v>
      </c>
      <c r="K1539">
        <v>5.1125729195836067</v>
      </c>
      <c r="L1539">
        <v>0</v>
      </c>
      <c r="M1539">
        <v>3.2948616258641284E-3</v>
      </c>
      <c r="N1539">
        <v>0.32542149667193909</v>
      </c>
      <c r="O1539">
        <v>0.14693524881317693</v>
      </c>
      <c r="P1539">
        <v>2.0628348501765727E-2</v>
      </c>
      <c r="Q1539">
        <v>1.3700272817210053E-3</v>
      </c>
      <c r="R1539">
        <v>3.2893223957068318E-3</v>
      </c>
      <c r="S1539">
        <v>0.44789576386000762</v>
      </c>
      <c r="T1539">
        <v>3.9334276500383094</v>
      </c>
      <c r="U1539">
        <v>0</v>
      </c>
      <c r="V1539">
        <v>1.1304767209823811E-2</v>
      </c>
      <c r="W1539">
        <v>0.18826176614146317</v>
      </c>
      <c r="X1539">
        <v>2.8037514077403774E-2</v>
      </c>
      <c r="Y1539">
        <v>9.2958762181525184E-3</v>
      </c>
    </row>
    <row r="1540" spans="1:25" x14ac:dyDescent="0.25">
      <c r="A1540" s="1093"/>
      <c r="B1540" s="1452">
        <v>1290</v>
      </c>
      <c r="C1540" s="1097">
        <v>1.0033672041924733</v>
      </c>
      <c r="D1540" s="1097">
        <v>0.95817486097410531</v>
      </c>
      <c r="E1540" s="1097">
        <v>1.0255042524014495</v>
      </c>
      <c r="F1540" s="1097">
        <v>1.0403995378537187</v>
      </c>
      <c r="G1540" s="1097">
        <v>0.9841830879466531</v>
      </c>
      <c r="H1540" s="1097">
        <v>0.96289477388016009</v>
      </c>
      <c r="I1540" s="1097">
        <v>1.0338083446491493</v>
      </c>
      <c r="K1540">
        <v>5.3873246963367603</v>
      </c>
      <c r="L1540">
        <v>0</v>
      </c>
      <c r="M1540">
        <v>3.4801223835304903E-3</v>
      </c>
      <c r="N1540">
        <v>0.32559115868693234</v>
      </c>
      <c r="O1540">
        <v>0.15577109353136895</v>
      </c>
      <c r="P1540">
        <v>2.1567294336543232E-2</v>
      </c>
      <c r="Q1540">
        <v>1.35057310424146E-3</v>
      </c>
      <c r="R1540">
        <v>3.4743576397926767E-3</v>
      </c>
      <c r="S1540">
        <v>0.48914220813560444</v>
      </c>
      <c r="T1540">
        <v>4.1534288612805357</v>
      </c>
      <c r="U1540">
        <v>0</v>
      </c>
      <c r="V1540">
        <v>1.1304767209823808E-2</v>
      </c>
      <c r="W1540">
        <v>0.19065479163190605</v>
      </c>
      <c r="X1540">
        <v>2.870091321883397E-2</v>
      </c>
      <c r="Y1540">
        <v>9.8187999447117164E-3</v>
      </c>
    </row>
    <row r="1541" spans="1:25" x14ac:dyDescent="0.25">
      <c r="A1541" s="1093"/>
      <c r="B1541" s="1452">
        <v>1291</v>
      </c>
      <c r="C1541" s="1097">
        <v>0.97371505238687428</v>
      </c>
      <c r="D1541" s="1097">
        <v>1.0128998162989113</v>
      </c>
      <c r="E1541" s="1097">
        <v>0.99672726454685945</v>
      </c>
      <c r="F1541" s="1097">
        <v>1.0225668337031801</v>
      </c>
      <c r="G1541" s="1097">
        <v>0.98276952065173073</v>
      </c>
      <c r="H1541" s="1097">
        <v>0.99935077648194681</v>
      </c>
      <c r="I1541" s="1097">
        <v>0.99279356517258988</v>
      </c>
      <c r="K1541">
        <v>5.3122414558787776</v>
      </c>
      <c r="L1541">
        <v>0</v>
      </c>
      <c r="M1541">
        <v>3.8017245198245096E-3</v>
      </c>
      <c r="N1541">
        <v>0.32664287994854169</v>
      </c>
      <c r="O1541">
        <v>0.15513411069783237</v>
      </c>
      <c r="P1541">
        <v>2.0762000354386322E-2</v>
      </c>
      <c r="Q1541">
        <v>1.3281946745827384E-3</v>
      </c>
      <c r="R1541">
        <v>3.795551134621801E-3</v>
      </c>
      <c r="S1541">
        <v>0.47908500092140976</v>
      </c>
      <c r="T1541">
        <v>4.0859132699868166</v>
      </c>
      <c r="U1541">
        <v>0</v>
      </c>
      <c r="V1541">
        <v>1.1304767209823815E-2</v>
      </c>
      <c r="W1541">
        <v>0.19499881993532941</v>
      </c>
      <c r="X1541">
        <v>2.6352068252194726E-2</v>
      </c>
      <c r="Y1541">
        <v>1.0726517283062113E-2</v>
      </c>
    </row>
    <row r="1542" spans="1:25" x14ac:dyDescent="0.25">
      <c r="A1542" s="1093"/>
      <c r="B1542" s="1452">
        <v>1292</v>
      </c>
      <c r="C1542" s="1097">
        <v>0.99892170870677421</v>
      </c>
      <c r="D1542" s="1097">
        <v>0.96466115292842636</v>
      </c>
      <c r="E1542" s="1097">
        <v>0.99607502112016144</v>
      </c>
      <c r="F1542" s="1097">
        <v>0.98838178631869644</v>
      </c>
      <c r="G1542" s="1097">
        <v>0.98784687261312465</v>
      </c>
      <c r="H1542" s="1097">
        <v>0.98740962334982307</v>
      </c>
      <c r="I1542" s="1097">
        <v>1.0263623259338317</v>
      </c>
      <c r="K1542">
        <v>5.133262718112884</v>
      </c>
      <c r="L1542">
        <v>0</v>
      </c>
      <c r="M1542">
        <v>3.6140218173922939E-3</v>
      </c>
      <c r="N1542">
        <v>0.30989214187181952</v>
      </c>
      <c r="O1542">
        <v>0.14906323414219388</v>
      </c>
      <c r="P1542">
        <v>2.0098317644532765E-2</v>
      </c>
      <c r="Q1542">
        <v>1.3194578571960713E-3</v>
      </c>
      <c r="R1542">
        <v>3.6078771738320445E-3</v>
      </c>
      <c r="S1542">
        <v>0.47147062966641723</v>
      </c>
      <c r="T1542">
        <v>3.9493997161925498</v>
      </c>
      <c r="U1542">
        <v>0</v>
      </c>
      <c r="V1542">
        <v>1.1304767209823815E-2</v>
      </c>
      <c r="W1542">
        <v>0.18508075870643442</v>
      </c>
      <c r="X1542">
        <v>2.5443703123838163E-2</v>
      </c>
      <c r="Y1542">
        <v>1.019613634164117E-2</v>
      </c>
    </row>
    <row r="1543" spans="1:25" x14ac:dyDescent="0.25">
      <c r="A1543" s="1093"/>
      <c r="B1543" s="1452">
        <v>1293</v>
      </c>
      <c r="C1543" s="1097">
        <v>0.96772326881020132</v>
      </c>
      <c r="D1543" s="1097">
        <v>0.97217024585516754</v>
      </c>
      <c r="E1543" s="1097">
        <v>0.99335292273363696</v>
      </c>
      <c r="F1543" s="1097">
        <v>1.0071738467708962</v>
      </c>
      <c r="G1543" s="1097">
        <v>0.98931709713581617</v>
      </c>
      <c r="H1543" s="1097">
        <v>0.99873328972447184</v>
      </c>
      <c r="I1543" s="1097">
        <v>0.9808993843219459</v>
      </c>
      <c r="K1543">
        <v>5.2494206663530747</v>
      </c>
      <c r="L1543">
        <v>0</v>
      </c>
      <c r="M1543">
        <v>3.8550487035872989E-3</v>
      </c>
      <c r="N1543">
        <v>0.32791969857697112</v>
      </c>
      <c r="O1543">
        <v>0.15638856999941483</v>
      </c>
      <c r="P1543">
        <v>2.0409885688324404E-2</v>
      </c>
      <c r="Q1543">
        <v>1.3546034767722721E-3</v>
      </c>
      <c r="R1543">
        <v>3.8486892833915348E-3</v>
      </c>
      <c r="S1543">
        <v>0.47393386069586974</v>
      </c>
      <c r="T1543">
        <v>4.0248345579700242</v>
      </c>
      <c r="U1543">
        <v>0</v>
      </c>
      <c r="V1543">
        <v>1.1304767209823825E-2</v>
      </c>
      <c r="W1543">
        <v>0.19620953109362915</v>
      </c>
      <c r="X1543">
        <v>2.6194861314044186E-2</v>
      </c>
      <c r="Y1543">
        <v>1.087668974839112E-2</v>
      </c>
    </row>
    <row r="1544" spans="1:25" x14ac:dyDescent="0.25">
      <c r="A1544" s="1093"/>
      <c r="B1544" s="1452">
        <v>1294</v>
      </c>
      <c r="C1544" s="1097">
        <v>1.0169076850042507</v>
      </c>
      <c r="D1544" s="1097">
        <v>0.99314857145199942</v>
      </c>
      <c r="E1544" s="1097">
        <v>0.993766189258946</v>
      </c>
      <c r="F1544" s="1097">
        <v>1.0332129437099387</v>
      </c>
      <c r="G1544" s="1097">
        <v>0.97852351745381194</v>
      </c>
      <c r="H1544" s="1097">
        <v>1.0025063986961358</v>
      </c>
      <c r="I1544" s="1097">
        <v>0.99099263384736236</v>
      </c>
      <c r="K1544">
        <v>5.3235369830250816</v>
      </c>
      <c r="L1544">
        <v>0</v>
      </c>
      <c r="M1544">
        <v>3.7421239124762456E-3</v>
      </c>
      <c r="N1544">
        <v>0.31871942574785156</v>
      </c>
      <c r="O1544">
        <v>0.15136228700076518</v>
      </c>
      <c r="P1544">
        <v>2.0843257931303778E-2</v>
      </c>
      <c r="Q1544">
        <v>1.2785788992224812E-3</v>
      </c>
      <c r="R1544">
        <v>3.7361287518415599E-3</v>
      </c>
      <c r="S1544">
        <v>0.46427494803517061</v>
      </c>
      <c r="T1544">
        <v>4.1288373568729133</v>
      </c>
      <c r="U1544">
        <v>0</v>
      </c>
      <c r="V1544">
        <v>1.130476720982381E-2</v>
      </c>
      <c r="W1544">
        <v>0.19065108924253402</v>
      </c>
      <c r="X1544">
        <v>2.5712682153491522E-2</v>
      </c>
      <c r="Y1544">
        <v>1.0558585092640837E-2</v>
      </c>
    </row>
    <row r="1545" spans="1:25" x14ac:dyDescent="0.25">
      <c r="A1545" s="1093"/>
      <c r="B1545" s="1452">
        <v>1295</v>
      </c>
      <c r="C1545" s="1097">
        <v>1.007366030102907</v>
      </c>
      <c r="D1545" s="1097">
        <v>1.0330672707844055</v>
      </c>
      <c r="E1545" s="1097">
        <v>0.96928513016336038</v>
      </c>
      <c r="F1545" s="1097">
        <v>0.96768415740180413</v>
      </c>
      <c r="G1545" s="1097">
        <v>1.0011728634601476</v>
      </c>
      <c r="H1545" s="1097">
        <v>1.0092395606035085</v>
      </c>
      <c r="I1545" s="1097">
        <v>1.0130042049678105</v>
      </c>
      <c r="K1545">
        <v>4.9976814979618585</v>
      </c>
      <c r="L1545">
        <v>0</v>
      </c>
      <c r="M1545">
        <v>3.6913916466907708E-3</v>
      </c>
      <c r="N1545">
        <v>0.29234318866742554</v>
      </c>
      <c r="O1545">
        <v>0.14151303370085208</v>
      </c>
      <c r="P1545">
        <v>1.9251595425644287E-2</v>
      </c>
      <c r="Q1545">
        <v>1.2438155743453171E-3</v>
      </c>
      <c r="R1545">
        <v>3.6851201001638135E-3</v>
      </c>
      <c r="S1545">
        <v>0.45119241888416917</v>
      </c>
      <c r="T1545">
        <v>3.8699769127397019</v>
      </c>
      <c r="U1545">
        <v>0</v>
      </c>
      <c r="V1545">
        <v>1.1304767209823801E-2</v>
      </c>
      <c r="W1545">
        <v>0.17782818344986873</v>
      </c>
      <c r="X1545">
        <v>2.2619423107883042E-2</v>
      </c>
      <c r="Y1545">
        <v>1.04144307486732E-2</v>
      </c>
    </row>
    <row r="1546" spans="1:25" x14ac:dyDescent="0.25">
      <c r="A1546" s="1093"/>
      <c r="B1546" s="1452">
        <v>1296</v>
      </c>
      <c r="C1546" s="1097">
        <v>0.99007872482714487</v>
      </c>
      <c r="D1546" s="1097">
        <v>1.0230015460826023</v>
      </c>
      <c r="E1546" s="1097">
        <v>1.0020074866508015</v>
      </c>
      <c r="F1546" s="1097">
        <v>1.0305661950610527</v>
      </c>
      <c r="G1546" s="1097">
        <v>1.0113910099012979</v>
      </c>
      <c r="H1546" s="1097">
        <v>1.0199566561122075</v>
      </c>
      <c r="I1546" s="1097">
        <v>0.97606995813534514</v>
      </c>
      <c r="K1546">
        <v>5.3373174111199218</v>
      </c>
      <c r="L1546">
        <v>0</v>
      </c>
      <c r="M1546">
        <v>3.788197151959099E-3</v>
      </c>
      <c r="N1546">
        <v>0.33062802224525417</v>
      </c>
      <c r="O1546">
        <v>0.15300289033503892</v>
      </c>
      <c r="P1546">
        <v>2.0941754180073078E-2</v>
      </c>
      <c r="Q1546">
        <v>1.3069713949834525E-3</v>
      </c>
      <c r="R1546">
        <v>3.7822167162728216E-3</v>
      </c>
      <c r="S1546">
        <v>0.46928320265151463</v>
      </c>
      <c r="T1546">
        <v>4.117193239605669</v>
      </c>
      <c r="U1546">
        <v>0</v>
      </c>
      <c r="V1546">
        <v>1.1304767209823806E-2</v>
      </c>
      <c r="W1546">
        <v>0.19667442283481418</v>
      </c>
      <c r="X1546">
        <v>2.6299287899667418E-2</v>
      </c>
      <c r="Y1546">
        <v>1.0688833198773217E-2</v>
      </c>
    </row>
    <row r="1547" spans="1:25" x14ac:dyDescent="0.25">
      <c r="A1547" s="1093"/>
      <c r="B1547" s="1452">
        <v>1297</v>
      </c>
      <c r="C1547" s="1097">
        <v>0.9703256744832145</v>
      </c>
      <c r="D1547" s="1097">
        <v>0.97016733403008193</v>
      </c>
      <c r="E1547" s="1097">
        <v>0.99303836832008285</v>
      </c>
      <c r="F1547" s="1097">
        <v>1.0334990202157572</v>
      </c>
      <c r="G1547" s="1097">
        <v>0.95847054152003075</v>
      </c>
      <c r="H1547" s="1097">
        <v>1.0050340313882371</v>
      </c>
      <c r="I1547" s="1097">
        <v>0.99023247382568125</v>
      </c>
      <c r="K1547">
        <v>5.3910078148055423</v>
      </c>
      <c r="L1547">
        <v>0</v>
      </c>
      <c r="M1547">
        <v>3.9758302292622096E-3</v>
      </c>
      <c r="N1547">
        <v>0.33789606136003009</v>
      </c>
      <c r="O1547">
        <v>0.16018732835908026</v>
      </c>
      <c r="P1547">
        <v>2.0949600202407815E-2</v>
      </c>
      <c r="Q1547">
        <v>1.3517193507841662E-3</v>
      </c>
      <c r="R1547">
        <v>3.9694784289088349E-3</v>
      </c>
      <c r="S1547">
        <v>0.48904827437266774</v>
      </c>
      <c r="T1547">
        <v>4.1300752854253533</v>
      </c>
      <c r="U1547">
        <v>0</v>
      </c>
      <c r="V1547">
        <v>1.130476720982382E-2</v>
      </c>
      <c r="W1547">
        <v>0.20222203738771133</v>
      </c>
      <c r="X1547">
        <v>2.6761043842597209E-2</v>
      </c>
      <c r="Y1547">
        <v>1.1218049095438021E-2</v>
      </c>
    </row>
    <row r="1548" spans="1:25" x14ac:dyDescent="0.25">
      <c r="A1548" s="1093"/>
      <c r="B1548" s="1452">
        <v>1298</v>
      </c>
      <c r="C1548" s="1097">
        <v>0.99250987641338795</v>
      </c>
      <c r="D1548" s="1097">
        <v>1.0082251640219659</v>
      </c>
      <c r="E1548" s="1097">
        <v>1.000190616127056</v>
      </c>
      <c r="F1548" s="1097">
        <v>1.0249872116254439</v>
      </c>
      <c r="G1548" s="1097">
        <v>0.98606158167078006</v>
      </c>
      <c r="H1548" s="1097">
        <v>1.0225919560095471</v>
      </c>
      <c r="I1548" s="1097">
        <v>0.99705765544779923</v>
      </c>
      <c r="K1548">
        <v>5.323045305646354</v>
      </c>
      <c r="L1548">
        <v>0</v>
      </c>
      <c r="M1548">
        <v>3.8047310803139491E-3</v>
      </c>
      <c r="N1548">
        <v>0.33028689623144875</v>
      </c>
      <c r="O1548">
        <v>0.15273994391126372</v>
      </c>
      <c r="P1548">
        <v>2.0852156518960118E-2</v>
      </c>
      <c r="Q1548">
        <v>1.3093408064359751E-3</v>
      </c>
      <c r="R1548">
        <v>3.7987074653865701E-3</v>
      </c>
      <c r="S1548">
        <v>0.47786312514538298</v>
      </c>
      <c r="T1548">
        <v>4.095138453283341</v>
      </c>
      <c r="U1548">
        <v>0</v>
      </c>
      <c r="V1548">
        <v>1.130476720982381E-2</v>
      </c>
      <c r="W1548">
        <v>0.19671273412636778</v>
      </c>
      <c r="X1548">
        <v>2.6108474713479306E-2</v>
      </c>
      <c r="Y1548">
        <v>1.0735437314777801E-2</v>
      </c>
    </row>
    <row r="1549" spans="1:25" x14ac:dyDescent="0.25">
      <c r="A1549" s="1093"/>
      <c r="B1549" s="1452">
        <v>1299</v>
      </c>
      <c r="C1549" s="1097">
        <v>0.99287006283066326</v>
      </c>
      <c r="D1549" s="1097">
        <v>0.98869078684060918</v>
      </c>
      <c r="E1549" s="1097">
        <v>1.012854575438898</v>
      </c>
      <c r="F1549" s="1097">
        <v>1.041094102730846</v>
      </c>
      <c r="G1549" s="1097">
        <v>0.97741137091028141</v>
      </c>
      <c r="H1549" s="1097">
        <v>0.98285822310570936</v>
      </c>
      <c r="I1549" s="1097">
        <v>1.0332151208403628</v>
      </c>
      <c r="K1549">
        <v>5.4035324906054987</v>
      </c>
      <c r="L1549">
        <v>0</v>
      </c>
      <c r="M1549">
        <v>3.6435132754823519E-3</v>
      </c>
      <c r="N1549">
        <v>0.3283666601378436</v>
      </c>
      <c r="O1549">
        <v>0.15593096757545655</v>
      </c>
      <c r="P1549">
        <v>2.141719726743134E-2</v>
      </c>
      <c r="Q1549">
        <v>1.333484657386713E-3</v>
      </c>
      <c r="R1549">
        <v>3.6376044056080658E-3</v>
      </c>
      <c r="S1549">
        <v>0.49538880767229004</v>
      </c>
      <c r="T1549">
        <v>4.1578401742779079</v>
      </c>
      <c r="U1549">
        <v>0</v>
      </c>
      <c r="V1549">
        <v>1.1304767209823832E-2</v>
      </c>
      <c r="W1549">
        <v>0.19390961332426834</v>
      </c>
      <c r="X1549">
        <v>2.7766579584755278E-2</v>
      </c>
      <c r="Y1549">
        <v>1.0280147768206986E-2</v>
      </c>
    </row>
    <row r="1550" spans="1:25" x14ac:dyDescent="0.25">
      <c r="A1550" s="1093"/>
      <c r="B1550" s="1452">
        <v>1300</v>
      </c>
      <c r="C1550" s="1097">
        <v>1.0106321998684693</v>
      </c>
      <c r="D1550" s="1097">
        <v>1.0081642332091671</v>
      </c>
      <c r="E1550" s="1097">
        <v>0.99571689964766175</v>
      </c>
      <c r="F1550" s="1097">
        <v>0.98329302208965197</v>
      </c>
      <c r="G1550" s="1097">
        <v>0.98935066655416715</v>
      </c>
      <c r="H1550" s="1097">
        <v>0.95348475096098573</v>
      </c>
      <c r="I1550" s="1097">
        <v>0.99715578492033408</v>
      </c>
      <c r="K1550">
        <v>5.0424418516194685</v>
      </c>
      <c r="L1550">
        <v>0</v>
      </c>
      <c r="M1550">
        <v>3.374210807286344E-3</v>
      </c>
      <c r="N1550">
        <v>0.28900194141256458</v>
      </c>
      <c r="O1550">
        <v>0.14402359061161241</v>
      </c>
      <c r="P1550">
        <v>1.9861522843761015E-2</v>
      </c>
      <c r="Q1550">
        <v>1.2809659994307365E-3</v>
      </c>
      <c r="R1550">
        <v>3.3682390830518908E-3</v>
      </c>
      <c r="S1550">
        <v>0.4407234545738784</v>
      </c>
      <c r="T1550">
        <v>3.9291102070068757</v>
      </c>
      <c r="U1550">
        <v>0</v>
      </c>
      <c r="V1550">
        <v>1.1304767209823811E-2</v>
      </c>
      <c r="W1550">
        <v>0.17264614273287693</v>
      </c>
      <c r="X1550">
        <v>2.4976330151284101E-2</v>
      </c>
      <c r="Y1550">
        <v>9.5189008015937153E-3</v>
      </c>
    </row>
    <row r="1551" spans="1:25" x14ac:dyDescent="0.25">
      <c r="A1551" s="1093"/>
      <c r="B1551" s="1452">
        <v>1301</v>
      </c>
      <c r="C1551" s="1097">
        <v>0.99143697929860675</v>
      </c>
      <c r="D1551" s="1097">
        <v>1.0025778362466213</v>
      </c>
      <c r="E1551" s="1097">
        <v>1.0010660410845142</v>
      </c>
      <c r="F1551" s="1097">
        <v>0.99865271200065908</v>
      </c>
      <c r="G1551" s="1097">
        <v>0.98124991889207536</v>
      </c>
      <c r="H1551" s="1097">
        <v>0.98243887976382527</v>
      </c>
      <c r="I1551" s="1097">
        <v>1.0122057507275175</v>
      </c>
      <c r="K1551">
        <v>5.1711558488646334</v>
      </c>
      <c r="L1551">
        <v>0</v>
      </c>
      <c r="M1551">
        <v>3.5668633766588994E-3</v>
      </c>
      <c r="N1551">
        <v>0.31040826472412492</v>
      </c>
      <c r="O1551">
        <v>0.14928729109840308</v>
      </c>
      <c r="P1551">
        <v>2.0341442928750088E-2</v>
      </c>
      <c r="Q1551">
        <v>1.3146916552083852E-3</v>
      </c>
      <c r="R1551">
        <v>3.5608308123407373E-3</v>
      </c>
      <c r="S1551">
        <v>0.46799076753069391</v>
      </c>
      <c r="T1551">
        <v>3.9898143141808515</v>
      </c>
      <c r="U1551">
        <v>0</v>
      </c>
      <c r="V1551">
        <v>1.1304767209823817E-2</v>
      </c>
      <c r="W1551">
        <v>0.18476408439827438</v>
      </c>
      <c r="X1551">
        <v>2.5873077970572794E-2</v>
      </c>
      <c r="Y1551">
        <v>1.0063179732246953E-2</v>
      </c>
    </row>
    <row r="1552" spans="1:25" x14ac:dyDescent="0.25">
      <c r="A1552" s="1093"/>
      <c r="B1552" s="1452">
        <v>1302</v>
      </c>
      <c r="C1552" s="1097">
        <v>0.98892124458762254</v>
      </c>
      <c r="D1552" s="1097">
        <v>0.98681702145319783</v>
      </c>
      <c r="E1552" s="1097">
        <v>1.0384799563999549</v>
      </c>
      <c r="F1552" s="1097">
        <v>1.0217743779056669</v>
      </c>
      <c r="G1552" s="1097">
        <v>0.96141929358993994</v>
      </c>
      <c r="H1552" s="1097">
        <v>0.99008294539684316</v>
      </c>
      <c r="I1552" s="1097">
        <v>0.99560601876208954</v>
      </c>
      <c r="K1552">
        <v>5.3031878473648213</v>
      </c>
      <c r="L1552">
        <v>0</v>
      </c>
      <c r="M1552">
        <v>3.4285554328338536E-3</v>
      </c>
      <c r="N1552">
        <v>0.33331429380336075</v>
      </c>
      <c r="O1552">
        <v>0.15302396043192126</v>
      </c>
      <c r="P1552">
        <v>2.1341706069496143E-2</v>
      </c>
      <c r="Q1552">
        <v>1.3690905208190588E-3</v>
      </c>
      <c r="R1552">
        <v>3.4229315478427965E-3</v>
      </c>
      <c r="S1552">
        <v>0.47335560031836482</v>
      </c>
      <c r="T1552">
        <v>4.0774350281952376</v>
      </c>
      <c r="U1552">
        <v>0</v>
      </c>
      <c r="V1552">
        <v>1.1304767209823825E-2</v>
      </c>
      <c r="W1552">
        <v>0.19350926592397533</v>
      </c>
      <c r="X1552">
        <v>2.8866292894145159E-2</v>
      </c>
      <c r="Y1552">
        <v>9.673465882664968E-3</v>
      </c>
    </row>
    <row r="1553" spans="1:25" x14ac:dyDescent="0.25">
      <c r="A1553" s="1093"/>
      <c r="B1553" s="1452">
        <v>1303</v>
      </c>
      <c r="C1553" s="1097">
        <v>0.97908952069268029</v>
      </c>
      <c r="D1553" s="1097">
        <v>0.99668820180621764</v>
      </c>
      <c r="E1553" s="1097">
        <v>1.0040341720516142</v>
      </c>
      <c r="F1553" s="1097">
        <v>1.0055575846550859</v>
      </c>
      <c r="G1553" s="1097">
        <v>0.97794182407504937</v>
      </c>
      <c r="H1553" s="1097">
        <v>1.0307644534751097</v>
      </c>
      <c r="I1553" s="1097">
        <v>0.9925114579973453</v>
      </c>
      <c r="K1553">
        <v>5.2486813974833417</v>
      </c>
      <c r="L1553">
        <v>0</v>
      </c>
      <c r="M1553">
        <v>3.8008295170956657E-3</v>
      </c>
      <c r="N1553">
        <v>0.33372070844871438</v>
      </c>
      <c r="O1553">
        <v>0.15248938018143698</v>
      </c>
      <c r="P1553">
        <v>2.0552271837060227E-2</v>
      </c>
      <c r="Q1553">
        <v>1.3378058466183369E-3</v>
      </c>
      <c r="R1553">
        <v>3.794744630632512E-3</v>
      </c>
      <c r="S1553">
        <v>0.47713832898718089</v>
      </c>
      <c r="T1553">
        <v>4.0170263615458328</v>
      </c>
      <c r="U1553">
        <v>0</v>
      </c>
      <c r="V1553">
        <v>1.1304767209823813E-2</v>
      </c>
      <c r="W1553">
        <v>0.19824293083485264</v>
      </c>
      <c r="X1553">
        <v>2.6150689437069205E-2</v>
      </c>
      <c r="Y1553">
        <v>1.0724238041214716E-2</v>
      </c>
    </row>
    <row r="1554" spans="1:25" x14ac:dyDescent="0.25">
      <c r="A1554" s="1093"/>
      <c r="B1554" s="1452">
        <v>1304</v>
      </c>
      <c r="C1554" s="1097">
        <v>1.0143906955279172</v>
      </c>
      <c r="D1554" s="1097">
        <v>1.0234979863187617</v>
      </c>
      <c r="E1554" s="1097">
        <v>1.0303150821112699</v>
      </c>
      <c r="F1554" s="1097">
        <v>0.96893502354324312</v>
      </c>
      <c r="G1554" s="1097">
        <v>1.0102098478346586</v>
      </c>
      <c r="H1554" s="1097">
        <v>1.0165738332190444</v>
      </c>
      <c r="I1554" s="1097">
        <v>0.99868550690314295</v>
      </c>
      <c r="K1554">
        <v>5.0098474891158125</v>
      </c>
      <c r="L1554">
        <v>0</v>
      </c>
      <c r="M1554">
        <v>3.2634678991949515E-3</v>
      </c>
      <c r="N1554">
        <v>0.30968703409794363</v>
      </c>
      <c r="O1554">
        <v>0.13963202731055388</v>
      </c>
      <c r="P1554">
        <v>2.0104969496977564E-2</v>
      </c>
      <c r="Q1554">
        <v>1.3063965737528179E-3</v>
      </c>
      <c r="R1554">
        <v>3.2579704763144074E-3</v>
      </c>
      <c r="S1554">
        <v>0.44431982709272477</v>
      </c>
      <c r="T1554">
        <v>3.8675544142081866</v>
      </c>
      <c r="U1554">
        <v>0</v>
      </c>
      <c r="V1554">
        <v>1.1304767209823825E-2</v>
      </c>
      <c r="W1554">
        <v>0.18076420096890444</v>
      </c>
      <c r="X1554">
        <v>2.5972076279479141E-2</v>
      </c>
      <c r="Y1554">
        <v>9.2072733003437102E-3</v>
      </c>
    </row>
    <row r="1555" spans="1:25" x14ac:dyDescent="0.25">
      <c r="A1555" s="1093"/>
      <c r="B1555" s="1452">
        <v>1305</v>
      </c>
      <c r="C1555" s="1097">
        <v>0.99478637042654383</v>
      </c>
      <c r="D1555" s="1097">
        <v>1.0284945566858785</v>
      </c>
      <c r="E1555" s="1097">
        <v>0.97958401186625066</v>
      </c>
      <c r="F1555" s="1097">
        <v>1.0164430109855938</v>
      </c>
      <c r="G1555" s="1097">
        <v>1.0094600625359194</v>
      </c>
      <c r="H1555" s="1097">
        <v>0.98815312236903396</v>
      </c>
      <c r="I1555" s="1097">
        <v>1.017569801961536</v>
      </c>
      <c r="K1555">
        <v>5.2507572353869776</v>
      </c>
      <c r="L1555">
        <v>0</v>
      </c>
      <c r="M1555">
        <v>3.7686039380596553E-3</v>
      </c>
      <c r="N1555">
        <v>0.30773823773536674</v>
      </c>
      <c r="O1555">
        <v>0.15050106135007901</v>
      </c>
      <c r="P1555">
        <v>2.0375931181302296E-2</v>
      </c>
      <c r="Q1555">
        <v>1.2731525145505827E-3</v>
      </c>
      <c r="R1555">
        <v>3.7623777625355329E-3</v>
      </c>
      <c r="S1555">
        <v>0.47465706157407084</v>
      </c>
      <c r="T1555">
        <v>4.0636439940190598</v>
      </c>
      <c r="U1555">
        <v>0</v>
      </c>
      <c r="V1555">
        <v>1.1304767209823806E-2</v>
      </c>
      <c r="W1555">
        <v>0.18587157764620152</v>
      </c>
      <c r="X1555">
        <v>2.4764911531167274E-2</v>
      </c>
      <c r="Y1555">
        <v>1.0632766800879172E-2</v>
      </c>
    </row>
    <row r="1556" spans="1:25" x14ac:dyDescent="0.25">
      <c r="A1556" s="1093"/>
      <c r="B1556" s="1452">
        <v>1306</v>
      </c>
      <c r="C1556" s="1097">
        <v>1.0304220160824757</v>
      </c>
      <c r="D1556" s="1097">
        <v>1.0333196014349093</v>
      </c>
      <c r="E1556" s="1097">
        <v>1.0011835494723587</v>
      </c>
      <c r="F1556" s="1097">
        <v>0.99459473510260166</v>
      </c>
      <c r="G1556" s="1097">
        <v>0.99727761286537209</v>
      </c>
      <c r="H1556" s="1097">
        <v>0.98705454019539751</v>
      </c>
      <c r="I1556" s="1097">
        <v>1.0056606533735244</v>
      </c>
      <c r="K1556">
        <v>5.0971149684368333</v>
      </c>
      <c r="L1556">
        <v>0</v>
      </c>
      <c r="M1556">
        <v>3.3919743854956149E-3</v>
      </c>
      <c r="N1556">
        <v>0.29529155037010019</v>
      </c>
      <c r="O1556">
        <v>0.14133453350497438</v>
      </c>
      <c r="P1556">
        <v>2.0160522516055945E-2</v>
      </c>
      <c r="Q1556">
        <v>1.2498876274234755E-3</v>
      </c>
      <c r="R1556">
        <v>3.3862411757999097E-3</v>
      </c>
      <c r="S1556">
        <v>0.44408765200512651</v>
      </c>
      <c r="T1556">
        <v>3.9735872310522602</v>
      </c>
      <c r="U1556">
        <v>0</v>
      </c>
      <c r="V1556">
        <v>1.1304767209823834E-2</v>
      </c>
      <c r="W1556">
        <v>0.17575222526422793</v>
      </c>
      <c r="X1556">
        <v>2.478255600643673E-2</v>
      </c>
      <c r="Y1556">
        <v>9.5697760900943785E-3</v>
      </c>
    </row>
    <row r="1557" spans="1:25" x14ac:dyDescent="0.25">
      <c r="A1557" s="1093"/>
      <c r="B1557" s="1452">
        <v>1307</v>
      </c>
      <c r="C1557" s="1097">
        <v>0.97253931946057182</v>
      </c>
      <c r="D1557" s="1097">
        <v>1.017122209398148</v>
      </c>
      <c r="E1557" s="1097">
        <v>0.99174501336857013</v>
      </c>
      <c r="F1557" s="1097">
        <v>1.031345242689746</v>
      </c>
      <c r="G1557" s="1097">
        <v>0.98832183053431866</v>
      </c>
      <c r="H1557" s="1097">
        <v>0.97557534504762589</v>
      </c>
      <c r="I1557" s="1097">
        <v>1.0368356177626676</v>
      </c>
      <c r="K1557">
        <v>5.3599836592936283</v>
      </c>
      <c r="L1557">
        <v>0</v>
      </c>
      <c r="M1557">
        <v>3.7808077164662528E-3</v>
      </c>
      <c r="N1557">
        <v>0.32007531770732789</v>
      </c>
      <c r="O1557">
        <v>0.15654064223907233</v>
      </c>
      <c r="P1557">
        <v>2.0937465697983413E-2</v>
      </c>
      <c r="Q1557">
        <v>1.3219120438229307E-3</v>
      </c>
      <c r="R1557">
        <v>3.7745721186954249E-3</v>
      </c>
      <c r="S1557">
        <v>0.49929705497529564</v>
      </c>
      <c r="T1557">
        <v>4.1216364193565784</v>
      </c>
      <c r="U1557">
        <v>0</v>
      </c>
      <c r="V1557">
        <v>1.1304767209823813E-2</v>
      </c>
      <c r="W1557">
        <v>0.19172517400607084</v>
      </c>
      <c r="X1557">
        <v>2.6483912673040712E-2</v>
      </c>
      <c r="Y1557">
        <v>1.0667228982382076E-2</v>
      </c>
    </row>
    <row r="1558" spans="1:25" x14ac:dyDescent="0.25">
      <c r="A1558" s="1093"/>
      <c r="B1558" s="1452">
        <v>1308</v>
      </c>
      <c r="C1558" s="1097">
        <v>1.0061341576019183</v>
      </c>
      <c r="D1558" s="1097">
        <v>1.0335608915133736</v>
      </c>
      <c r="E1558" s="1097">
        <v>0.98474827975660384</v>
      </c>
      <c r="F1558" s="1097">
        <v>0.97954628083669537</v>
      </c>
      <c r="G1558" s="1097">
        <v>0.99894607172926764</v>
      </c>
      <c r="H1558" s="1097">
        <v>1.0040101482609951</v>
      </c>
      <c r="I1558" s="1097">
        <v>0.98731497730011297</v>
      </c>
      <c r="K1558">
        <v>5.0469329756246841</v>
      </c>
      <c r="L1558">
        <v>0</v>
      </c>
      <c r="M1558">
        <v>3.6022451492944796E-3</v>
      </c>
      <c r="N1558">
        <v>0.29868481551796866</v>
      </c>
      <c r="O1558">
        <v>0.14298243205170086</v>
      </c>
      <c r="P1558">
        <v>1.9651108703853643E-2</v>
      </c>
      <c r="Q1558">
        <v>1.2619579254126701E-3</v>
      </c>
      <c r="R1558">
        <v>3.5961675559083939E-3</v>
      </c>
      <c r="S1558">
        <v>0.4438350659091404</v>
      </c>
      <c r="T1558">
        <v>3.9154938818755918</v>
      </c>
      <c r="U1558">
        <v>0</v>
      </c>
      <c r="V1558">
        <v>1.130476720982381E-2</v>
      </c>
      <c r="W1558">
        <v>0.17976714082513495</v>
      </c>
      <c r="X1558">
        <v>2.3794839132043107E-2</v>
      </c>
      <c r="Y1558">
        <v>1.0163044067401894E-2</v>
      </c>
    </row>
    <row r="1559" spans="1:25" x14ac:dyDescent="0.25">
      <c r="A1559" s="1093"/>
      <c r="B1559" s="1452">
        <v>1309</v>
      </c>
      <c r="C1559" s="1097">
        <v>0.98944557346954509</v>
      </c>
      <c r="D1559" s="1097">
        <v>1.0209962112295023</v>
      </c>
      <c r="E1559" s="1097">
        <v>0.98898797005842121</v>
      </c>
      <c r="F1559" s="1097">
        <v>1.0367784287465243</v>
      </c>
      <c r="G1559" s="1097">
        <v>1.0190442388287309</v>
      </c>
      <c r="H1559" s="1097">
        <v>0.97757631878512674</v>
      </c>
      <c r="I1559" s="1097">
        <v>0.96888574933857985</v>
      </c>
      <c r="K1559">
        <v>5.334079604596762</v>
      </c>
      <c r="L1559">
        <v>0</v>
      </c>
      <c r="M1559">
        <v>3.7594587490879256E-3</v>
      </c>
      <c r="N1559">
        <v>0.31568056155220742</v>
      </c>
      <c r="O1559">
        <v>0.15452117529534787</v>
      </c>
      <c r="P1559">
        <v>2.0819439205812175E-2</v>
      </c>
      <c r="Q1559">
        <v>1.2942701129391712E-3</v>
      </c>
      <c r="R1559">
        <v>3.7533034274842155E-3</v>
      </c>
      <c r="S1559">
        <v>0.46068435771856003</v>
      </c>
      <c r="T1559">
        <v>4.1437099469352061</v>
      </c>
      <c r="U1559">
        <v>0</v>
      </c>
      <c r="V1559">
        <v>1.1304767209823815E-2</v>
      </c>
      <c r="W1559">
        <v>0.18944771881416028</v>
      </c>
      <c r="X1559">
        <v>2.6016401037076128E-2</v>
      </c>
      <c r="Y1559">
        <v>1.0607122037231437E-2</v>
      </c>
    </row>
    <row r="1560" spans="1:25" x14ac:dyDescent="0.25">
      <c r="A1560" s="1093"/>
      <c r="B1560" s="1452">
        <v>1310</v>
      </c>
      <c r="C1560" s="1097">
        <v>0.95969615365918925</v>
      </c>
      <c r="D1560" s="1097">
        <v>1.0131069063297744</v>
      </c>
      <c r="E1560" s="1097">
        <v>0.98136984227049529</v>
      </c>
      <c r="F1560" s="1097">
        <v>0.9772576898329508</v>
      </c>
      <c r="G1560" s="1097">
        <v>1.016208711719778</v>
      </c>
      <c r="H1560" s="1097">
        <v>0.98096672560798182</v>
      </c>
      <c r="I1560" s="1097">
        <v>1.0424349271626587</v>
      </c>
      <c r="K1560">
        <v>5.104839157072357</v>
      </c>
      <c r="L1560">
        <v>0</v>
      </c>
      <c r="M1560">
        <v>3.737244097813969E-3</v>
      </c>
      <c r="N1560">
        <v>0.30677468275722802</v>
      </c>
      <c r="O1560">
        <v>0.15084659362780581</v>
      </c>
      <c r="P1560">
        <v>1.9758495050416828E-2</v>
      </c>
      <c r="Q1560">
        <v>1.3297445264969865E-3</v>
      </c>
      <c r="R1560">
        <v>3.7307755348901708E-3</v>
      </c>
      <c r="S1560">
        <v>0.48768981298585795</v>
      </c>
      <c r="T1560">
        <v>3.9067636259022143</v>
      </c>
      <c r="U1560">
        <v>0</v>
      </c>
      <c r="V1560">
        <v>1.1304767209823818E-2</v>
      </c>
      <c r="W1560">
        <v>0.18506310269750709</v>
      </c>
      <c r="X1560">
        <v>2.4771344385089364E-2</v>
      </c>
      <c r="Y1560">
        <v>1.0543456492837432E-2</v>
      </c>
    </row>
    <row r="1561" spans="1:25" x14ac:dyDescent="0.25">
      <c r="A1561" s="1093"/>
      <c r="B1561" s="1452">
        <v>1311</v>
      </c>
      <c r="C1561" s="1097">
        <v>0.99708144879549576</v>
      </c>
      <c r="D1561" s="1097">
        <v>0.97590195414379677</v>
      </c>
      <c r="E1561" s="1097">
        <v>1.0326008224017129</v>
      </c>
      <c r="F1561" s="1097">
        <v>0.99521084096682466</v>
      </c>
      <c r="G1561" s="1097">
        <v>0.978381314845852</v>
      </c>
      <c r="H1561" s="1097">
        <v>0.97504738899858312</v>
      </c>
      <c r="I1561" s="1097">
        <v>1.0228393780117655</v>
      </c>
      <c r="K1561">
        <v>5.1629709842323948</v>
      </c>
      <c r="L1561">
        <v>0</v>
      </c>
      <c r="M1561">
        <v>3.3175188404209969E-3</v>
      </c>
      <c r="N1561">
        <v>0.31694248081096632</v>
      </c>
      <c r="O1561">
        <v>0.14865005183421748</v>
      </c>
      <c r="P1561">
        <v>2.0744941903733053E-2</v>
      </c>
      <c r="Q1561">
        <v>1.3572377481208505E-3</v>
      </c>
      <c r="R1561">
        <v>3.3118459343384251E-3</v>
      </c>
      <c r="S1561">
        <v>0.46994283686503602</v>
      </c>
      <c r="T1561">
        <v>3.9721543418508567</v>
      </c>
      <c r="U1561">
        <v>0</v>
      </c>
      <c r="V1561">
        <v>1.1304767209823827E-2</v>
      </c>
      <c r="W1561">
        <v>0.18471962560438177</v>
      </c>
      <c r="X1561">
        <v>2.7800843853418598E-2</v>
      </c>
      <c r="Y1561">
        <v>9.3595294579162276E-3</v>
      </c>
    </row>
    <row r="1562" spans="1:25" x14ac:dyDescent="0.25">
      <c r="A1562" s="1093"/>
      <c r="B1562" s="1452">
        <v>1312</v>
      </c>
      <c r="C1562" s="1097">
        <v>1.0084353613968209</v>
      </c>
      <c r="D1562" s="1097">
        <v>1.0312115326793085</v>
      </c>
      <c r="E1562" s="1097">
        <v>0.99940034682506962</v>
      </c>
      <c r="F1562" s="1097">
        <v>1.0147458004292127</v>
      </c>
      <c r="G1562" s="1097">
        <v>0.9984957424309544</v>
      </c>
      <c r="H1562" s="1097">
        <v>0.99714554849133463</v>
      </c>
      <c r="I1562" s="1097">
        <v>1.0038494319372675</v>
      </c>
      <c r="K1562">
        <v>5.2293246274671157</v>
      </c>
      <c r="L1562">
        <v>0</v>
      </c>
      <c r="M1562">
        <v>3.5885540621086887E-3</v>
      </c>
      <c r="N1562">
        <v>0.31077440773294474</v>
      </c>
      <c r="O1562">
        <v>0.14751171013001502</v>
      </c>
      <c r="P1562">
        <v>2.0585466365693642E-2</v>
      </c>
      <c r="Q1562">
        <v>1.2762307460723575E-3</v>
      </c>
      <c r="R1562">
        <v>3.5826690056507049E-3</v>
      </c>
      <c r="S1562">
        <v>0.46271960167289167</v>
      </c>
      <c r="T1562">
        <v>4.0543215661833161</v>
      </c>
      <c r="U1562">
        <v>0</v>
      </c>
      <c r="V1562">
        <v>1.1304767209823824E-2</v>
      </c>
      <c r="W1562">
        <v>0.18519036046576745</v>
      </c>
      <c r="X1562">
        <v>2.5521505883239856E-2</v>
      </c>
      <c r="Y1562">
        <v>1.0124896133808107E-2</v>
      </c>
    </row>
    <row r="1563" spans="1:25" x14ac:dyDescent="0.25">
      <c r="A1563" s="1093"/>
      <c r="B1563" s="1452">
        <v>1313</v>
      </c>
      <c r="C1563" s="1097">
        <v>1.0076644416724414</v>
      </c>
      <c r="D1563" s="1097">
        <v>0.99167236807006354</v>
      </c>
      <c r="E1563" s="1097">
        <v>1.0251709048905482</v>
      </c>
      <c r="F1563" s="1097">
        <v>1.0075134375682895</v>
      </c>
      <c r="G1563" s="1097">
        <v>0.97702080314747741</v>
      </c>
      <c r="H1563" s="1097">
        <v>1.0145873273954227</v>
      </c>
      <c r="I1563" s="1097">
        <v>0.99927396975632521</v>
      </c>
      <c r="K1563">
        <v>5.2229985375855241</v>
      </c>
      <c r="L1563">
        <v>0</v>
      </c>
      <c r="M1563">
        <v>3.4902703910630033E-3</v>
      </c>
      <c r="N1563">
        <v>0.32622965726409142</v>
      </c>
      <c r="O1563">
        <v>0.14816289346463979</v>
      </c>
      <c r="P1563">
        <v>2.0841934111682413E-2</v>
      </c>
      <c r="Q1563">
        <v>1.3260826565929288E-3</v>
      </c>
      <c r="R1563">
        <v>3.4846045987347168E-3</v>
      </c>
      <c r="S1563">
        <v>0.46496101509246462</v>
      </c>
      <c r="T1563">
        <v>4.0221843468138436</v>
      </c>
      <c r="U1563">
        <v>0</v>
      </c>
      <c r="V1563">
        <v>1.1304767209823827E-2</v>
      </c>
      <c r="W1563">
        <v>0.19107098640968825</v>
      </c>
      <c r="X1563">
        <v>2.7074761722020637E-2</v>
      </c>
      <c r="Y1563">
        <v>9.8477586330002285E-3</v>
      </c>
    </row>
    <row r="1564" spans="1:25" x14ac:dyDescent="0.25">
      <c r="A1564" s="1093"/>
      <c r="B1564" s="1452">
        <v>1314</v>
      </c>
      <c r="C1564" s="1097">
        <v>1.0019518459728129</v>
      </c>
      <c r="D1564" s="1097">
        <v>0.97158713797827245</v>
      </c>
      <c r="E1564" s="1097">
        <v>1.0114049048802205</v>
      </c>
      <c r="F1564" s="1097">
        <v>0.98841446484490136</v>
      </c>
      <c r="G1564" s="1097">
        <v>0.98809851220431721</v>
      </c>
      <c r="H1564" s="1097">
        <v>1.0289693697342217</v>
      </c>
      <c r="I1564" s="1097">
        <v>1.0063112489307808</v>
      </c>
      <c r="K1564">
        <v>5.1501192920565142</v>
      </c>
      <c r="L1564">
        <v>0</v>
      </c>
      <c r="M1564">
        <v>3.6251277424403715E-3</v>
      </c>
      <c r="N1564">
        <v>0.32530745423232721</v>
      </c>
      <c r="O1564">
        <v>0.14776681934625235</v>
      </c>
      <c r="P1564">
        <v>2.030469347387635E-2</v>
      </c>
      <c r="Q1564">
        <v>1.3290142946419351E-3</v>
      </c>
      <c r="R1564">
        <v>3.6192133544104741E-3</v>
      </c>
      <c r="S1564">
        <v>0.46803255552910838</v>
      </c>
      <c r="T1564">
        <v>3.9476312313821089</v>
      </c>
      <c r="U1564">
        <v>0</v>
      </c>
      <c r="V1564">
        <v>1.1304767209823811E-2</v>
      </c>
      <c r="W1564">
        <v>0.19228983939617358</v>
      </c>
      <c r="X1564">
        <v>2.5930658326798778E-2</v>
      </c>
      <c r="Y1564">
        <v>1.0228173253432253E-2</v>
      </c>
    </row>
    <row r="1565" spans="1:25" x14ac:dyDescent="0.25">
      <c r="A1565" s="1093"/>
      <c r="B1565" s="1452">
        <v>1315</v>
      </c>
      <c r="C1565" s="1097">
        <v>1.0076371747504804</v>
      </c>
      <c r="D1565" s="1097">
        <v>0.98236771102613485</v>
      </c>
      <c r="E1565" s="1097">
        <v>0.9949672739400589</v>
      </c>
      <c r="F1565" s="1097">
        <v>1.0078872153646516</v>
      </c>
      <c r="G1565" s="1097">
        <v>0.98029613381006364</v>
      </c>
      <c r="H1565" s="1097">
        <v>1.0011300544279627</v>
      </c>
      <c r="I1565" s="1097">
        <v>0.98742077186063071</v>
      </c>
      <c r="K1565">
        <v>5.2071874596806289</v>
      </c>
      <c r="L1565">
        <v>0</v>
      </c>
      <c r="M1565">
        <v>3.6858443839772486E-3</v>
      </c>
      <c r="N1565">
        <v>0.31503231156184269</v>
      </c>
      <c r="O1565">
        <v>0.14962888986458331</v>
      </c>
      <c r="P1565">
        <v>2.0374163619409733E-2</v>
      </c>
      <c r="Q1565">
        <v>1.2973274056405969E-3</v>
      </c>
      <c r="R1565">
        <v>3.6797829317782187E-3</v>
      </c>
      <c r="S1565">
        <v>0.45795498940510038</v>
      </c>
      <c r="T1565">
        <v>4.0274804518284322</v>
      </c>
      <c r="U1565">
        <v>0</v>
      </c>
      <c r="V1565">
        <v>1.1304767209823811E-2</v>
      </c>
      <c r="W1565">
        <v>0.18829203658630128</v>
      </c>
      <c r="X1565">
        <v>2.5429236148346881E-2</v>
      </c>
      <c r="Y1565">
        <v>1.0399347503341979E-2</v>
      </c>
    </row>
    <row r="1566" spans="1:25" x14ac:dyDescent="0.25">
      <c r="A1566" s="1093"/>
      <c r="B1566" s="1452">
        <v>1316</v>
      </c>
      <c r="C1566" s="1097">
        <v>0.9986834687636994</v>
      </c>
      <c r="D1566" s="1097">
        <v>0.99016543770545284</v>
      </c>
      <c r="E1566" s="1097">
        <v>1.0121197504975514</v>
      </c>
      <c r="F1566" s="1097">
        <v>1.0258642855614653</v>
      </c>
      <c r="G1566" s="1097">
        <v>0.99599053617516009</v>
      </c>
      <c r="H1566" s="1097">
        <v>1.0138326920773719</v>
      </c>
      <c r="I1566" s="1097">
        <v>0.99784621559686371</v>
      </c>
      <c r="K1566">
        <v>5.3236752423158205</v>
      </c>
      <c r="L1566">
        <v>0</v>
      </c>
      <c r="M1566">
        <v>3.6854028952437454E-3</v>
      </c>
      <c r="N1566">
        <v>0.33142891157739479</v>
      </c>
      <c r="O1566">
        <v>0.15268555645987883</v>
      </c>
      <c r="P1566">
        <v>2.1036211598135214E-2</v>
      </c>
      <c r="Q1566">
        <v>1.324104693755885E-3</v>
      </c>
      <c r="R1566">
        <v>3.679522812659717E-3</v>
      </c>
      <c r="S1566">
        <v>0.47562856829913769</v>
      </c>
      <c r="T1566">
        <v>4.0971106106778361</v>
      </c>
      <c r="U1566">
        <v>0</v>
      </c>
      <c r="V1566">
        <v>1.1304767209823827E-2</v>
      </c>
      <c r="W1566">
        <v>0.1958143657566617</v>
      </c>
      <c r="X1566">
        <v>2.6949413738918862E-2</v>
      </c>
      <c r="Y1566">
        <v>1.0398612386853934E-2</v>
      </c>
    </row>
    <row r="1567" spans="1:25" x14ac:dyDescent="0.25">
      <c r="A1567" s="1093"/>
      <c r="B1567" s="1452">
        <v>1317</v>
      </c>
      <c r="C1567" s="1097">
        <v>1.0194240614829508</v>
      </c>
      <c r="D1567" s="1097">
        <v>0.98593187645906055</v>
      </c>
      <c r="E1567" s="1097">
        <v>1.0074082718386419</v>
      </c>
      <c r="F1567" s="1097">
        <v>1.0106614809556627</v>
      </c>
      <c r="G1567" s="1097">
        <v>1.0328713297125673</v>
      </c>
      <c r="H1567" s="1097">
        <v>1.0005111874203196</v>
      </c>
      <c r="I1567" s="1097">
        <v>1.0221950161755788</v>
      </c>
      <c r="K1567">
        <v>5.2248459358200661</v>
      </c>
      <c r="L1567">
        <v>0</v>
      </c>
      <c r="M1567">
        <v>3.5514024133989379E-3</v>
      </c>
      <c r="N1567">
        <v>0.31493951829527495</v>
      </c>
      <c r="O1567">
        <v>0.14774597646258555</v>
      </c>
      <c r="P1567">
        <v>2.0658870692614611E-2</v>
      </c>
      <c r="Q1567">
        <v>1.2941865073157893E-3</v>
      </c>
      <c r="R1567">
        <v>3.5455744567836605E-3</v>
      </c>
      <c r="S1567">
        <v>0.46922713793617682</v>
      </c>
      <c r="T1567">
        <v>4.0369885414627209</v>
      </c>
      <c r="U1567">
        <v>0</v>
      </c>
      <c r="V1567">
        <v>1.1304767209823813E-2</v>
      </c>
      <c r="W1567">
        <v>0.18666167199735281</v>
      </c>
      <c r="X1567">
        <v>2.6011029106139436E-2</v>
      </c>
      <c r="Y1567">
        <v>1.0020064106675006E-2</v>
      </c>
    </row>
    <row r="1568" spans="1:25" x14ac:dyDescent="0.25">
      <c r="A1568" s="1093"/>
      <c r="B1568" s="1452">
        <v>1318</v>
      </c>
      <c r="C1568" s="1097">
        <v>1.0475275184252444</v>
      </c>
      <c r="D1568" s="1097">
        <v>1.004832109526379</v>
      </c>
      <c r="E1568" s="1097">
        <v>1.0052926047993971</v>
      </c>
      <c r="F1568" s="1097">
        <v>0.97454409430397626</v>
      </c>
      <c r="G1568" s="1097">
        <v>1.0034633068903651</v>
      </c>
      <c r="H1568" s="1097">
        <v>1.0027973722696788</v>
      </c>
      <c r="I1568" s="1097">
        <v>1.0206341798252889</v>
      </c>
      <c r="K1568">
        <v>5.0053659500892147</v>
      </c>
      <c r="L1568">
        <v>0</v>
      </c>
      <c r="M1568">
        <v>3.3299752171281095E-3</v>
      </c>
      <c r="N1568">
        <v>0.29344208068936017</v>
      </c>
      <c r="O1568">
        <v>0.13764955719269234</v>
      </c>
      <c r="P1568">
        <v>1.9840155660491472E-2</v>
      </c>
      <c r="Q1568">
        <v>1.2476804860611257E-3</v>
      </c>
      <c r="R1568">
        <v>3.3243213710344726E-3</v>
      </c>
      <c r="S1568">
        <v>0.44101956564769279</v>
      </c>
      <c r="T1568">
        <v>3.8929792616874854</v>
      </c>
      <c r="U1568">
        <v>0</v>
      </c>
      <c r="V1568">
        <v>1.1304767209823813E-2</v>
      </c>
      <c r="W1568">
        <v>0.17416814514782383</v>
      </c>
      <c r="X1568">
        <v>2.43256042194013E-2</v>
      </c>
      <c r="Y1568">
        <v>9.3947859944737942E-3</v>
      </c>
    </row>
    <row r="1569" spans="1:25" x14ac:dyDescent="0.25">
      <c r="A1569" s="1093"/>
      <c r="B1569" s="1452">
        <v>1319</v>
      </c>
      <c r="C1569" s="1097">
        <v>0.97156355598365141</v>
      </c>
      <c r="D1569" s="1097">
        <v>0.98606576314233563</v>
      </c>
      <c r="E1569" s="1097">
        <v>1.0066203186584901</v>
      </c>
      <c r="F1569" s="1097">
        <v>1.0214202167691211</v>
      </c>
      <c r="G1569" s="1097">
        <v>1.0204336237526765</v>
      </c>
      <c r="H1569" s="1097">
        <v>1.0221248063020665</v>
      </c>
      <c r="I1569" s="1097">
        <v>0.98637003513779697</v>
      </c>
      <c r="K1569">
        <v>5.3348801027843065</v>
      </c>
      <c r="L1569">
        <v>0</v>
      </c>
      <c r="M1569">
        <v>3.8534932408359271E-3</v>
      </c>
      <c r="N1569">
        <v>0.34095016689507163</v>
      </c>
      <c r="O1569">
        <v>0.15668908909594859</v>
      </c>
      <c r="P1569">
        <v>2.0909090998678739E-2</v>
      </c>
      <c r="Q1569">
        <v>1.3569535114609636E-3</v>
      </c>
      <c r="R1569">
        <v>3.84736835748407E-3</v>
      </c>
      <c r="S1569">
        <v>0.48353530579598492</v>
      </c>
      <c r="T1569">
        <v>4.0800639757111687</v>
      </c>
      <c r="U1569">
        <v>0</v>
      </c>
      <c r="V1569">
        <v>1.1304767209823822E-2</v>
      </c>
      <c r="W1569">
        <v>0.20218507320117457</v>
      </c>
      <c r="X1569">
        <v>2.7018848537418001E-2</v>
      </c>
      <c r="Y1569">
        <v>1.0872956710928701E-2</v>
      </c>
    </row>
    <row r="1570" spans="1:25" x14ac:dyDescent="0.25">
      <c r="A1570" s="1093"/>
      <c r="B1570" s="1452">
        <v>1320</v>
      </c>
      <c r="C1570" s="1097">
        <v>0.95382926535954227</v>
      </c>
      <c r="D1570" s="1097">
        <v>1.0290201859636019</v>
      </c>
      <c r="E1570" s="1097">
        <v>0.96923813082853671</v>
      </c>
      <c r="F1570" s="1097">
        <v>1.0098495736415711</v>
      </c>
      <c r="G1570" s="1097">
        <v>0.97951977348700803</v>
      </c>
      <c r="H1570" s="1097">
        <v>1.01247599979046</v>
      </c>
      <c r="I1570" s="1097">
        <v>1.0338078859317203</v>
      </c>
      <c r="K1570">
        <v>5.2895179950703231</v>
      </c>
      <c r="L1570">
        <v>0</v>
      </c>
      <c r="M1570">
        <v>4.0880281380001821E-3</v>
      </c>
      <c r="N1570">
        <v>0.32373465134561596</v>
      </c>
      <c r="O1570">
        <v>0.15621467942338924</v>
      </c>
      <c r="P1570">
        <v>2.0239677816691275E-2</v>
      </c>
      <c r="Q1570">
        <v>1.3156388586504917E-3</v>
      </c>
      <c r="R1570">
        <v>4.0813935193220212E-3</v>
      </c>
      <c r="S1570">
        <v>0.50507430218017391</v>
      </c>
      <c r="T1570">
        <v>4.0386115188859355</v>
      </c>
      <c r="U1570">
        <v>0</v>
      </c>
      <c r="V1570">
        <v>1.130476720982381E-2</v>
      </c>
      <c r="W1570">
        <v>0.19692954938379614</v>
      </c>
      <c r="X1570">
        <v>2.4565514899667896E-2</v>
      </c>
      <c r="Y1570">
        <v>1.1534329685258643E-2</v>
      </c>
    </row>
    <row r="1571" spans="1:25" x14ac:dyDescent="0.25">
      <c r="A1571" s="1093"/>
      <c r="B1571" s="1452">
        <v>1321</v>
      </c>
      <c r="C1571" s="1097">
        <v>0.98413876358507391</v>
      </c>
      <c r="D1571" s="1097">
        <v>1.01530717976271</v>
      </c>
      <c r="E1571" s="1097">
        <v>1.0432460590495716</v>
      </c>
      <c r="F1571" s="1097">
        <v>0.97061087627964981</v>
      </c>
      <c r="G1571" s="1097">
        <v>0.99663360595692529</v>
      </c>
      <c r="H1571" s="1097">
        <v>1.0060951019945976</v>
      </c>
      <c r="I1571" s="1097">
        <v>1.0076420445779348</v>
      </c>
      <c r="K1571">
        <v>5.0549735169469248</v>
      </c>
      <c r="L1571">
        <v>0</v>
      </c>
      <c r="M1571">
        <v>3.2552256957946971E-3</v>
      </c>
      <c r="N1571">
        <v>0.32093181917844421</v>
      </c>
      <c r="O1571">
        <v>0.14428435930977548</v>
      </c>
      <c r="P1571">
        <v>2.0398513180376335E-2</v>
      </c>
      <c r="Q1571">
        <v>1.3655946949975753E-3</v>
      </c>
      <c r="R1571">
        <v>3.2496945948767685E-3</v>
      </c>
      <c r="S1571">
        <v>0.46155112901856199</v>
      </c>
      <c r="T1571">
        <v>3.8726952723769781</v>
      </c>
      <c r="U1571">
        <v>0</v>
      </c>
      <c r="V1571">
        <v>1.1304767209823813E-2</v>
      </c>
      <c r="W1571">
        <v>0.18573753558264935</v>
      </c>
      <c r="X1571">
        <v>2.7526172468668453E-2</v>
      </c>
      <c r="Y1571">
        <v>9.1838850275672897E-3</v>
      </c>
    </row>
    <row r="1572" spans="1:25" x14ac:dyDescent="0.25">
      <c r="A1572" s="1093"/>
      <c r="B1572" s="1452">
        <v>1322</v>
      </c>
      <c r="C1572" s="1097">
        <v>1.0145967252829633</v>
      </c>
      <c r="D1572" s="1097">
        <v>0.99857590299675891</v>
      </c>
      <c r="E1572" s="1097">
        <v>1.0027226561335143</v>
      </c>
      <c r="F1572" s="1097">
        <v>0.97625379042423899</v>
      </c>
      <c r="G1572" s="1097">
        <v>0.96891709605313869</v>
      </c>
      <c r="H1572" s="1097">
        <v>1.0006579341505402</v>
      </c>
      <c r="I1572" s="1097">
        <v>1.0021485315650702</v>
      </c>
      <c r="K1572">
        <v>5.0409688485760213</v>
      </c>
      <c r="L1572">
        <v>0</v>
      </c>
      <c r="M1572">
        <v>3.464034987482966E-3</v>
      </c>
      <c r="N1572">
        <v>0.30294051001483335</v>
      </c>
      <c r="O1572">
        <v>0.1427915612374949</v>
      </c>
      <c r="P1572">
        <v>1.9866281492155132E-2</v>
      </c>
      <c r="Q1572">
        <v>1.2885646905091176E-3</v>
      </c>
      <c r="R1572">
        <v>3.4581512559178516E-3</v>
      </c>
      <c r="S1572">
        <v>0.44791074883078164</v>
      </c>
      <c r="T1572">
        <v>3.9001233370538149</v>
      </c>
      <c r="U1572">
        <v>0</v>
      </c>
      <c r="V1572">
        <v>1.1304767209823811E-2</v>
      </c>
      <c r="W1572">
        <v>0.18011753353074797</v>
      </c>
      <c r="X1572">
        <v>2.4858428780844443E-2</v>
      </c>
      <c r="Y1572">
        <v>9.7729994665825843E-3</v>
      </c>
    </row>
    <row r="1573" spans="1:25" x14ac:dyDescent="0.25">
      <c r="A1573" s="1093"/>
      <c r="B1573" s="1452">
        <v>1323</v>
      </c>
      <c r="C1573" s="1097">
        <v>1.0057818066268849</v>
      </c>
      <c r="D1573" s="1097">
        <v>1.0202786399129875</v>
      </c>
      <c r="E1573" s="1097">
        <v>0.97330136358130293</v>
      </c>
      <c r="F1573" s="1097">
        <v>0.99893423129361625</v>
      </c>
      <c r="G1573" s="1097">
        <v>1.018479357957101</v>
      </c>
      <c r="H1573" s="1097">
        <v>1.0022051761811228</v>
      </c>
      <c r="I1573" s="1097">
        <v>0.98853369626080334</v>
      </c>
      <c r="K1573">
        <v>5.1472208152186729</v>
      </c>
      <c r="L1573">
        <v>0</v>
      </c>
      <c r="M1573">
        <v>3.7767941738378833E-3</v>
      </c>
      <c r="N1573">
        <v>0.30270760033126698</v>
      </c>
      <c r="O1573">
        <v>0.14693389596000475</v>
      </c>
      <c r="P1573">
        <v>1.9872400325479562E-2</v>
      </c>
      <c r="Q1573">
        <v>1.2563942349116334E-3</v>
      </c>
      <c r="R1573">
        <v>3.7705343012038512E-3</v>
      </c>
      <c r="S1573">
        <v>0.45271659763553146</v>
      </c>
      <c r="T1573">
        <v>3.9944421932424077</v>
      </c>
      <c r="U1573">
        <v>0</v>
      </c>
      <c r="V1573">
        <v>1.1304767209823811E-2</v>
      </c>
      <c r="W1573">
        <v>0.18362372256940673</v>
      </c>
      <c r="X1573">
        <v>2.371368578059534E-2</v>
      </c>
      <c r="Y1573">
        <v>1.0655817801878105E-2</v>
      </c>
    </row>
    <row r="1574" spans="1:25" x14ac:dyDescent="0.25">
      <c r="A1574" s="1093"/>
      <c r="B1574" s="1452">
        <v>1324</v>
      </c>
      <c r="C1574" s="1097">
        <v>0.98581449571440416</v>
      </c>
      <c r="D1574" s="1097">
        <v>0.98195318582557489</v>
      </c>
      <c r="E1574" s="1097">
        <v>1.0231318615025826</v>
      </c>
      <c r="F1574" s="1097">
        <v>1.0198417568111104</v>
      </c>
      <c r="G1574" s="1097">
        <v>0.98536936504810546</v>
      </c>
      <c r="H1574" s="1097">
        <v>0.99346404736714222</v>
      </c>
      <c r="I1574" s="1097">
        <v>1.0136956106266182</v>
      </c>
      <c r="K1574">
        <v>5.3067773746255975</v>
      </c>
      <c r="L1574">
        <v>0</v>
      </c>
      <c r="M1574">
        <v>3.5653203184179199E-3</v>
      </c>
      <c r="N1574">
        <v>0.33123594397045869</v>
      </c>
      <c r="O1574">
        <v>0.15396429211415313</v>
      </c>
      <c r="P1574">
        <v>2.1127207053036667E-2</v>
      </c>
      <c r="Q1574">
        <v>1.3584851847249417E-3</v>
      </c>
      <c r="R1574">
        <v>3.5594809736776262E-3</v>
      </c>
      <c r="S1574">
        <v>0.48384473484971963</v>
      </c>
      <c r="T1574">
        <v>4.0716594412666884</v>
      </c>
      <c r="U1574">
        <v>0</v>
      </c>
      <c r="V1574">
        <v>1.1304767209823817E-2</v>
      </c>
      <c r="W1574">
        <v>0.19426635084497373</v>
      </c>
      <c r="X1574">
        <v>2.7962626491626983E-2</v>
      </c>
      <c r="Y1574">
        <v>1.0059364985129687E-2</v>
      </c>
    </row>
    <row r="1575" spans="1:25" x14ac:dyDescent="0.25">
      <c r="A1575" s="1093"/>
      <c r="B1575" s="1452">
        <v>1325</v>
      </c>
      <c r="C1575" s="1097">
        <v>0.98695884072599704</v>
      </c>
      <c r="D1575" s="1097">
        <v>1.0005547893798672</v>
      </c>
      <c r="E1575" s="1097">
        <v>1.0329218337691513</v>
      </c>
      <c r="F1575" s="1097">
        <v>0.99904033987988261</v>
      </c>
      <c r="G1575" s="1097">
        <v>0.97444655911384626</v>
      </c>
      <c r="H1575" s="1097">
        <v>1.0092276021758033</v>
      </c>
      <c r="I1575" s="1097">
        <v>0.99787756618844647</v>
      </c>
      <c r="K1575">
        <v>5.197909557553567</v>
      </c>
      <c r="L1575">
        <v>0</v>
      </c>
      <c r="M1575">
        <v>3.4454393736470979E-3</v>
      </c>
      <c r="N1575">
        <v>0.32949716960887754</v>
      </c>
      <c r="O1575">
        <v>0.14924658096608368</v>
      </c>
      <c r="P1575">
        <v>2.0815753043096061E-2</v>
      </c>
      <c r="Q1575">
        <v>1.3579090232351493E-3</v>
      </c>
      <c r="R1575">
        <v>3.4397690446071705E-3</v>
      </c>
      <c r="S1575">
        <v>0.46886127949097267</v>
      </c>
      <c r="T1575">
        <v>3.9873992610898759</v>
      </c>
      <c r="U1575">
        <v>0</v>
      </c>
      <c r="V1575">
        <v>1.130476720982381E-2</v>
      </c>
      <c r="W1575">
        <v>0.19199596961693058</v>
      </c>
      <c r="X1575">
        <v>2.7715487899707861E-2</v>
      </c>
      <c r="Y1575">
        <v>9.7210499340031568E-3</v>
      </c>
    </row>
    <row r="1576" spans="1:25" x14ac:dyDescent="0.25">
      <c r="A1576" s="1093"/>
      <c r="B1576" s="1452">
        <v>1326</v>
      </c>
      <c r="C1576" s="1097">
        <v>0.97912065313508501</v>
      </c>
      <c r="D1576" s="1097">
        <v>0.96836841679957397</v>
      </c>
      <c r="E1576" s="1097">
        <v>1.0280619303914142</v>
      </c>
      <c r="F1576" s="1097">
        <v>1.0114673874360298</v>
      </c>
      <c r="G1576" s="1097">
        <v>1.0010577015456952</v>
      </c>
      <c r="H1576" s="1097">
        <v>0.981719613424897</v>
      </c>
      <c r="I1576" s="1097">
        <v>0.99997522041162956</v>
      </c>
      <c r="K1576">
        <v>5.2632468125022269</v>
      </c>
      <c r="L1576">
        <v>0</v>
      </c>
      <c r="M1576">
        <v>3.5011546139638791E-3</v>
      </c>
      <c r="N1576">
        <v>0.33004085993820875</v>
      </c>
      <c r="O1576">
        <v>0.15445945011261544</v>
      </c>
      <c r="P1576">
        <v>2.1009969179141441E-2</v>
      </c>
      <c r="Q1576">
        <v>1.381145344076588E-3</v>
      </c>
      <c r="R1576">
        <v>3.4953037958988156E-3</v>
      </c>
      <c r="S1576">
        <v>0.47626794367280695</v>
      </c>
      <c r="T1576">
        <v>4.0376067391463648</v>
      </c>
      <c r="U1576">
        <v>0</v>
      </c>
      <c r="V1576">
        <v>1.1304767209823822E-2</v>
      </c>
      <c r="W1576">
        <v>0.19293257244921438</v>
      </c>
      <c r="X1576">
        <v>2.8371220887005114E-2</v>
      </c>
      <c r="Y1576">
        <v>9.8779953810310302E-3</v>
      </c>
    </row>
    <row r="1577" spans="1:25" x14ac:dyDescent="0.25">
      <c r="A1577" s="1093"/>
      <c r="B1577" s="1452">
        <v>1327</v>
      </c>
      <c r="C1577" s="1097">
        <v>0.98940503834315841</v>
      </c>
      <c r="D1577" s="1097">
        <v>0.96920324912588385</v>
      </c>
      <c r="E1577" s="1097">
        <v>1.019457907462384</v>
      </c>
      <c r="F1577" s="1097">
        <v>0.99779301711883306</v>
      </c>
      <c r="G1577" s="1097">
        <v>0.98007456857927155</v>
      </c>
      <c r="H1577" s="1097">
        <v>1.0099240036842971</v>
      </c>
      <c r="I1577" s="1097">
        <v>1.0138879609429492</v>
      </c>
      <c r="K1577">
        <v>5.2057562691108332</v>
      </c>
      <c r="L1577">
        <v>0</v>
      </c>
      <c r="M1577">
        <v>3.5794881407041727E-3</v>
      </c>
      <c r="N1577">
        <v>0.32895446792141025</v>
      </c>
      <c r="O1577">
        <v>0.150980098938647</v>
      </c>
      <c r="P1577">
        <v>2.0638883110928971E-2</v>
      </c>
      <c r="Q1577">
        <v>1.3564296131476894E-3</v>
      </c>
      <c r="R1577">
        <v>3.5735939163221869E-3</v>
      </c>
      <c r="S1577">
        <v>0.47786814128928201</v>
      </c>
      <c r="T1577">
        <v>3.9840867509716595</v>
      </c>
      <c r="U1577">
        <v>0</v>
      </c>
      <c r="V1577">
        <v>1.1304767209823801E-2</v>
      </c>
      <c r="W1577">
        <v>0.19340108017089688</v>
      </c>
      <c r="X1577">
        <v>2.7072294870908242E-2</v>
      </c>
      <c r="Y1577">
        <v>1.0099249238515417E-2</v>
      </c>
    </row>
    <row r="1578" spans="1:25" x14ac:dyDescent="0.25">
      <c r="A1578" s="1093"/>
      <c r="B1578" s="1452">
        <v>1328</v>
      </c>
      <c r="C1578" s="1097">
        <v>1.0215964928471564</v>
      </c>
      <c r="D1578" s="1097">
        <v>0.99511452053204685</v>
      </c>
      <c r="E1578" s="1097">
        <v>1.0115680793511566</v>
      </c>
      <c r="F1578" s="1097">
        <v>0.9892091031234207</v>
      </c>
      <c r="G1578" s="1097">
        <v>1.0109913984789674</v>
      </c>
      <c r="H1578" s="1097">
        <v>0.96736123106716609</v>
      </c>
      <c r="I1578" s="1097">
        <v>0.99860473605822009</v>
      </c>
      <c r="K1578">
        <v>5.0779040615844764</v>
      </c>
      <c r="L1578">
        <v>0</v>
      </c>
      <c r="M1578">
        <v>3.3122217475923094E-3</v>
      </c>
      <c r="N1578">
        <v>0.29734134576565063</v>
      </c>
      <c r="O1578">
        <v>0.14365592637729771</v>
      </c>
      <c r="P1578">
        <v>2.0204179899487106E-2</v>
      </c>
      <c r="Q1578">
        <v>1.291221885099125E-3</v>
      </c>
      <c r="R1578">
        <v>3.3064783187304308E-3</v>
      </c>
      <c r="S1578">
        <v>0.44244149513193304</v>
      </c>
      <c r="T1578">
        <v>3.9507847831039764</v>
      </c>
      <c r="U1578">
        <v>0</v>
      </c>
      <c r="V1578">
        <v>1.1304767209823822E-2</v>
      </c>
      <c r="W1578">
        <v>0.17573978849012264</v>
      </c>
      <c r="X1578">
        <v>2.5801936983535969E-2</v>
      </c>
      <c r="Y1578">
        <v>9.3443601664099686E-3</v>
      </c>
    </row>
    <row r="1579" spans="1:25" x14ac:dyDescent="0.25">
      <c r="A1579" s="1093"/>
      <c r="B1579" s="1452">
        <v>1329</v>
      </c>
      <c r="C1579" s="1097">
        <v>0.99968519103730091</v>
      </c>
      <c r="D1579" s="1097">
        <v>1.0235981069575415</v>
      </c>
      <c r="E1579" s="1097">
        <v>1.0000649699598709</v>
      </c>
      <c r="F1579" s="1097">
        <v>0.99079094866321182</v>
      </c>
      <c r="G1579" s="1097">
        <v>0.96350986824567519</v>
      </c>
      <c r="H1579" s="1097">
        <v>1.0214650083456223</v>
      </c>
      <c r="I1579" s="1097">
        <v>0.97816209297085954</v>
      </c>
      <c r="K1579">
        <v>5.1250707729289653</v>
      </c>
      <c r="L1579">
        <v>0</v>
      </c>
      <c r="M1579">
        <v>3.6265248458462536E-3</v>
      </c>
      <c r="N1579">
        <v>0.31468195517702252</v>
      </c>
      <c r="O1579">
        <v>0.14570325303483478</v>
      </c>
      <c r="P1579">
        <v>2.0105765747148716E-2</v>
      </c>
      <c r="Q1579">
        <v>1.2919590332969473E-3</v>
      </c>
      <c r="R1579">
        <v>3.6205789825448352E-3</v>
      </c>
      <c r="S1579">
        <v>0.45079674363592342</v>
      </c>
      <c r="T1579">
        <v>3.958529517814009</v>
      </c>
      <c r="U1579">
        <v>0</v>
      </c>
      <c r="V1579">
        <v>1.1304767209823827E-2</v>
      </c>
      <c r="W1579">
        <v>0.18743463647096842</v>
      </c>
      <c r="X1579">
        <v>2.4996088046432208E-2</v>
      </c>
      <c r="Y1579">
        <v>1.0232032622800738E-2</v>
      </c>
    </row>
    <row r="1580" spans="1:25" x14ac:dyDescent="0.25">
      <c r="A1580" s="1093"/>
      <c r="B1580" s="1452">
        <v>1330</v>
      </c>
      <c r="C1580" s="1097">
        <v>0.97895371358866101</v>
      </c>
      <c r="D1580" s="1097">
        <v>1.0072622654887746</v>
      </c>
      <c r="E1580" s="1097">
        <v>0.97819935887725185</v>
      </c>
      <c r="F1580" s="1097">
        <v>0.99160040276576478</v>
      </c>
      <c r="G1580" s="1097">
        <v>1.039488429859871</v>
      </c>
      <c r="H1580" s="1097">
        <v>1.0229532508518058</v>
      </c>
      <c r="I1580" s="1097">
        <v>1.0310003057778943</v>
      </c>
      <c r="K1580">
        <v>5.1806274729139989</v>
      </c>
      <c r="L1580">
        <v>0</v>
      </c>
      <c r="M1580">
        <v>3.9114438834871772E-3</v>
      </c>
      <c r="N1580">
        <v>0.31809774813012398</v>
      </c>
      <c r="O1580">
        <v>0.15048629769591765</v>
      </c>
      <c r="P1580">
        <v>1.9967868699484456E-2</v>
      </c>
      <c r="Q1580">
        <v>1.3030153034808362E-3</v>
      </c>
      <c r="R1580">
        <v>3.9050454301988442E-3</v>
      </c>
      <c r="S1580">
        <v>0.48737422720185508</v>
      </c>
      <c r="T1580">
        <v>3.9644996649084119</v>
      </c>
      <c r="U1580">
        <v>0</v>
      </c>
      <c r="V1580">
        <v>1.1304767209823822E-2</v>
      </c>
      <c r="W1580">
        <v>0.19231113498082458</v>
      </c>
      <c r="X1580">
        <v>2.425319071550518E-2</v>
      </c>
      <c r="Y1580">
        <v>1.1035956521856847E-2</v>
      </c>
    </row>
    <row r="1581" spans="1:25" x14ac:dyDescent="0.25">
      <c r="A1581" s="1093"/>
      <c r="B1581" s="1452">
        <v>1331</v>
      </c>
      <c r="C1581" s="1097">
        <v>0.99943587402674894</v>
      </c>
      <c r="D1581" s="1097">
        <v>0.98006439738946793</v>
      </c>
      <c r="E1581" s="1097">
        <v>0.97335212158694662</v>
      </c>
      <c r="F1581" s="1097">
        <v>1.0301470518896829</v>
      </c>
      <c r="G1581" s="1097">
        <v>0.97562878034622647</v>
      </c>
      <c r="H1581" s="1097">
        <v>0.96936100364658717</v>
      </c>
      <c r="I1581" s="1097">
        <v>0.9719432706331318</v>
      </c>
      <c r="K1581">
        <v>5.2963860376400094</v>
      </c>
      <c r="L1581">
        <v>0</v>
      </c>
      <c r="M1581">
        <v>3.8519529697854057E-3</v>
      </c>
      <c r="N1581">
        <v>0.30877671952341557</v>
      </c>
      <c r="O1581">
        <v>0.15495825785680142</v>
      </c>
      <c r="P1581">
        <v>2.0448926303492754E-2</v>
      </c>
      <c r="Q1581">
        <v>1.2849305817464202E-3</v>
      </c>
      <c r="R1581">
        <v>3.845551882003263E-3</v>
      </c>
      <c r="S1581">
        <v>0.45708394615780246</v>
      </c>
      <c r="T1581">
        <v>4.1192463733389539</v>
      </c>
      <c r="U1581">
        <v>0</v>
      </c>
      <c r="V1581">
        <v>1.1304767209823832E-2</v>
      </c>
      <c r="W1581">
        <v>0.18729873284750073</v>
      </c>
      <c r="X1581">
        <v>2.5121961695705165E-2</v>
      </c>
      <c r="Y1581">
        <v>1.08678232125386E-2</v>
      </c>
    </row>
    <row r="1582" spans="1:25" x14ac:dyDescent="0.25">
      <c r="A1582" s="1093"/>
      <c r="B1582" s="1452">
        <v>1332</v>
      </c>
      <c r="C1582" s="1097">
        <v>0.99286492854778485</v>
      </c>
      <c r="D1582" s="1097">
        <v>0.9907939383954546</v>
      </c>
      <c r="E1582" s="1097">
        <v>1.0113518079141643</v>
      </c>
      <c r="F1582" s="1097">
        <v>0.98489658564325444</v>
      </c>
      <c r="G1582" s="1097">
        <v>1.0315292474755451</v>
      </c>
      <c r="H1582" s="1097">
        <v>0.99913746429474759</v>
      </c>
      <c r="I1582" s="1097">
        <v>1.0086438397184305</v>
      </c>
      <c r="K1582">
        <v>5.1157733076863101</v>
      </c>
      <c r="L1582">
        <v>0</v>
      </c>
      <c r="M1582">
        <v>3.5124079254870108E-3</v>
      </c>
      <c r="N1582">
        <v>0.31512552620920098</v>
      </c>
      <c r="O1582">
        <v>0.14743101186608967</v>
      </c>
      <c r="P1582">
        <v>2.0223377270523077E-2</v>
      </c>
      <c r="Q1582">
        <v>1.3306568612054296E-3</v>
      </c>
      <c r="R1582">
        <v>3.5064852967809129E-3</v>
      </c>
      <c r="S1582">
        <v>0.46452029330197347</v>
      </c>
      <c r="T1582">
        <v>3.9335876946189576</v>
      </c>
      <c r="U1582">
        <v>0</v>
      </c>
      <c r="V1582">
        <v>1.1304767209823824E-2</v>
      </c>
      <c r="W1582">
        <v>0.18627791633647359</v>
      </c>
      <c r="X1582">
        <v>2.6068391484574793E-2</v>
      </c>
      <c r="Y1582">
        <v>9.9095951561910499E-3</v>
      </c>
    </row>
    <row r="1583" spans="1:25" x14ac:dyDescent="0.25">
      <c r="A1583" s="1093"/>
      <c r="B1583" s="1452">
        <v>1333</v>
      </c>
      <c r="C1583" s="1097">
        <v>1.0276675034549339</v>
      </c>
      <c r="D1583" s="1097">
        <v>0.96524746519475757</v>
      </c>
      <c r="E1583" s="1097">
        <v>1.0383400233752942</v>
      </c>
      <c r="F1583" s="1097">
        <v>1.0077575918649833</v>
      </c>
      <c r="G1583" s="1097">
        <v>1.0123949931957501</v>
      </c>
      <c r="H1583" s="1097">
        <v>0.97338622290684518</v>
      </c>
      <c r="I1583" s="1097">
        <v>1.0060247212738551</v>
      </c>
      <c r="K1583">
        <v>5.1884246707735793</v>
      </c>
      <c r="L1583">
        <v>0</v>
      </c>
      <c r="M1583">
        <v>3.228588259398861E-3</v>
      </c>
      <c r="N1583">
        <v>0.31372819634044091</v>
      </c>
      <c r="O1583">
        <v>0.14652787846709889</v>
      </c>
      <c r="P1583">
        <v>2.0986720236343855E-2</v>
      </c>
      <c r="Q1583">
        <v>1.3290141367793705E-3</v>
      </c>
      <c r="R1583">
        <v>3.2231267407301159E-3</v>
      </c>
      <c r="S1583">
        <v>0.45384552558333169</v>
      </c>
      <c r="T1583">
        <v>4.0215178183729563</v>
      </c>
      <c r="U1583">
        <v>0</v>
      </c>
      <c r="V1583">
        <v>1.130476720982382E-2</v>
      </c>
      <c r="W1583">
        <v>0.18215512827330316</v>
      </c>
      <c r="X1583">
        <v>2.7926281428774506E-2</v>
      </c>
      <c r="Y1583">
        <v>9.1088022433891379E-3</v>
      </c>
    </row>
    <row r="1584" spans="1:25" x14ac:dyDescent="0.25">
      <c r="A1584" s="1093"/>
      <c r="B1584" s="1452">
        <v>1334</v>
      </c>
      <c r="C1584" s="1097">
        <v>0.96695274373953854</v>
      </c>
      <c r="D1584" s="1097">
        <v>0.99141216232840723</v>
      </c>
      <c r="E1584" s="1097">
        <v>0.98231814980632548</v>
      </c>
      <c r="F1584" s="1097">
        <v>0.97931271862300084</v>
      </c>
      <c r="G1584" s="1097">
        <v>0.99446953164811203</v>
      </c>
      <c r="H1584" s="1097">
        <v>1.0099498276604513</v>
      </c>
      <c r="I1584" s="1097">
        <v>1.002642655038162</v>
      </c>
      <c r="K1584">
        <v>5.1162587462207121</v>
      </c>
      <c r="L1584">
        <v>0</v>
      </c>
      <c r="M1584">
        <v>3.8524038217975435E-3</v>
      </c>
      <c r="N1584">
        <v>0.31713554476353167</v>
      </c>
      <c r="O1584">
        <v>0.15130726026235208</v>
      </c>
      <c r="P1584">
        <v>1.9747098689317687E-2</v>
      </c>
      <c r="Q1584">
        <v>1.3323373464473084E-3</v>
      </c>
      <c r="R1584">
        <v>3.8459408557642871E-3</v>
      </c>
      <c r="S1584">
        <v>0.47389183895313791</v>
      </c>
      <c r="T1584">
        <v>3.9148613810448243</v>
      </c>
      <c r="U1584">
        <v>0</v>
      </c>
      <c r="V1584">
        <v>1.130476720982382E-2</v>
      </c>
      <c r="W1584">
        <v>0.19118923293228959</v>
      </c>
      <c r="X1584">
        <v>2.4626825502932659E-2</v>
      </c>
      <c r="Y1584">
        <v>1.0868922482083997E-2</v>
      </c>
    </row>
    <row r="1585" spans="1:25" x14ac:dyDescent="0.25">
      <c r="A1585" s="1093"/>
      <c r="B1585" s="1452">
        <v>1335</v>
      </c>
      <c r="C1585" s="1097">
        <v>1.0001578482933304</v>
      </c>
      <c r="D1585" s="1097">
        <v>0.9678915181732054</v>
      </c>
      <c r="E1585" s="1097">
        <v>0.97800697680639304</v>
      </c>
      <c r="F1585" s="1097">
        <v>1.0245192572088599</v>
      </c>
      <c r="G1585" s="1097">
        <v>1.0052997825759604</v>
      </c>
      <c r="H1585" s="1097">
        <v>0.9910424426872847</v>
      </c>
      <c r="I1585" s="1097">
        <v>1.0050981582230381</v>
      </c>
      <c r="K1585">
        <v>5.303617057786318</v>
      </c>
      <c r="L1585">
        <v>0</v>
      </c>
      <c r="M1585">
        <v>3.8951928217149569E-3</v>
      </c>
      <c r="N1585">
        <v>0.3165957949740415</v>
      </c>
      <c r="O1585">
        <v>0.15463790291606505</v>
      </c>
      <c r="P1585">
        <v>2.0500900234702156E-2</v>
      </c>
      <c r="Q1585">
        <v>1.2956773512348735E-3</v>
      </c>
      <c r="R1585">
        <v>3.8888267677800949E-3</v>
      </c>
      <c r="S1585">
        <v>0.47555829061102772</v>
      </c>
      <c r="T1585">
        <v>4.0961369427773562</v>
      </c>
      <c r="U1585">
        <v>0</v>
      </c>
      <c r="V1585">
        <v>1.130476720982381E-2</v>
      </c>
      <c r="W1585">
        <v>0.19142836753516429</v>
      </c>
      <c r="X1585">
        <v>2.5174658887217576E-2</v>
      </c>
      <c r="Y1585">
        <v>1.0990121343625163E-2</v>
      </c>
    </row>
    <row r="1586" spans="1:25" x14ac:dyDescent="0.25">
      <c r="A1586" s="1093"/>
      <c r="B1586" s="1452">
        <v>1336</v>
      </c>
      <c r="C1586" s="1097">
        <v>1.006427765222943</v>
      </c>
      <c r="D1586" s="1097">
        <v>0.96906921620322362</v>
      </c>
      <c r="E1586" s="1097">
        <v>1.0026007919905839</v>
      </c>
      <c r="F1586" s="1097">
        <v>0.96542366414045022</v>
      </c>
      <c r="G1586" s="1097">
        <v>0.99138655083666116</v>
      </c>
      <c r="H1586" s="1097">
        <v>0.95878102742765869</v>
      </c>
      <c r="I1586" s="1097">
        <v>1.0294732901539454</v>
      </c>
      <c r="K1586">
        <v>4.9894039275268769</v>
      </c>
      <c r="L1586">
        <v>0</v>
      </c>
      <c r="M1586">
        <v>3.3497500922599587E-3</v>
      </c>
      <c r="N1586">
        <v>0.29281262271415209</v>
      </c>
      <c r="O1586">
        <v>0.14407513729875576</v>
      </c>
      <c r="P1586">
        <v>1.9697478032918228E-2</v>
      </c>
      <c r="Q1586">
        <v>1.3145657269313495E-3</v>
      </c>
      <c r="R1586">
        <v>3.343745469708761E-3</v>
      </c>
      <c r="S1586">
        <v>0.45450933985570274</v>
      </c>
      <c r="T1586">
        <v>3.8568718525244949</v>
      </c>
      <c r="U1586">
        <v>0</v>
      </c>
      <c r="V1586">
        <v>1.1304767209823837E-2</v>
      </c>
      <c r="W1586">
        <v>0.17411017003938736</v>
      </c>
      <c r="X1586">
        <v>2.5264318766966228E-2</v>
      </c>
      <c r="Y1586">
        <v>9.4496799802871144E-3</v>
      </c>
    </row>
    <row r="1587" spans="1:25" x14ac:dyDescent="0.25">
      <c r="A1587" s="1093"/>
      <c r="B1587" s="1452">
        <v>1337</v>
      </c>
      <c r="C1587" s="1097">
        <v>0.95901329021933179</v>
      </c>
      <c r="D1587" s="1097">
        <v>0.97851575535818336</v>
      </c>
      <c r="E1587" s="1097">
        <v>1.027162963708333</v>
      </c>
      <c r="F1587" s="1097">
        <v>1.0373069020188914</v>
      </c>
      <c r="G1587" s="1097">
        <v>1.0251655200754903</v>
      </c>
      <c r="H1587" s="1097">
        <v>0.98467255977264201</v>
      </c>
      <c r="I1587" s="1097">
        <v>0.97456932116359163</v>
      </c>
      <c r="K1587">
        <v>5.4061372741364302</v>
      </c>
      <c r="L1587">
        <v>0</v>
      </c>
      <c r="M1587">
        <v>3.6684249276731206E-3</v>
      </c>
      <c r="N1587">
        <v>0.34490686101227258</v>
      </c>
      <c r="O1587">
        <v>0.16108095906432907</v>
      </c>
      <c r="P1587">
        <v>2.150944761718248E-2</v>
      </c>
      <c r="Q1587">
        <v>1.4031732590930757E-3</v>
      </c>
      <c r="R1587">
        <v>3.6624649732694601E-3</v>
      </c>
      <c r="S1587">
        <v>0.48361666432911621</v>
      </c>
      <c r="T1587">
        <v>4.1408692626865111</v>
      </c>
      <c r="U1587">
        <v>0</v>
      </c>
      <c r="V1587">
        <v>1.130476720982381E-2</v>
      </c>
      <c r="W1587">
        <v>0.20174309069871041</v>
      </c>
      <c r="X1587">
        <v>2.9358602583364025E-2</v>
      </c>
      <c r="Y1587">
        <v>1.0350405630432638E-2</v>
      </c>
    </row>
    <row r="1588" spans="1:25" x14ac:dyDescent="0.25">
      <c r="A1588" s="1093"/>
      <c r="B1588" s="1452">
        <v>1338</v>
      </c>
      <c r="C1588" s="1097">
        <v>0.99411410202844153</v>
      </c>
      <c r="D1588" s="1097">
        <v>0.99754986243484678</v>
      </c>
      <c r="E1588" s="1097">
        <v>1.0040151925330352</v>
      </c>
      <c r="F1588" s="1097">
        <v>0.9801378540107295</v>
      </c>
      <c r="G1588" s="1097">
        <v>0.98193931109787069</v>
      </c>
      <c r="H1588" s="1097">
        <v>0.99791038865158499</v>
      </c>
      <c r="I1588" s="1097">
        <v>1.0132289898549058</v>
      </c>
      <c r="K1588">
        <v>5.0873841106685802</v>
      </c>
      <c r="L1588">
        <v>0</v>
      </c>
      <c r="M1588">
        <v>3.5315285547710615E-3</v>
      </c>
      <c r="N1588">
        <v>0.3100284294544482</v>
      </c>
      <c r="O1588">
        <v>0.14633810012878981</v>
      </c>
      <c r="P1588">
        <v>2.0025689680300999E-2</v>
      </c>
      <c r="Q1588">
        <v>1.3171101389382893E-3</v>
      </c>
      <c r="R1588">
        <v>3.5255374640220725E-3</v>
      </c>
      <c r="S1588">
        <v>0.46330835297214584</v>
      </c>
      <c r="T1588">
        <v>3.9154813227299878</v>
      </c>
      <c r="U1588">
        <v>0</v>
      </c>
      <c r="V1588">
        <v>1.1304767209823836E-2</v>
      </c>
      <c r="W1588">
        <v>0.18417116230405275</v>
      </c>
      <c r="X1588">
        <v>2.5451729105458735E-2</v>
      </c>
      <c r="Y1588">
        <v>9.9634380353787293E-3</v>
      </c>
    </row>
    <row r="1589" spans="1:25" x14ac:dyDescent="0.25">
      <c r="A1589" s="1093"/>
      <c r="B1589" s="1452">
        <v>1339</v>
      </c>
      <c r="C1589" s="1097">
        <v>0.99298939558783694</v>
      </c>
      <c r="D1589" s="1097">
        <v>1.0345048821517526</v>
      </c>
      <c r="E1589" s="1097">
        <v>0.97242672071165492</v>
      </c>
      <c r="F1589" s="1097">
        <v>0.97619808281866272</v>
      </c>
      <c r="G1589" s="1097">
        <v>0.98818593592755233</v>
      </c>
      <c r="H1589" s="1097">
        <v>1.0206930640731755</v>
      </c>
      <c r="I1589" s="1097">
        <v>1.0112415256557405</v>
      </c>
      <c r="K1589">
        <v>5.0637696568221697</v>
      </c>
      <c r="L1589">
        <v>0</v>
      </c>
      <c r="M1589">
        <v>3.7934108834654233E-3</v>
      </c>
      <c r="N1589">
        <v>0.30324855274581602</v>
      </c>
      <c r="O1589">
        <v>0.14465969705431542</v>
      </c>
      <c r="P1589">
        <v>1.9497241900831627E-2</v>
      </c>
      <c r="Q1589">
        <v>1.2645859979037019E-3</v>
      </c>
      <c r="R1589">
        <v>3.7870938135029274E-3</v>
      </c>
      <c r="S1589">
        <v>0.46227292102103568</v>
      </c>
      <c r="T1589">
        <v>3.9036356302334116</v>
      </c>
      <c r="U1589">
        <v>0</v>
      </c>
      <c r="V1589">
        <v>1.1304767209823822E-2</v>
      </c>
      <c r="W1589">
        <v>0.18406267049295902</v>
      </c>
      <c r="X1589">
        <v>2.3127290988137962E-2</v>
      </c>
      <c r="Y1589">
        <v>1.0702616247894254E-2</v>
      </c>
    </row>
    <row r="1590" spans="1:25" x14ac:dyDescent="0.25">
      <c r="A1590" s="1093"/>
      <c r="B1590" s="1452">
        <v>1340</v>
      </c>
      <c r="C1590" s="1097">
        <v>1.007129054053775</v>
      </c>
      <c r="D1590" s="1097">
        <v>0.95558323498921016</v>
      </c>
      <c r="E1590" s="1097">
        <v>0.96756970862695779</v>
      </c>
      <c r="F1590" s="1097">
        <v>0.99660181358111999</v>
      </c>
      <c r="G1590" s="1097">
        <v>1.0399884212510382</v>
      </c>
      <c r="H1590" s="1097">
        <v>1.0002853171248149</v>
      </c>
      <c r="I1590" s="1097">
        <v>0.97432661383844854</v>
      </c>
      <c r="K1590">
        <v>5.1483045566120094</v>
      </c>
      <c r="L1590">
        <v>0</v>
      </c>
      <c r="M1590">
        <v>3.9020559122511056E-3</v>
      </c>
      <c r="N1590">
        <v>0.30746717087972986</v>
      </c>
      <c r="O1590">
        <v>0.1504421345062146</v>
      </c>
      <c r="P1590">
        <v>1.9736082304896208E-2</v>
      </c>
      <c r="Q1590">
        <v>1.2815947356671494E-3</v>
      </c>
      <c r="R1590">
        <v>3.8955608704685581E-3</v>
      </c>
      <c r="S1590">
        <v>0.45021229537260399</v>
      </c>
      <c r="T1590">
        <v>3.9858426493793471</v>
      </c>
      <c r="U1590">
        <v>0</v>
      </c>
      <c r="V1590">
        <v>1.1304767209823801E-2</v>
      </c>
      <c r="W1590">
        <v>0.18724957287610119</v>
      </c>
      <c r="X1590">
        <v>2.3765631957462074E-2</v>
      </c>
      <c r="Y1590">
        <v>1.1009152431947181E-2</v>
      </c>
    </row>
    <row r="1591" spans="1:25" x14ac:dyDescent="0.25">
      <c r="A1591" s="1093"/>
      <c r="B1591" s="1452">
        <v>1341</v>
      </c>
      <c r="C1591" s="1097">
        <v>1.0340901688070423</v>
      </c>
      <c r="D1591" s="1097">
        <v>0.97081674418960151</v>
      </c>
      <c r="E1591" s="1097">
        <v>0.99224485775352855</v>
      </c>
      <c r="F1591" s="1097">
        <v>0.96390743504808107</v>
      </c>
      <c r="G1591" s="1097">
        <v>0.98022317914065127</v>
      </c>
      <c r="H1591" s="1097">
        <v>0.9818240493777397</v>
      </c>
      <c r="I1591" s="1097">
        <v>0.9736200998806509</v>
      </c>
      <c r="K1591">
        <v>4.940754464443045</v>
      </c>
      <c r="L1591">
        <v>0</v>
      </c>
      <c r="M1591">
        <v>3.4042708963926385E-3</v>
      </c>
      <c r="N1591">
        <v>0.28859583627532825</v>
      </c>
      <c r="O1591">
        <v>0.14017185855318484</v>
      </c>
      <c r="P1591">
        <v>1.9375162167608411E-2</v>
      </c>
      <c r="Q1591">
        <v>1.2671635311510235E-3</v>
      </c>
      <c r="R1591">
        <v>3.3983024043586539E-3</v>
      </c>
      <c r="S1591">
        <v>0.4216221925232187</v>
      </c>
      <c r="T1591">
        <v>3.8520693188648916</v>
      </c>
      <c r="U1591">
        <v>0</v>
      </c>
      <c r="V1591">
        <v>1.1304767209823827E-2</v>
      </c>
      <c r="W1591">
        <v>0.17281024977844744</v>
      </c>
      <c r="X1591">
        <v>2.3940021988587846E-2</v>
      </c>
      <c r="Y1591">
        <v>9.603862042832631E-3</v>
      </c>
    </row>
    <row r="1592" spans="1:25" x14ac:dyDescent="0.25">
      <c r="A1592" s="1093"/>
      <c r="B1592" s="1452">
        <v>1342</v>
      </c>
      <c r="C1592" s="1097">
        <v>0.98057266728666848</v>
      </c>
      <c r="D1592" s="1097">
        <v>0.98972818993771283</v>
      </c>
      <c r="E1592" s="1097">
        <v>0.99485126662456702</v>
      </c>
      <c r="F1592" s="1097">
        <v>0.99305201282669042</v>
      </c>
      <c r="G1592" s="1097">
        <v>0.98438870751185481</v>
      </c>
      <c r="H1592" s="1097">
        <v>1.0080820128562646</v>
      </c>
      <c r="I1592" s="1097">
        <v>0.99406872764230769</v>
      </c>
      <c r="K1592">
        <v>5.1682125033251998</v>
      </c>
      <c r="L1592">
        <v>0</v>
      </c>
      <c r="M1592">
        <v>3.7475442749113808E-3</v>
      </c>
      <c r="N1592">
        <v>0.32019156018531247</v>
      </c>
      <c r="O1592">
        <v>0.15104717515146807</v>
      </c>
      <c r="P1592">
        <v>2.0151891266004536E-2</v>
      </c>
      <c r="Q1592">
        <v>1.3290273787068629E-3</v>
      </c>
      <c r="R1592">
        <v>3.7413325766089221E-3</v>
      </c>
      <c r="S1592">
        <v>0.46854534628568589</v>
      </c>
      <c r="T1592">
        <v>3.9682140235218628</v>
      </c>
      <c r="U1592">
        <v>0</v>
      </c>
      <c r="V1592">
        <v>1.1304767209823824E-2</v>
      </c>
      <c r="W1592">
        <v>0.19139073164014117</v>
      </c>
      <c r="X1592">
        <v>2.5470900885765164E-2</v>
      </c>
      <c r="Y1592">
        <v>1.0573291498726631E-2</v>
      </c>
    </row>
    <row r="1593" spans="1:25" x14ac:dyDescent="0.25">
      <c r="A1593" s="1093"/>
      <c r="B1593" s="1452">
        <v>1343</v>
      </c>
      <c r="C1593" s="1097">
        <v>0.96402012750083266</v>
      </c>
      <c r="D1593" s="1097">
        <v>1.0078200797282511</v>
      </c>
      <c r="E1593" s="1097">
        <v>0.99538112181409533</v>
      </c>
      <c r="F1593" s="1097">
        <v>0.9740884988531977</v>
      </c>
      <c r="G1593" s="1097">
        <v>0.97851540042871687</v>
      </c>
      <c r="H1593" s="1097">
        <v>0.97521967269208043</v>
      </c>
      <c r="I1593" s="1097">
        <v>0.95513871309863696</v>
      </c>
      <c r="K1593">
        <v>5.0432875067008727</v>
      </c>
      <c r="L1593">
        <v>0</v>
      </c>
      <c r="M1593">
        <v>3.5872077325612081E-3</v>
      </c>
      <c r="N1593">
        <v>0.30694666094165729</v>
      </c>
      <c r="O1593">
        <v>0.14960384727975559</v>
      </c>
      <c r="P1593">
        <v>1.9700618651972451E-2</v>
      </c>
      <c r="Q1593">
        <v>1.342698832503593E-3</v>
      </c>
      <c r="R1593">
        <v>3.5809419838396372E-3</v>
      </c>
      <c r="S1593">
        <v>0.44305990196608858</v>
      </c>
      <c r="T1593">
        <v>3.892371288451939</v>
      </c>
      <c r="U1593">
        <v>0</v>
      </c>
      <c r="V1593">
        <v>1.1304767209823822E-2</v>
      </c>
      <c r="W1593">
        <v>0.18340783803631819</v>
      </c>
      <c r="X1593">
        <v>2.5436135641211097E-2</v>
      </c>
      <c r="Y1593">
        <v>1.0120015438318149E-2</v>
      </c>
    </row>
    <row r="1594" spans="1:25" x14ac:dyDescent="0.25">
      <c r="A1594" s="1093"/>
      <c r="B1594" s="1452">
        <v>1344</v>
      </c>
      <c r="C1594" s="1097">
        <v>1.0315497782672058</v>
      </c>
      <c r="D1594" s="1097">
        <v>0.9957297232263792</v>
      </c>
      <c r="E1594" s="1097">
        <v>0.97171832607995623</v>
      </c>
      <c r="F1594" s="1097">
        <v>1.0005429830260397</v>
      </c>
      <c r="G1594" s="1097">
        <v>1.0236417015144561</v>
      </c>
      <c r="H1594" s="1097">
        <v>1.0254900266229396</v>
      </c>
      <c r="I1594" s="1097">
        <v>0.97574683055116385</v>
      </c>
      <c r="K1594">
        <v>5.145145668843802</v>
      </c>
      <c r="L1594">
        <v>0</v>
      </c>
      <c r="M1594">
        <v>3.823683124539453E-3</v>
      </c>
      <c r="N1594">
        <v>0.30504098712895689</v>
      </c>
      <c r="O1594">
        <v>0.14494177120643181</v>
      </c>
      <c r="P1594">
        <v>1.9832432016405239E-2</v>
      </c>
      <c r="Q1594">
        <v>1.235295361337791E-3</v>
      </c>
      <c r="R1594">
        <v>3.817499379437244E-3</v>
      </c>
      <c r="S1594">
        <v>0.4425060457347047</v>
      </c>
      <c r="T1594">
        <v>4.0010765375065036</v>
      </c>
      <c r="U1594">
        <v>0</v>
      </c>
      <c r="V1594">
        <v>1.1304767209823817E-2</v>
      </c>
      <c r="W1594">
        <v>0.18524099506791855</v>
      </c>
      <c r="X1594">
        <v>2.3184476658242435E-2</v>
      </c>
      <c r="Y1594">
        <v>1.078854469857978E-2</v>
      </c>
    </row>
    <row r="1595" spans="1:25" x14ac:dyDescent="0.25">
      <c r="A1595" s="1093"/>
      <c r="B1595" s="1452">
        <v>1345</v>
      </c>
      <c r="C1595" s="1097">
        <v>0.97847827675159982</v>
      </c>
      <c r="D1595" s="1097">
        <v>0.96966613908583688</v>
      </c>
      <c r="E1595" s="1097">
        <v>1.00893709621971</v>
      </c>
      <c r="F1595" s="1097">
        <v>0.95520139938600612</v>
      </c>
      <c r="G1595" s="1097">
        <v>1.0346609518438534</v>
      </c>
      <c r="H1595" s="1097">
        <v>0.97938134146698919</v>
      </c>
      <c r="I1595" s="1097">
        <v>0.98051306611556921</v>
      </c>
      <c r="K1595">
        <v>4.961499874331988</v>
      </c>
      <c r="L1595">
        <v>0</v>
      </c>
      <c r="M1595">
        <v>3.4352151829710022E-3</v>
      </c>
      <c r="N1595">
        <v>0.30597760798919066</v>
      </c>
      <c r="O1595">
        <v>0.14641100086086908</v>
      </c>
      <c r="P1595">
        <v>1.9556497133509435E-2</v>
      </c>
      <c r="Q1595">
        <v>1.3591159706832893E-3</v>
      </c>
      <c r="R1595">
        <v>3.4291224820555085E-3</v>
      </c>
      <c r="S1595">
        <v>0.44504423671262294</v>
      </c>
      <c r="T1595">
        <v>3.8152760205564862</v>
      </c>
      <c r="U1595">
        <v>0</v>
      </c>
      <c r="V1595">
        <v>1.1304767209823837E-2</v>
      </c>
      <c r="W1595">
        <v>0.18116377574798692</v>
      </c>
      <c r="X1595">
        <v>2.5721982916319889E-2</v>
      </c>
      <c r="Y1595">
        <v>9.69096193540556E-3</v>
      </c>
    </row>
    <row r="1596" spans="1:25" x14ac:dyDescent="0.25">
      <c r="A1596" s="1093"/>
      <c r="B1596" s="1452">
        <v>1346</v>
      </c>
      <c r="C1596" s="1097">
        <v>1.0174879462303037</v>
      </c>
      <c r="D1596" s="1097">
        <v>1.0077337124592074</v>
      </c>
      <c r="E1596" s="1097">
        <v>0.97108035354885824</v>
      </c>
      <c r="F1596" s="1097">
        <v>0.99840468495800916</v>
      </c>
      <c r="G1596" s="1097">
        <v>0.97506659760941894</v>
      </c>
      <c r="H1596" s="1097">
        <v>1.0049278410610911</v>
      </c>
      <c r="I1596" s="1097">
        <v>0.99408431375120521</v>
      </c>
      <c r="K1596">
        <v>5.1399442302515004</v>
      </c>
      <c r="L1596">
        <v>0</v>
      </c>
      <c r="M1596">
        <v>3.7776157457457605E-3</v>
      </c>
      <c r="N1596">
        <v>0.30078451126412642</v>
      </c>
      <c r="O1596">
        <v>0.14594703182507371</v>
      </c>
      <c r="P1596">
        <v>1.9824666329704376E-2</v>
      </c>
      <c r="Q1596">
        <v>1.2456848185407837E-3</v>
      </c>
      <c r="R1596">
        <v>3.7713681686307727E-3</v>
      </c>
      <c r="S1596">
        <v>0.45140274814210124</v>
      </c>
      <c r="T1596">
        <v>3.9926067284448261</v>
      </c>
      <c r="U1596">
        <v>0</v>
      </c>
      <c r="V1596">
        <v>1.1304767209823822E-2</v>
      </c>
      <c r="W1596">
        <v>0.18273650825620075</v>
      </c>
      <c r="X1596">
        <v>2.3439657163327396E-2</v>
      </c>
      <c r="Y1596">
        <v>1.0658174374889355E-2</v>
      </c>
    </row>
    <row r="1597" spans="1:25" x14ac:dyDescent="0.25">
      <c r="A1597" s="1093"/>
      <c r="B1597" s="1452">
        <v>1347</v>
      </c>
      <c r="C1597" s="1097">
        <v>1.0075607444341612</v>
      </c>
      <c r="D1597" s="1097">
        <v>1.0179560937730643</v>
      </c>
      <c r="E1597" s="1097">
        <v>0.99030445999681804</v>
      </c>
      <c r="F1597" s="1097">
        <v>0.98348173222900737</v>
      </c>
      <c r="G1597" s="1097">
        <v>1.0336788443164295</v>
      </c>
      <c r="H1597" s="1097">
        <v>0.99851538145280094</v>
      </c>
      <c r="I1597" s="1097">
        <v>1.0015716565056916</v>
      </c>
      <c r="K1597">
        <v>5.0744960831923063</v>
      </c>
      <c r="L1597">
        <v>0</v>
      </c>
      <c r="M1597">
        <v>3.5717743666941787E-3</v>
      </c>
      <c r="N1597">
        <v>0.30107805465449661</v>
      </c>
      <c r="O1597">
        <v>0.1440787853683326</v>
      </c>
      <c r="P1597">
        <v>1.9835957359349725E-2</v>
      </c>
      <c r="Q1597">
        <v>1.2739631692949059E-3</v>
      </c>
      <c r="R1597">
        <v>3.5657392268013451E-3</v>
      </c>
      <c r="S1597">
        <v>0.45146081090733531</v>
      </c>
      <c r="T1597">
        <v>3.9305347858162634</v>
      </c>
      <c r="U1597">
        <v>0</v>
      </c>
      <c r="V1597">
        <v>1.1304767209823817E-2</v>
      </c>
      <c r="W1597">
        <v>0.1805225609368151</v>
      </c>
      <c r="X1597">
        <v>2.4335381624235538E-2</v>
      </c>
      <c r="Y1597">
        <v>1.0077051286252345E-2</v>
      </c>
    </row>
    <row r="1598" spans="1:25" x14ac:dyDescent="0.25">
      <c r="A1598" s="1093"/>
      <c r="B1598" s="1452">
        <v>1348</v>
      </c>
      <c r="C1598" s="1097">
        <v>1.010254517645971</v>
      </c>
      <c r="D1598" s="1097">
        <v>0.9840313078110291</v>
      </c>
      <c r="E1598" s="1097">
        <v>0.98837797456137799</v>
      </c>
      <c r="F1598" s="1097">
        <v>1.0001518317388911</v>
      </c>
      <c r="G1598" s="1097">
        <v>0.99387775168004355</v>
      </c>
      <c r="H1598" s="1097">
        <v>1.001146936417638</v>
      </c>
      <c r="I1598" s="1097">
        <v>0.97805862373839891</v>
      </c>
      <c r="K1598">
        <v>5.1587117693628413</v>
      </c>
      <c r="L1598">
        <v>0</v>
      </c>
      <c r="M1598">
        <v>3.6965962639352919E-3</v>
      </c>
      <c r="N1598">
        <v>0.30983485984370751</v>
      </c>
      <c r="O1598">
        <v>0.14817834980241398</v>
      </c>
      <c r="P1598">
        <v>2.0099290348000273E-2</v>
      </c>
      <c r="Q1598">
        <v>1.2857704239380521E-3</v>
      </c>
      <c r="R1598">
        <v>3.6904702940468155E-3</v>
      </c>
      <c r="S1598">
        <v>0.44938169590608829</v>
      </c>
      <c r="T1598">
        <v>3.9974008102982705</v>
      </c>
      <c r="U1598">
        <v>0</v>
      </c>
      <c r="V1598">
        <v>1.1304767209823827E-2</v>
      </c>
      <c r="W1598">
        <v>0.18601683554322551</v>
      </c>
      <c r="X1598">
        <v>2.4785965152201755E-2</v>
      </c>
      <c r="Y1598">
        <v>1.0429550805054543E-2</v>
      </c>
    </row>
    <row r="1599" spans="1:25" x14ac:dyDescent="0.25">
      <c r="A1599" s="1093"/>
      <c r="B1599" s="1452">
        <v>1349</v>
      </c>
      <c r="C1599" s="1097">
        <v>0.97337895982778966</v>
      </c>
      <c r="D1599" s="1097">
        <v>1.0260730046579725</v>
      </c>
      <c r="E1599" s="1097">
        <v>0.99292075881583752</v>
      </c>
      <c r="F1599" s="1097">
        <v>0.96625572691399142</v>
      </c>
      <c r="G1599" s="1097">
        <v>1.0144342848432648</v>
      </c>
      <c r="H1599" s="1097">
        <v>1.0329400411855576</v>
      </c>
      <c r="I1599" s="1097">
        <v>1.0083279989745011</v>
      </c>
      <c r="K1599">
        <v>5.0496434086981719</v>
      </c>
      <c r="L1599">
        <v>0</v>
      </c>
      <c r="M1599">
        <v>3.7253157099512704E-3</v>
      </c>
      <c r="N1599">
        <v>0.31647452919201546</v>
      </c>
      <c r="O1599">
        <v>0.14598984904937962</v>
      </c>
      <c r="P1599">
        <v>1.9642541655723818E-2</v>
      </c>
      <c r="Q1599">
        <v>1.3174844041751376E-3</v>
      </c>
      <c r="R1599">
        <v>3.7191226225455577E-3</v>
      </c>
      <c r="S1599">
        <v>0.46923603001971237</v>
      </c>
      <c r="T1599">
        <v>3.8613715287804191</v>
      </c>
      <c r="U1599">
        <v>0</v>
      </c>
      <c r="V1599">
        <v>1.1304767209823834E-2</v>
      </c>
      <c r="W1599">
        <v>0.18941693340513591</v>
      </c>
      <c r="X1599">
        <v>2.4385413596294279E-2</v>
      </c>
      <c r="Y1599">
        <v>1.0510524472893787E-2</v>
      </c>
    </row>
    <row r="1600" spans="1:25" x14ac:dyDescent="0.25">
      <c r="A1600" s="1093"/>
      <c r="B1600" s="1452">
        <v>1350</v>
      </c>
      <c r="C1600" s="1097">
        <v>0.97939624963408189</v>
      </c>
      <c r="D1600" s="1097">
        <v>1.0242256691511868</v>
      </c>
      <c r="E1600" s="1097">
        <v>1.0119840362224322</v>
      </c>
      <c r="F1600" s="1097">
        <v>0.97947928776791049</v>
      </c>
      <c r="G1600" s="1097">
        <v>0.98432157869964831</v>
      </c>
      <c r="H1600" s="1097">
        <v>1.0131720615737407</v>
      </c>
      <c r="I1600" s="1097">
        <v>0.99432743595677975</v>
      </c>
      <c r="K1600">
        <v>5.0948574777510052</v>
      </c>
      <c r="L1600">
        <v>0</v>
      </c>
      <c r="M1600">
        <v>3.5388252759127391E-3</v>
      </c>
      <c r="N1600">
        <v>0.31809494742140387</v>
      </c>
      <c r="O1600">
        <v>0.14665897741674494</v>
      </c>
      <c r="P1600">
        <v>2.0120088059496642E-2</v>
      </c>
      <c r="Q1600">
        <v>1.3318841919568317E-3</v>
      </c>
      <c r="R1600">
        <v>3.532908269416643E-3</v>
      </c>
      <c r="S1600">
        <v>0.46166721016997447</v>
      </c>
      <c r="T1600">
        <v>3.9118741761721929</v>
      </c>
      <c r="U1600">
        <v>0</v>
      </c>
      <c r="V1600">
        <v>1.130476720982381E-2</v>
      </c>
      <c r="W1600">
        <v>0.18795351092284096</v>
      </c>
      <c r="X1600">
        <v>2.5873564698907163E-2</v>
      </c>
      <c r="Y1600">
        <v>9.9842684941581529E-3</v>
      </c>
    </row>
    <row r="1601" spans="1:25" x14ac:dyDescent="0.25">
      <c r="A1601" s="1093"/>
      <c r="B1601" s="1452">
        <v>1351</v>
      </c>
      <c r="C1601" s="1097">
        <v>0.98778522748588848</v>
      </c>
      <c r="D1601" s="1097">
        <v>0.99719357227829142</v>
      </c>
      <c r="E1601" s="1097">
        <v>0.99666867596997688</v>
      </c>
      <c r="F1601" s="1097">
        <v>1.0156670802789511</v>
      </c>
      <c r="G1601" s="1097">
        <v>0.97550903913375731</v>
      </c>
      <c r="H1601" s="1097">
        <v>0.99591377676963599</v>
      </c>
      <c r="I1601" s="1097">
        <v>0.98819949342683633</v>
      </c>
      <c r="K1601">
        <v>5.261296858858592</v>
      </c>
      <c r="L1601">
        <v>0</v>
      </c>
      <c r="M1601">
        <v>3.7332460489564677E-3</v>
      </c>
      <c r="N1601">
        <v>0.32069819165193841</v>
      </c>
      <c r="O1601">
        <v>0.15284664465810696</v>
      </c>
      <c r="P1601">
        <v>2.0586530821425253E-2</v>
      </c>
      <c r="Q1601">
        <v>1.3174193784279736E-3</v>
      </c>
      <c r="R1601">
        <v>3.7271216834821423E-3</v>
      </c>
      <c r="S1601">
        <v>0.46817172385225819</v>
      </c>
      <c r="T1601">
        <v>4.0583511180903526</v>
      </c>
      <c r="U1601">
        <v>0</v>
      </c>
      <c r="V1601">
        <v>1.1304767209823803E-2</v>
      </c>
      <c r="W1601">
        <v>0.19145756633851052</v>
      </c>
      <c r="X1601">
        <v>2.603589079342462E-2</v>
      </c>
      <c r="Y1601">
        <v>1.0533130429799987E-2</v>
      </c>
    </row>
    <row r="1602" spans="1:25" x14ac:dyDescent="0.25">
      <c r="A1602" s="1093"/>
      <c r="B1602" s="1452">
        <v>1352</v>
      </c>
      <c r="C1602" s="1097">
        <v>0.9887795048090009</v>
      </c>
      <c r="D1602" s="1097">
        <v>1.0060490260516166</v>
      </c>
      <c r="E1602" s="1097">
        <v>0.9792855244081764</v>
      </c>
      <c r="F1602" s="1097">
        <v>0.97860179295030392</v>
      </c>
      <c r="G1602" s="1097">
        <v>0.96828239398938476</v>
      </c>
      <c r="H1602" s="1097">
        <v>0.98340383166692036</v>
      </c>
      <c r="I1602" s="1097">
        <v>1.0133073804228154</v>
      </c>
      <c r="K1602">
        <v>5.0678771688278239</v>
      </c>
      <c r="L1602">
        <v>0</v>
      </c>
      <c r="M1602">
        <v>3.6675341045242791E-3</v>
      </c>
      <c r="N1602">
        <v>0.2991982830084905</v>
      </c>
      <c r="O1602">
        <v>0.14707886067041845</v>
      </c>
      <c r="P1602">
        <v>1.9636225737482697E-2</v>
      </c>
      <c r="Q1602">
        <v>1.2919073796403117E-3</v>
      </c>
      <c r="R1602">
        <v>3.6612106123425159E-3</v>
      </c>
      <c r="S1602">
        <v>0.46173435613407876</v>
      </c>
      <c r="T1602">
        <v>3.9123953748037605</v>
      </c>
      <c r="U1602">
        <v>0</v>
      </c>
      <c r="V1602">
        <v>1.1304767209823817E-2</v>
      </c>
      <c r="W1602">
        <v>0.18075048384621678</v>
      </c>
      <c r="X1602">
        <v>2.4146372819405081E-2</v>
      </c>
      <c r="Y1602">
        <v>1.0346860710687166E-2</v>
      </c>
    </row>
    <row r="1603" spans="1:25" x14ac:dyDescent="0.25">
      <c r="A1603" s="1093"/>
      <c r="B1603" s="1452">
        <v>1353</v>
      </c>
      <c r="C1603" s="1097">
        <v>0.98333821591184223</v>
      </c>
      <c r="D1603" s="1097">
        <v>0.98864186039343738</v>
      </c>
      <c r="E1603" s="1097">
        <v>1.0130892395110422</v>
      </c>
      <c r="F1603" s="1097">
        <v>0.99716091020565512</v>
      </c>
      <c r="G1603" s="1097">
        <v>1.0153267874225484</v>
      </c>
      <c r="H1603" s="1097">
        <v>1.0341753591674909</v>
      </c>
      <c r="I1603" s="1097">
        <v>1.0391982503928587</v>
      </c>
      <c r="K1603">
        <v>5.2303515032918302</v>
      </c>
      <c r="L1603">
        <v>0</v>
      </c>
      <c r="M1603">
        <v>3.7060601944010644E-3</v>
      </c>
      <c r="N1603">
        <v>0.33423995163657844</v>
      </c>
      <c r="O1603">
        <v>0.15079486777008796</v>
      </c>
      <c r="P1603">
        <v>2.0615154716751759E-2</v>
      </c>
      <c r="Q1603">
        <v>1.3467058422254566E-3</v>
      </c>
      <c r="R1603">
        <v>3.7000968832348745E-3</v>
      </c>
      <c r="S1603">
        <v>0.4954123721333813</v>
      </c>
      <c r="T1603">
        <v>3.9823540277267493</v>
      </c>
      <c r="U1603">
        <v>0</v>
      </c>
      <c r="V1603">
        <v>1.1304767209823806E-2</v>
      </c>
      <c r="W1603">
        <v>0.19734692623651665</v>
      </c>
      <c r="X1603">
        <v>2.6485937049828004E-2</v>
      </c>
      <c r="Y1603">
        <v>1.0456756281055314E-2</v>
      </c>
    </row>
    <row r="1604" spans="1:25" x14ac:dyDescent="0.25">
      <c r="A1604" s="1093"/>
      <c r="B1604" s="1452">
        <v>1354</v>
      </c>
      <c r="C1604" s="1097">
        <v>0.98973101438631694</v>
      </c>
      <c r="D1604" s="1097">
        <v>1.0241941609616727</v>
      </c>
      <c r="E1604" s="1097">
        <v>0.96912867366917377</v>
      </c>
      <c r="F1604" s="1097">
        <v>0.99834684846456434</v>
      </c>
      <c r="G1604" s="1097">
        <v>0.99702967541311505</v>
      </c>
      <c r="H1604" s="1097">
        <v>0.97427602742507502</v>
      </c>
      <c r="I1604" s="1097">
        <v>0.99322856120817959</v>
      </c>
      <c r="K1604">
        <v>5.1433475164767772</v>
      </c>
      <c r="L1604">
        <v>0</v>
      </c>
      <c r="M1604">
        <v>3.7558986777875606E-3</v>
      </c>
      <c r="N1604">
        <v>0.2973116219181422</v>
      </c>
      <c r="O1604">
        <v>0.14911645401072543</v>
      </c>
      <c r="P1604">
        <v>1.9817685596575686E-2</v>
      </c>
      <c r="Q1604">
        <v>1.2701799289163015E-3</v>
      </c>
      <c r="R1604">
        <v>3.7494912209088552E-3</v>
      </c>
      <c r="S1604">
        <v>0.45647952358973354</v>
      </c>
      <c r="T1604">
        <v>3.9926234977538453</v>
      </c>
      <c r="U1604">
        <v>0</v>
      </c>
      <c r="V1604">
        <v>1.1304767209823817E-2</v>
      </c>
      <c r="W1604">
        <v>0.18086994078841495</v>
      </c>
      <c r="X1604">
        <v>2.3963904687077195E-2</v>
      </c>
      <c r="Y1604">
        <v>1.059634845040127E-2</v>
      </c>
    </row>
    <row r="1605" spans="1:25" x14ac:dyDescent="0.25">
      <c r="A1605" s="1093"/>
      <c r="B1605" s="1452">
        <v>1355</v>
      </c>
      <c r="C1605" s="1097">
        <v>0.98077793372192101</v>
      </c>
      <c r="D1605" s="1097">
        <v>0.99071143553335883</v>
      </c>
      <c r="E1605" s="1097">
        <v>0.98893866763274851</v>
      </c>
      <c r="F1605" s="1097">
        <v>1.0422587114010293</v>
      </c>
      <c r="G1605" s="1097">
        <v>0.99247780848670497</v>
      </c>
      <c r="H1605" s="1097">
        <v>1.0051754562279562</v>
      </c>
      <c r="I1605" s="1097">
        <v>0.95632346827012604</v>
      </c>
      <c r="K1605">
        <v>5.3971514010334793</v>
      </c>
      <c r="L1605">
        <v>0</v>
      </c>
      <c r="M1605">
        <v>3.9682540924012126E-3</v>
      </c>
      <c r="N1605">
        <v>0.33318211960131761</v>
      </c>
      <c r="O1605">
        <v>0.15861110706830914</v>
      </c>
      <c r="P1605">
        <v>2.0953622870790087E-2</v>
      </c>
      <c r="Q1605">
        <v>1.3214734684989259E-3</v>
      </c>
      <c r="R1605">
        <v>3.9619684775160785E-3</v>
      </c>
      <c r="S1605">
        <v>0.46869423279457689</v>
      </c>
      <c r="T1605">
        <v>4.165619570741959</v>
      </c>
      <c r="U1605">
        <v>0</v>
      </c>
      <c r="V1605">
        <v>1.1304767209823806E-2</v>
      </c>
      <c r="W1605">
        <v>0.19995755007781446</v>
      </c>
      <c r="X1605">
        <v>2.6316417415831649E-2</v>
      </c>
      <c r="Y1605">
        <v>1.1196825399444429E-2</v>
      </c>
    </row>
    <row r="1606" spans="1:25" x14ac:dyDescent="0.25">
      <c r="A1606" s="1093"/>
      <c r="B1606" s="1452">
        <v>1356</v>
      </c>
      <c r="C1606" s="1097">
        <v>0.96006137428423677</v>
      </c>
      <c r="D1606" s="1097">
        <v>1.0344057461784897</v>
      </c>
      <c r="E1606" s="1097">
        <v>1.0074078145959393</v>
      </c>
      <c r="F1606" s="1097">
        <v>1.0268082647072787</v>
      </c>
      <c r="G1606" s="1097">
        <v>1.0289181378927441</v>
      </c>
      <c r="H1606" s="1097">
        <v>0.96845153293662678</v>
      </c>
      <c r="I1606" s="1097">
        <v>0.97423301100947335</v>
      </c>
      <c r="K1606">
        <v>5.313577119655589</v>
      </c>
      <c r="L1606">
        <v>0</v>
      </c>
      <c r="M1606">
        <v>3.6378681189781852E-3</v>
      </c>
      <c r="N1606">
        <v>0.32259793481847437</v>
      </c>
      <c r="O1606">
        <v>0.15635710400063133</v>
      </c>
      <c r="P1606">
        <v>2.0960139817511048E-2</v>
      </c>
      <c r="Q1606">
        <v>1.3480778551159401E-3</v>
      </c>
      <c r="R1606">
        <v>3.6317974716276102E-3</v>
      </c>
      <c r="S1606">
        <v>0.470612909178519</v>
      </c>
      <c r="T1606">
        <v>4.1014853503179785</v>
      </c>
      <c r="U1606">
        <v>0</v>
      </c>
      <c r="V1606">
        <v>1.1304767209823813E-2</v>
      </c>
      <c r="W1606">
        <v>0.19120080178604276</v>
      </c>
      <c r="X1606">
        <v>2.745236838940401E-2</v>
      </c>
      <c r="Y1606">
        <v>1.0263736929439779E-2</v>
      </c>
    </row>
    <row r="1607" spans="1:25" x14ac:dyDescent="0.25">
      <c r="A1607" s="1093"/>
      <c r="B1607" s="1452">
        <v>1357</v>
      </c>
      <c r="C1607" s="1097">
        <v>1.0282691251247398</v>
      </c>
      <c r="D1607" s="1097">
        <v>1.005907175213792</v>
      </c>
      <c r="E1607" s="1097">
        <v>0.99424465433240039</v>
      </c>
      <c r="F1607" s="1097">
        <v>1.0031891235167716</v>
      </c>
      <c r="G1607" s="1097">
        <v>1.0300064940838194</v>
      </c>
      <c r="H1607" s="1097">
        <v>0.9867046459671226</v>
      </c>
      <c r="I1607" s="1097">
        <v>0.990964440772514</v>
      </c>
      <c r="K1607">
        <v>5.1438955642662467</v>
      </c>
      <c r="L1607">
        <v>0</v>
      </c>
      <c r="M1607">
        <v>3.5152166910453783E-3</v>
      </c>
      <c r="N1607">
        <v>0.2997961947318849</v>
      </c>
      <c r="O1607">
        <v>0.14458691412737218</v>
      </c>
      <c r="P1607">
        <v>2.0214977333402304E-2</v>
      </c>
      <c r="Q1607">
        <v>1.2585299654123204E-3</v>
      </c>
      <c r="R1607">
        <v>3.5093239020551467E-3</v>
      </c>
      <c r="S1607">
        <v>0.4439231635053843</v>
      </c>
      <c r="T1607">
        <v>4.0087982957691324</v>
      </c>
      <c r="U1607">
        <v>0</v>
      </c>
      <c r="V1607">
        <v>1.130476720982382E-2</v>
      </c>
      <c r="W1607">
        <v>0.17927340066772637</v>
      </c>
      <c r="X1607">
        <v>2.4827596473682826E-2</v>
      </c>
      <c r="Y1607">
        <v>9.917617271413293E-3</v>
      </c>
    </row>
    <row r="1608" spans="1:25" x14ac:dyDescent="0.25">
      <c r="A1608" s="1093"/>
      <c r="B1608" s="1452">
        <v>1358</v>
      </c>
      <c r="C1608" s="1097">
        <v>0.96426668904180812</v>
      </c>
      <c r="D1608" s="1097">
        <v>1.0319082785294926</v>
      </c>
      <c r="E1608" s="1097">
        <v>1.0180236161415133</v>
      </c>
      <c r="F1608" s="1097">
        <v>1.0026917596007883</v>
      </c>
      <c r="G1608" s="1097">
        <v>1.0362722625511591</v>
      </c>
      <c r="H1608" s="1097">
        <v>1.00624027108174</v>
      </c>
      <c r="I1608" s="1097">
        <v>0.97210685030859678</v>
      </c>
      <c r="K1608">
        <v>5.2147349493648392</v>
      </c>
      <c r="L1608">
        <v>0</v>
      </c>
      <c r="M1608">
        <v>3.5971570313491595E-3</v>
      </c>
      <c r="N1608">
        <v>0.32917895150521886</v>
      </c>
      <c r="O1608">
        <v>0.15186246144679455</v>
      </c>
      <c r="P1608">
        <v>2.0651439767781693E-2</v>
      </c>
      <c r="Q1608">
        <v>1.3556768803374922E-3</v>
      </c>
      <c r="R1608">
        <v>3.5912410243794453E-3</v>
      </c>
      <c r="S1608">
        <v>0.46556447726653094</v>
      </c>
      <c r="T1608">
        <v>4.0038259028590364</v>
      </c>
      <c r="U1608">
        <v>0</v>
      </c>
      <c r="V1608">
        <v>1.1304767209823808E-2</v>
      </c>
      <c r="W1608">
        <v>0.19371839477551106</v>
      </c>
      <c r="X1608">
        <v>2.7129672347596358E-2</v>
      </c>
      <c r="Y1608">
        <v>1.0149121313178196E-2</v>
      </c>
    </row>
    <row r="1609" spans="1:25" x14ac:dyDescent="0.25">
      <c r="A1609" s="1093"/>
      <c r="B1609" s="1452">
        <v>1359</v>
      </c>
      <c r="C1609" s="1097">
        <v>1.0199515563310046</v>
      </c>
      <c r="D1609" s="1097">
        <v>0.99674978644579693</v>
      </c>
      <c r="E1609" s="1097">
        <v>0.96754808931816827</v>
      </c>
      <c r="F1609" s="1097">
        <v>1.0055612588790246</v>
      </c>
      <c r="G1609" s="1097">
        <v>1.0195898373184227</v>
      </c>
      <c r="H1609" s="1097">
        <v>1.0145586020386954</v>
      </c>
      <c r="I1609" s="1097">
        <v>0.97626532270838906</v>
      </c>
      <c r="K1609">
        <v>5.1749209880226887</v>
      </c>
      <c r="L1609">
        <v>0</v>
      </c>
      <c r="M1609">
        <v>3.8772637803055413E-3</v>
      </c>
      <c r="N1609">
        <v>0.30550566102973187</v>
      </c>
      <c r="O1609">
        <v>0.1473793454677855</v>
      </c>
      <c r="P1609">
        <v>1.9883156411105111E-2</v>
      </c>
      <c r="Q1609">
        <v>1.2442883292609411E-3</v>
      </c>
      <c r="R1609">
        <v>3.8709574001228571E-3</v>
      </c>
      <c r="S1609">
        <v>0.44759524484805135</v>
      </c>
      <c r="T1609">
        <v>4.0216781256573508</v>
      </c>
      <c r="U1609">
        <v>0</v>
      </c>
      <c r="V1609">
        <v>1.1304767209823813E-2</v>
      </c>
      <c r="W1609">
        <v>0.18605777959463626</v>
      </c>
      <c r="X1609">
        <v>2.3339304708762523E-2</v>
      </c>
      <c r="Y1609">
        <v>1.0939621146364129E-2</v>
      </c>
    </row>
    <row r="1610" spans="1:25" x14ac:dyDescent="0.25">
      <c r="A1610" s="1093"/>
      <c r="B1610" s="1452">
        <v>1360</v>
      </c>
      <c r="C1610" s="1097">
        <v>0.98166974189934642</v>
      </c>
      <c r="D1610" s="1097">
        <v>1.0079560230747353</v>
      </c>
      <c r="E1610" s="1097">
        <v>0.96945478424288889</v>
      </c>
      <c r="F1610" s="1097">
        <v>1.0160694212846111</v>
      </c>
      <c r="G1610" s="1097">
        <v>1.0049102004128183</v>
      </c>
      <c r="H1610" s="1097">
        <v>1.0260067319923425</v>
      </c>
      <c r="I1610" s="1097">
        <v>0.981933552487957</v>
      </c>
      <c r="K1610">
        <v>5.2791184555150679</v>
      </c>
      <c r="L1610">
        <v>0</v>
      </c>
      <c r="M1610">
        <v>4.081714714641812E-3</v>
      </c>
      <c r="N1610">
        <v>0.32345282556168076</v>
      </c>
      <c r="O1610">
        <v>0.15398171994295426</v>
      </c>
      <c r="P1610">
        <v>2.0210838192191258E-2</v>
      </c>
      <c r="Q1610">
        <v>1.2891904721742634E-3</v>
      </c>
      <c r="R1610">
        <v>4.0752176537339575E-3</v>
      </c>
      <c r="S1610">
        <v>0.47299294591416019</v>
      </c>
      <c r="T1610">
        <v>4.0634580285459565</v>
      </c>
      <c r="U1610">
        <v>0</v>
      </c>
      <c r="V1610">
        <v>1.130476720982381E-2</v>
      </c>
      <c r="W1610">
        <v>0.19672869618993249</v>
      </c>
      <c r="X1610">
        <v>2.4189064329500139E-2</v>
      </c>
      <c r="Y1610">
        <v>1.1516876217601739E-2</v>
      </c>
    </row>
    <row r="1611" spans="1:25" x14ac:dyDescent="0.25">
      <c r="A1611" s="1093"/>
      <c r="B1611" s="1452">
        <v>1361</v>
      </c>
      <c r="C1611" s="1097">
        <v>0.98959218602092114</v>
      </c>
      <c r="D1611" s="1097">
        <v>0.963330117893473</v>
      </c>
      <c r="E1611" s="1097">
        <v>0.99924619328404563</v>
      </c>
      <c r="F1611" s="1097">
        <v>1.0409628216770894</v>
      </c>
      <c r="G1611" s="1097">
        <v>1.0131671419768269</v>
      </c>
      <c r="H1611" s="1097">
        <v>0.98331832002007635</v>
      </c>
      <c r="I1611" s="1097">
        <v>1.0189997365027763</v>
      </c>
      <c r="K1611">
        <v>5.4073584853358776</v>
      </c>
      <c r="L1611">
        <v>0</v>
      </c>
      <c r="M1611">
        <v>3.8025678286524732E-3</v>
      </c>
      <c r="N1611">
        <v>0.32916413412286355</v>
      </c>
      <c r="O1611">
        <v>0.15846664677007999</v>
      </c>
      <c r="P1611">
        <v>2.1195695844697205E-2</v>
      </c>
      <c r="Q1611">
        <v>1.3362652043177338E-3</v>
      </c>
      <c r="R1611">
        <v>3.7964031213023513E-3</v>
      </c>
      <c r="S1611">
        <v>0.4927196938750128</v>
      </c>
      <c r="T1611">
        <v>4.1590893666011963</v>
      </c>
      <c r="U1611">
        <v>0</v>
      </c>
      <c r="V1611">
        <v>1.1304767209823811E-2</v>
      </c>
      <c r="W1611">
        <v>0.19616923884824239</v>
      </c>
      <c r="X1611">
        <v>2.7189916504527508E-2</v>
      </c>
      <c r="Y1611">
        <v>1.0728925062467453E-2</v>
      </c>
    </row>
    <row r="1612" spans="1:25" x14ac:dyDescent="0.25">
      <c r="A1612" s="1093"/>
      <c r="B1612" s="1452">
        <v>1362</v>
      </c>
      <c r="C1612" s="1097">
        <v>1.0062418370407333</v>
      </c>
      <c r="D1612" s="1097">
        <v>0.99425422315120326</v>
      </c>
      <c r="E1612" s="1097">
        <v>0.97453849743984056</v>
      </c>
      <c r="F1612" s="1097">
        <v>1.0297274616892527</v>
      </c>
      <c r="G1612" s="1097">
        <v>0.98698457774906778</v>
      </c>
      <c r="H1612" s="1097">
        <v>1.0175665160662075</v>
      </c>
      <c r="I1612" s="1097">
        <v>1.0025102296240034</v>
      </c>
      <c r="K1612">
        <v>5.3298062873176768</v>
      </c>
      <c r="L1612">
        <v>0</v>
      </c>
      <c r="M1612">
        <v>3.9815889541385133E-3</v>
      </c>
      <c r="N1612">
        <v>0.32031961903714307</v>
      </c>
      <c r="O1612">
        <v>0.15293156025462895</v>
      </c>
      <c r="P1612">
        <v>2.0544142165764369E-2</v>
      </c>
      <c r="Q1612">
        <v>1.2702349906363775E-3</v>
      </c>
      <c r="R1612">
        <v>3.9752833222963515E-3</v>
      </c>
      <c r="S1612">
        <v>0.47609997743100213</v>
      </c>
      <c r="T1612">
        <v>4.1174133065602367</v>
      </c>
      <c r="U1612">
        <v>0</v>
      </c>
      <c r="V1612">
        <v>1.1304767209823813E-2</v>
      </c>
      <c r="W1612">
        <v>0.19414193913083866</v>
      </c>
      <c r="X1612">
        <v>2.4552592002112024E-2</v>
      </c>
      <c r="Y1612">
        <v>1.1234454167333791E-2</v>
      </c>
    </row>
    <row r="1613" spans="1:25" x14ac:dyDescent="0.25">
      <c r="A1613" s="1093"/>
      <c r="B1613" s="1452">
        <v>1363</v>
      </c>
      <c r="C1613" s="1097">
        <v>1.0075187971916133</v>
      </c>
      <c r="D1613" s="1097">
        <v>1.0039521823667885</v>
      </c>
      <c r="E1613" s="1097">
        <v>1.0018692746154594</v>
      </c>
      <c r="F1613" s="1097">
        <v>1.0022360902924388</v>
      </c>
      <c r="G1613" s="1097">
        <v>0.9821312824521643</v>
      </c>
      <c r="H1613" s="1097">
        <v>1.0050247011097091</v>
      </c>
      <c r="I1613" s="1097">
        <v>0.98631558048118595</v>
      </c>
      <c r="K1613">
        <v>5.1743173329569654</v>
      </c>
      <c r="L1613">
        <v>0</v>
      </c>
      <c r="M1613">
        <v>3.5954216217902414E-3</v>
      </c>
      <c r="N1613">
        <v>0.31365283395628568</v>
      </c>
      <c r="O1613">
        <v>0.14732855167372222</v>
      </c>
      <c r="P1613">
        <v>2.0355135425148361E-2</v>
      </c>
      <c r="Q1613">
        <v>1.2938876824275546E-3</v>
      </c>
      <c r="R1613">
        <v>3.5894986297935207E-3</v>
      </c>
      <c r="S1613">
        <v>0.454114476656369</v>
      </c>
      <c r="T1613">
        <v>4.004029612272296</v>
      </c>
      <c r="U1613">
        <v>0</v>
      </c>
      <c r="V1613">
        <v>1.1304767209823813E-2</v>
      </c>
      <c r="W1613">
        <v>0.18659412120771041</v>
      </c>
      <c r="X1613">
        <v>2.550567269212748E-2</v>
      </c>
      <c r="Y1613">
        <v>1.0144197173052837E-2</v>
      </c>
    </row>
    <row r="1614" spans="1:25" x14ac:dyDescent="0.25">
      <c r="A1614" s="1093"/>
      <c r="B1614" s="1452">
        <v>1364</v>
      </c>
      <c r="C1614" s="1097">
        <v>1.0217071815033636</v>
      </c>
      <c r="D1614" s="1097">
        <v>1.0289269595796018</v>
      </c>
      <c r="E1614" s="1097">
        <v>1.010695363209495</v>
      </c>
      <c r="F1614" s="1097">
        <v>0.97192489803923254</v>
      </c>
      <c r="G1614" s="1097">
        <v>0.99923126764562742</v>
      </c>
      <c r="H1614" s="1097">
        <v>0.98962688741068494</v>
      </c>
      <c r="I1614" s="1097">
        <v>0.97115956104246326</v>
      </c>
      <c r="K1614">
        <v>4.9816399541369254</v>
      </c>
      <c r="L1614">
        <v>0</v>
      </c>
      <c r="M1614">
        <v>3.290846848096662E-3</v>
      </c>
      <c r="N1614">
        <v>0.29466283745328514</v>
      </c>
      <c r="O1614">
        <v>0.1392796801007547</v>
      </c>
      <c r="P1614">
        <v>1.9795360917872734E-2</v>
      </c>
      <c r="Q1614">
        <v>1.2729949895134373E-3</v>
      </c>
      <c r="R1614">
        <v>3.2851698447958454E-3</v>
      </c>
      <c r="S1614">
        <v>0.42502755187675695</v>
      </c>
      <c r="T1614">
        <v>3.8818596386310391</v>
      </c>
      <c r="U1614">
        <v>0</v>
      </c>
      <c r="V1614">
        <v>1.1304767209823811E-2</v>
      </c>
      <c r="W1614">
        <v>0.17425867414728735</v>
      </c>
      <c r="X1614">
        <v>2.4899985021647305E-2</v>
      </c>
      <c r="Y1614">
        <v>9.2841407922458034E-3</v>
      </c>
    </row>
    <row r="1615" spans="1:25" x14ac:dyDescent="0.25">
      <c r="A1615" s="1093"/>
      <c r="B1615" s="1452">
        <v>1365</v>
      </c>
      <c r="C1615" s="1097">
        <v>1.0147554663446843</v>
      </c>
      <c r="D1615" s="1097">
        <v>0.99774899463912459</v>
      </c>
      <c r="E1615" s="1097">
        <v>0.97942133240294682</v>
      </c>
      <c r="F1615" s="1097">
        <v>0.9646209332355683</v>
      </c>
      <c r="G1615" s="1097">
        <v>1.0434825888804082</v>
      </c>
      <c r="H1615" s="1097">
        <v>1.0000710235344223</v>
      </c>
      <c r="I1615" s="1097">
        <v>1.0110954613093308</v>
      </c>
      <c r="K1615">
        <v>4.9812410503374185</v>
      </c>
      <c r="L1615">
        <v>0</v>
      </c>
      <c r="M1615">
        <v>3.5932533948813371E-3</v>
      </c>
      <c r="N1615">
        <v>0.293257842212713</v>
      </c>
      <c r="O1615">
        <v>0.14173173779309622</v>
      </c>
      <c r="P1615">
        <v>1.9323292462709283E-2</v>
      </c>
      <c r="Q1615">
        <v>1.2631641517138175E-3</v>
      </c>
      <c r="R1615">
        <v>3.5870730832563741E-3</v>
      </c>
      <c r="S1615">
        <v>0.44731423239413554</v>
      </c>
      <c r="T1615">
        <v>3.8564840705798802</v>
      </c>
      <c r="U1615">
        <v>0</v>
      </c>
      <c r="V1615">
        <v>1.130476720982381E-2</v>
      </c>
      <c r="W1615">
        <v>0.17714527747511111</v>
      </c>
      <c r="X1615">
        <v>2.3285503976502302E-2</v>
      </c>
      <c r="Y1615">
        <v>1.0137342393357148E-2</v>
      </c>
    </row>
    <row r="1616" spans="1:25" x14ac:dyDescent="0.25">
      <c r="A1616" s="1093"/>
      <c r="B1616" s="1452">
        <v>1366</v>
      </c>
      <c r="C1616" s="1097">
        <v>1.0189238298459491</v>
      </c>
      <c r="D1616" s="1097">
        <v>0.99541565085341122</v>
      </c>
      <c r="E1616" s="1097">
        <v>1.0013456817995496</v>
      </c>
      <c r="F1616" s="1097">
        <v>1.0085127305172996</v>
      </c>
      <c r="G1616" s="1097">
        <v>0.9852189388445507</v>
      </c>
      <c r="H1616" s="1097">
        <v>1.0173568134173174</v>
      </c>
      <c r="I1616" s="1097">
        <v>1.0134630118238779</v>
      </c>
      <c r="K1616">
        <v>5.217396660795167</v>
      </c>
      <c r="L1616">
        <v>0</v>
      </c>
      <c r="M1616">
        <v>3.6377019904763725E-3</v>
      </c>
      <c r="N1616">
        <v>0.31685890336751632</v>
      </c>
      <c r="O1616">
        <v>0.14710783306844394</v>
      </c>
      <c r="P1616">
        <v>2.0519945499514032E-2</v>
      </c>
      <c r="Q1616">
        <v>1.2832071117995685E-3</v>
      </c>
      <c r="R1616">
        <v>3.6318187716341708E-3</v>
      </c>
      <c r="S1616">
        <v>0.46691416083859288</v>
      </c>
      <c r="T1616">
        <v>4.0291716420078831</v>
      </c>
      <c r="U1616">
        <v>0</v>
      </c>
      <c r="V1616">
        <v>1.1304767209823813E-2</v>
      </c>
      <c r="W1616">
        <v>0.18856807936613268</v>
      </c>
      <c r="X1616">
        <v>2.5410208419418091E-2</v>
      </c>
      <c r="Y1616">
        <v>1.0263797124884502E-2</v>
      </c>
    </row>
    <row r="1617" spans="1:25" x14ac:dyDescent="0.25">
      <c r="A1617" s="1093"/>
      <c r="B1617" s="1452">
        <v>1367</v>
      </c>
      <c r="C1617" s="1097">
        <v>1.0323171887284985</v>
      </c>
      <c r="D1617" s="1097">
        <v>0.99065030139251686</v>
      </c>
      <c r="E1617" s="1097">
        <v>0.96060581839369097</v>
      </c>
      <c r="F1617" s="1097">
        <v>0.96647170983600506</v>
      </c>
      <c r="G1617" s="1097">
        <v>0.99867703565329413</v>
      </c>
      <c r="H1617" s="1097">
        <v>1.0093816152386033</v>
      </c>
      <c r="I1617" s="1097">
        <v>0.99857940396242206</v>
      </c>
      <c r="K1617">
        <v>4.9715207598636866</v>
      </c>
      <c r="L1617">
        <v>0</v>
      </c>
      <c r="M1617">
        <v>3.7261396688736681E-3</v>
      </c>
      <c r="N1617">
        <v>0.28758323271464703</v>
      </c>
      <c r="O1617">
        <v>0.14047889184046716</v>
      </c>
      <c r="P1617">
        <v>1.9045018661830653E-2</v>
      </c>
      <c r="Q1617">
        <v>1.2249259068245182E-3</v>
      </c>
      <c r="R1617">
        <v>3.7198020505681941E-3</v>
      </c>
      <c r="S1617">
        <v>0.43721515585268134</v>
      </c>
      <c r="T1617">
        <v>3.8661985111912345</v>
      </c>
      <c r="U1617">
        <v>0</v>
      </c>
      <c r="V1617">
        <v>1.1304767209823815E-2</v>
      </c>
      <c r="W1617">
        <v>0.17598692215691722</v>
      </c>
      <c r="X1617">
        <v>2.1977227359206163E-2</v>
      </c>
      <c r="Y1617">
        <v>1.0512444588357633E-2</v>
      </c>
    </row>
    <row r="1618" spans="1:25" x14ac:dyDescent="0.25">
      <c r="A1618" s="1093"/>
      <c r="B1618" s="1452">
        <v>1368</v>
      </c>
      <c r="C1618" s="1097">
        <v>0.99565428338651685</v>
      </c>
      <c r="D1618" s="1097">
        <v>0.99711314805868057</v>
      </c>
      <c r="E1618" s="1097">
        <v>0.99245086924021497</v>
      </c>
      <c r="F1618" s="1097">
        <v>0.99474572548032336</v>
      </c>
      <c r="G1618" s="1097">
        <v>1.013309113701599</v>
      </c>
      <c r="H1618" s="1097">
        <v>1.0413195429966384</v>
      </c>
      <c r="I1618" s="1097">
        <v>0.98082999475695487</v>
      </c>
      <c r="K1618">
        <v>5.1726403454394738</v>
      </c>
      <c r="L1618">
        <v>0</v>
      </c>
      <c r="M1618">
        <v>3.8268973781324404E-3</v>
      </c>
      <c r="N1618">
        <v>0.32467125830819743</v>
      </c>
      <c r="O1618">
        <v>0.14863729610540766</v>
      </c>
      <c r="P1618">
        <v>2.0115246915782425E-2</v>
      </c>
      <c r="Q1618">
        <v>1.302316932552556E-3</v>
      </c>
      <c r="R1618">
        <v>3.820767054608906E-3</v>
      </c>
      <c r="S1618">
        <v>0.46138950511507432</v>
      </c>
      <c r="T1618">
        <v>3.9752827500772385</v>
      </c>
      <c r="U1618">
        <v>0</v>
      </c>
      <c r="V1618">
        <v>1.130476720982383E-2</v>
      </c>
      <c r="W1618">
        <v>0.19438488669703477</v>
      </c>
      <c r="X1618">
        <v>2.4760669003791265E-2</v>
      </c>
      <c r="Y1618">
        <v>1.0797779398090089E-2</v>
      </c>
    </row>
    <row r="1619" spans="1:25" x14ac:dyDescent="0.25">
      <c r="A1619" s="1093"/>
      <c r="B1619" s="1452">
        <v>1369</v>
      </c>
      <c r="C1619" s="1097">
        <v>1.0209847070176494</v>
      </c>
      <c r="D1619" s="1097">
        <v>1.0167782100325538</v>
      </c>
      <c r="E1619" s="1097">
        <v>0.97256891570047344</v>
      </c>
      <c r="F1619" s="1097">
        <v>1.0371252115802396</v>
      </c>
      <c r="G1619" s="1097">
        <v>1.003183581063064</v>
      </c>
      <c r="H1619" s="1097">
        <v>0.97333841148213496</v>
      </c>
      <c r="I1619" s="1097">
        <v>1.0208377695175368</v>
      </c>
      <c r="K1619">
        <v>5.319692573603696</v>
      </c>
      <c r="L1619">
        <v>0</v>
      </c>
      <c r="M1619">
        <v>3.7622432377737301E-3</v>
      </c>
      <c r="N1619">
        <v>0.30089043535130178</v>
      </c>
      <c r="O1619">
        <v>0.1505071653375811</v>
      </c>
      <c r="P1619">
        <v>2.0619341773780595E-2</v>
      </c>
      <c r="Q1619">
        <v>1.2385973042816879E-3</v>
      </c>
      <c r="R1619">
        <v>3.7560586024206655E-3</v>
      </c>
      <c r="S1619">
        <v>0.47007516669521282</v>
      </c>
      <c r="T1619">
        <v>4.1472531982668679</v>
      </c>
      <c r="U1619">
        <v>0</v>
      </c>
      <c r="V1619">
        <v>1.1304767209823813E-2</v>
      </c>
      <c r="W1619">
        <v>0.18261348195231333</v>
      </c>
      <c r="X1619">
        <v>2.4581695975935923E-2</v>
      </c>
      <c r="Y1619">
        <v>1.0614908371949502E-2</v>
      </c>
    </row>
    <row r="1620" spans="1:25" x14ac:dyDescent="0.25">
      <c r="A1620" s="1093"/>
      <c r="B1620" s="1452">
        <v>1370</v>
      </c>
      <c r="C1620" s="1097">
        <v>0.98223751681962423</v>
      </c>
      <c r="D1620" s="1097">
        <v>1.0300726396810327</v>
      </c>
      <c r="E1620" s="1097">
        <v>0.9968567468835875</v>
      </c>
      <c r="F1620" s="1097">
        <v>1.0128059081538612</v>
      </c>
      <c r="G1620" s="1097">
        <v>0.99257832491679987</v>
      </c>
      <c r="H1620" s="1097">
        <v>0.99427719161382455</v>
      </c>
      <c r="I1620" s="1097">
        <v>0.98884520463353076</v>
      </c>
      <c r="K1620">
        <v>5.2405465777936939</v>
      </c>
      <c r="L1620">
        <v>0</v>
      </c>
      <c r="M1620">
        <v>3.6879747517040945E-3</v>
      </c>
      <c r="N1620">
        <v>0.31698354118598249</v>
      </c>
      <c r="O1620">
        <v>0.15129553266246162</v>
      </c>
      <c r="P1620">
        <v>2.0531057612362402E-2</v>
      </c>
      <c r="Q1620">
        <v>1.3079912802195339E-3</v>
      </c>
      <c r="R1620">
        <v>3.6818976034182068E-3</v>
      </c>
      <c r="S1620">
        <v>0.46676403203676819</v>
      </c>
      <c r="T1620">
        <v>4.0468946396593477</v>
      </c>
      <c r="U1620">
        <v>0</v>
      </c>
      <c r="V1620">
        <v>1.1304767209823815E-2</v>
      </c>
      <c r="W1620">
        <v>0.18921580527069909</v>
      </c>
      <c r="X1620">
        <v>2.5849964297470104E-2</v>
      </c>
      <c r="Y1620">
        <v>1.0405323726844124E-2</v>
      </c>
    </row>
    <row r="1621" spans="1:25" x14ac:dyDescent="0.25">
      <c r="A1621" s="1093"/>
      <c r="B1621" s="1452">
        <v>1371</v>
      </c>
      <c r="C1621" s="1097">
        <v>1.0020512469115208</v>
      </c>
      <c r="D1621" s="1097">
        <v>1.0297262590059504</v>
      </c>
      <c r="E1621" s="1097">
        <v>0.96424767568441128</v>
      </c>
      <c r="F1621" s="1097">
        <v>1.0047271949033965</v>
      </c>
      <c r="G1621" s="1097">
        <v>1.013004171473965</v>
      </c>
      <c r="H1621" s="1097">
        <v>1.0026327073027201</v>
      </c>
      <c r="I1621" s="1097">
        <v>0.99004538213366278</v>
      </c>
      <c r="K1621">
        <v>5.1767140178525857</v>
      </c>
      <c r="L1621">
        <v>0</v>
      </c>
      <c r="M1621">
        <v>3.8731820508024566E-3</v>
      </c>
      <c r="N1621">
        <v>0.30220044025505433</v>
      </c>
      <c r="O1621">
        <v>0.14803979913687212</v>
      </c>
      <c r="P1621">
        <v>1.9859639152297621E-2</v>
      </c>
      <c r="Q1621">
        <v>1.2465247838776914E-3</v>
      </c>
      <c r="R1621">
        <v>3.8668020936587443E-3</v>
      </c>
      <c r="S1621">
        <v>0.45657905777429481</v>
      </c>
      <c r="T1621">
        <v>4.0187653145852753</v>
      </c>
      <c r="U1621">
        <v>0</v>
      </c>
      <c r="V1621">
        <v>1.1304767209823804E-2</v>
      </c>
      <c r="W1621">
        <v>0.18446552177276024</v>
      </c>
      <c r="X1621">
        <v>2.3331455206421214E-2</v>
      </c>
      <c r="Y1621">
        <v>1.0927877933053904E-2</v>
      </c>
    </row>
    <row r="1622" spans="1:25" x14ac:dyDescent="0.25">
      <c r="A1622" s="1093"/>
      <c r="B1622" s="1452">
        <v>1372</v>
      </c>
      <c r="C1622" s="1097">
        <v>0.96092333064566338</v>
      </c>
      <c r="D1622" s="1097">
        <v>1.0184662079823124</v>
      </c>
      <c r="E1622" s="1097">
        <v>0.97937115607588998</v>
      </c>
      <c r="F1622" s="1097">
        <v>1.0073011613444258</v>
      </c>
      <c r="G1622" s="1097">
        <v>1.0070323799228862</v>
      </c>
      <c r="H1622" s="1097">
        <v>1.012998989062242</v>
      </c>
      <c r="I1622" s="1097">
        <v>1.0046539765146441</v>
      </c>
      <c r="K1622">
        <v>5.2596662382741011</v>
      </c>
      <c r="L1622">
        <v>0</v>
      </c>
      <c r="M1622">
        <v>3.9809368246026735E-3</v>
      </c>
      <c r="N1622">
        <v>0.32488017177625161</v>
      </c>
      <c r="O1622">
        <v>0.1550159426671171</v>
      </c>
      <c r="P1622">
        <v>2.026549429031561E-2</v>
      </c>
      <c r="Q1622">
        <v>1.3229499088476088E-3</v>
      </c>
      <c r="R1622">
        <v>3.9744630339988343E-3</v>
      </c>
      <c r="S1622">
        <v>0.48724581812338086</v>
      </c>
      <c r="T1622">
        <v>4.0271229138361262</v>
      </c>
      <c r="U1622">
        <v>0</v>
      </c>
      <c r="V1622">
        <v>1.1304767209823829E-2</v>
      </c>
      <c r="W1622">
        <v>0.19625380533122694</v>
      </c>
      <c r="X1622">
        <v>2.5028712951630956E-2</v>
      </c>
      <c r="Y1622">
        <v>1.1232135969978957E-2</v>
      </c>
    </row>
    <row r="1623" spans="1:25" x14ac:dyDescent="0.25">
      <c r="A1623" s="1093"/>
      <c r="B1623" s="1452">
        <v>1373</v>
      </c>
      <c r="C1623" s="1097">
        <v>1.0290151205803084</v>
      </c>
      <c r="D1623" s="1097">
        <v>0.99705893059592632</v>
      </c>
      <c r="E1623" s="1097">
        <v>0.96427731008007544</v>
      </c>
      <c r="F1623" s="1097">
        <v>0.99028756400399853</v>
      </c>
      <c r="G1623" s="1097">
        <v>1.0148708157325377</v>
      </c>
      <c r="H1623" s="1097">
        <v>0.95551015562682207</v>
      </c>
      <c r="I1623" s="1097">
        <v>1.0199559021255007</v>
      </c>
      <c r="K1623">
        <v>5.0679430106466752</v>
      </c>
      <c r="L1623">
        <v>0</v>
      </c>
      <c r="M1623">
        <v>3.5886126736106626E-3</v>
      </c>
      <c r="N1623">
        <v>0.27999206115881287</v>
      </c>
      <c r="O1623">
        <v>0.14393215235999399</v>
      </c>
      <c r="P1623">
        <v>1.9560675091620627E-2</v>
      </c>
      <c r="Q1623">
        <v>1.2296478725805579E-3</v>
      </c>
      <c r="R1623">
        <v>3.5823196498469072E-3</v>
      </c>
      <c r="S1623">
        <v>0.44669805330165896</v>
      </c>
      <c r="T1623">
        <v>3.9610051067197127</v>
      </c>
      <c r="U1623">
        <v>0</v>
      </c>
      <c r="V1623">
        <v>1.1304767209823815E-2</v>
      </c>
      <c r="W1623">
        <v>0.1709058452528919</v>
      </c>
      <c r="X1623">
        <v>2.3197085875707266E-2</v>
      </c>
      <c r="Y1623">
        <v>1.0123908827634517E-2</v>
      </c>
    </row>
    <row r="1624" spans="1:25" x14ac:dyDescent="0.25">
      <c r="A1624" s="1093"/>
      <c r="B1624" s="1452">
        <v>1374</v>
      </c>
      <c r="C1624" s="1097">
        <v>1.0074603558292652</v>
      </c>
      <c r="D1624" s="1097">
        <v>0.9780678284955866</v>
      </c>
      <c r="E1624" s="1097">
        <v>0.99547176497116252</v>
      </c>
      <c r="F1624" s="1097">
        <v>0.99919605427200375</v>
      </c>
      <c r="G1624" s="1097">
        <v>1.0064142481363629</v>
      </c>
      <c r="H1624" s="1097">
        <v>1.0121262328514311</v>
      </c>
      <c r="I1624" s="1097">
        <v>1.0168957392760334</v>
      </c>
      <c r="K1624">
        <v>5.1862422888587663</v>
      </c>
      <c r="L1624">
        <v>0</v>
      </c>
      <c r="M1624">
        <v>3.6974589969418288E-3</v>
      </c>
      <c r="N1624">
        <v>0.31649911999941061</v>
      </c>
      <c r="O1624">
        <v>0.14861116171161598</v>
      </c>
      <c r="P1624">
        <v>2.0282438027898659E-2</v>
      </c>
      <c r="Q1624">
        <v>1.3003977120535025E-3</v>
      </c>
      <c r="R1624">
        <v>3.6913922779284935E-3</v>
      </c>
      <c r="S1624">
        <v>0.47080761371407576</v>
      </c>
      <c r="T1624">
        <v>3.9926874583020919</v>
      </c>
      <c r="U1624">
        <v>0</v>
      </c>
      <c r="V1624">
        <v>1.1304767209823811E-2</v>
      </c>
      <c r="W1624">
        <v>0.18910403511003118</v>
      </c>
      <c r="X1624">
        <v>2.5219207388883707E-2</v>
      </c>
      <c r="Y1624">
        <v>1.0432156401894304E-2</v>
      </c>
    </row>
    <row r="1625" spans="1:25" x14ac:dyDescent="0.25">
      <c r="A1625" s="1093"/>
      <c r="B1625" s="1452">
        <v>1375</v>
      </c>
      <c r="C1625" s="1097">
        <v>1.0115870852682527</v>
      </c>
      <c r="D1625" s="1097">
        <v>1.0192395707045114</v>
      </c>
      <c r="E1625" s="1097">
        <v>0.9819607263938338</v>
      </c>
      <c r="F1625" s="1097">
        <v>1.029213249109511</v>
      </c>
      <c r="G1625" s="1097">
        <v>0.98416064235905809</v>
      </c>
      <c r="H1625" s="1097">
        <v>1.0060155178715324</v>
      </c>
      <c r="I1625" s="1097">
        <v>0.97596205655955304</v>
      </c>
      <c r="K1625">
        <v>5.2928394390488576</v>
      </c>
      <c r="L1625">
        <v>0</v>
      </c>
      <c r="M1625">
        <v>3.8150841751451213E-3</v>
      </c>
      <c r="N1625">
        <v>0.31375402751801357</v>
      </c>
      <c r="O1625">
        <v>0.15033700996179822</v>
      </c>
      <c r="P1625">
        <v>2.0558866803549514E-2</v>
      </c>
      <c r="Q1625">
        <v>1.2591364734170596E-3</v>
      </c>
      <c r="R1625">
        <v>3.8089698149781802E-3</v>
      </c>
      <c r="S1625">
        <v>0.4564971160505184</v>
      </c>
      <c r="T1625">
        <v>4.1143883206286693</v>
      </c>
      <c r="U1625">
        <v>0</v>
      </c>
      <c r="V1625">
        <v>1.1304767209823811E-2</v>
      </c>
      <c r="W1625">
        <v>0.18919689963046912</v>
      </c>
      <c r="X1625">
        <v>2.478496963454585E-2</v>
      </c>
      <c r="Y1625">
        <v>1.0764439498217026E-2</v>
      </c>
    </row>
    <row r="1626" spans="1:25" x14ac:dyDescent="0.25">
      <c r="A1626" s="1093"/>
      <c r="B1626" s="1452">
        <v>1376</v>
      </c>
      <c r="C1626" s="1097">
        <v>1.0415210982701695</v>
      </c>
      <c r="D1626" s="1097">
        <v>1.0380776731378252</v>
      </c>
      <c r="E1626" s="1097">
        <v>1.0377202416436764</v>
      </c>
      <c r="F1626" s="1097">
        <v>0.99829061583473133</v>
      </c>
      <c r="G1626" s="1097">
        <v>1.0110010912038587</v>
      </c>
      <c r="H1626" s="1097">
        <v>1.001935349821804</v>
      </c>
      <c r="I1626" s="1097">
        <v>0.99706111530150765</v>
      </c>
      <c r="K1626">
        <v>5.1154156628926053</v>
      </c>
      <c r="L1626">
        <v>0</v>
      </c>
      <c r="M1626">
        <v>3.1593158142401291E-3</v>
      </c>
      <c r="N1626">
        <v>0.30644520984306389</v>
      </c>
      <c r="O1626">
        <v>0.13912978622398831</v>
      </c>
      <c r="P1626">
        <v>2.0732574696942098E-2</v>
      </c>
      <c r="Q1626">
        <v>1.2730706009545325E-3</v>
      </c>
      <c r="R1626">
        <v>3.1540746037108367E-3</v>
      </c>
      <c r="S1626">
        <v>0.43919873305458063</v>
      </c>
      <c r="T1626">
        <v>3.9838155610239006</v>
      </c>
      <c r="U1626">
        <v>0</v>
      </c>
      <c r="V1626">
        <v>1.1304767209823808E-2</v>
      </c>
      <c r="W1626">
        <v>0.17799917859556924</v>
      </c>
      <c r="X1626">
        <v>2.6608367222019196E-2</v>
      </c>
      <c r="Y1626">
        <v>8.9136556322913854E-3</v>
      </c>
    </row>
    <row r="1627" spans="1:25" x14ac:dyDescent="0.25">
      <c r="A1627" s="1093"/>
      <c r="B1627" s="1452">
        <v>1377</v>
      </c>
      <c r="C1627" s="1097">
        <v>1.0367142141687202</v>
      </c>
      <c r="D1627" s="1097">
        <v>1.0100500427640211</v>
      </c>
      <c r="E1627" s="1097">
        <v>0.98096262749451146</v>
      </c>
      <c r="F1627" s="1097">
        <v>0.98634055554042666</v>
      </c>
      <c r="G1627" s="1097">
        <v>1.0153868319123349</v>
      </c>
      <c r="H1627" s="1097">
        <v>0.98920733873261724</v>
      </c>
      <c r="I1627" s="1097">
        <v>0.99525499981807652</v>
      </c>
      <c r="K1627">
        <v>5.0498359841152221</v>
      </c>
      <c r="L1627">
        <v>0</v>
      </c>
      <c r="M1627">
        <v>3.5283082009970397E-3</v>
      </c>
      <c r="N1627">
        <v>0.28928303628140933</v>
      </c>
      <c r="O1627">
        <v>0.14111916476488207</v>
      </c>
      <c r="P1627">
        <v>1.9683960760544614E-2</v>
      </c>
      <c r="Q1627">
        <v>1.2320106683641309E-3</v>
      </c>
      <c r="R1627">
        <v>3.5223078203763876E-3</v>
      </c>
      <c r="S1627">
        <v>0.43608168857154445</v>
      </c>
      <c r="T1627">
        <v>3.9431248914797465</v>
      </c>
      <c r="U1627">
        <v>0</v>
      </c>
      <c r="V1627">
        <v>1.1304767209823813E-2</v>
      </c>
      <c r="W1627">
        <v>0.1745598502184541</v>
      </c>
      <c r="X1627">
        <v>2.3498303725208371E-2</v>
      </c>
      <c r="Y1627">
        <v>9.9543108158643926E-3</v>
      </c>
    </row>
    <row r="1628" spans="1:25" x14ac:dyDescent="0.25">
      <c r="A1628" s="1093"/>
      <c r="B1628" s="1452">
        <v>1378</v>
      </c>
      <c r="C1628" s="1097">
        <v>1.0246228282518604</v>
      </c>
      <c r="D1628" s="1097">
        <v>0.95734727741333014</v>
      </c>
      <c r="E1628" s="1097">
        <v>0.98678533058144235</v>
      </c>
      <c r="F1628" s="1097">
        <v>1.0343694146968825</v>
      </c>
      <c r="G1628" s="1097">
        <v>1.003850843542117</v>
      </c>
      <c r="H1628" s="1097">
        <v>0.99185240649303874</v>
      </c>
      <c r="I1628" s="1097">
        <v>1.0174294103111154</v>
      </c>
      <c r="K1628">
        <v>5.337658610604846</v>
      </c>
      <c r="L1628">
        <v>0</v>
      </c>
      <c r="M1628">
        <v>3.7882051258104322E-3</v>
      </c>
      <c r="N1628">
        <v>0.31602957304823981</v>
      </c>
      <c r="O1628">
        <v>0.15281515690553441</v>
      </c>
      <c r="P1628">
        <v>2.0806737175199534E-2</v>
      </c>
      <c r="Q1628">
        <v>1.2799955860796832E-3</v>
      </c>
      <c r="R1628">
        <v>3.7820777968525917E-3</v>
      </c>
      <c r="S1628">
        <v>0.47486912500800321</v>
      </c>
      <c r="T1628">
        <v>4.1343694790847119</v>
      </c>
      <c r="U1628">
        <v>0</v>
      </c>
      <c r="V1628">
        <v>1.1304767209823817E-2</v>
      </c>
      <c r="W1628">
        <v>0.18994206078919698</v>
      </c>
      <c r="X1628">
        <v>2.5559402525129383E-2</v>
      </c>
      <c r="Y1628">
        <v>1.0688440601885648E-2</v>
      </c>
    </row>
    <row r="1629" spans="1:25" x14ac:dyDescent="0.25">
      <c r="A1629" s="1093"/>
      <c r="B1629" s="1452">
        <v>1379</v>
      </c>
      <c r="C1629" s="1097">
        <v>0.99978103870861212</v>
      </c>
      <c r="D1629" s="1097">
        <v>0.99131477549753388</v>
      </c>
      <c r="E1629" s="1097">
        <v>1.0005315652972016</v>
      </c>
      <c r="F1629" s="1097">
        <v>0.99156275467876964</v>
      </c>
      <c r="G1629" s="1097">
        <v>1.0127866457131356</v>
      </c>
      <c r="H1629" s="1097">
        <v>1.0059897003164668</v>
      </c>
      <c r="I1629" s="1097">
        <v>1.0002903906691427</v>
      </c>
      <c r="K1629">
        <v>5.1402806118316082</v>
      </c>
      <c r="L1629">
        <v>0</v>
      </c>
      <c r="M1629">
        <v>3.6165715513358375E-3</v>
      </c>
      <c r="N1629">
        <v>0.31424489875188544</v>
      </c>
      <c r="O1629">
        <v>0.14767090299549351</v>
      </c>
      <c r="P1629">
        <v>2.0174334395423342E-2</v>
      </c>
      <c r="Q1629">
        <v>1.3090248741422371E-3</v>
      </c>
      <c r="R1629">
        <v>3.6105554703252649E-3</v>
      </c>
      <c r="S1629">
        <v>0.46130185688107456</v>
      </c>
      <c r="T1629">
        <v>3.96155505184662</v>
      </c>
      <c r="U1629">
        <v>0</v>
      </c>
      <c r="V1629">
        <v>1.130476720982383E-2</v>
      </c>
      <c r="W1629">
        <v>0.18711530568557749</v>
      </c>
      <c r="X1629">
        <v>2.5406779860564631E-2</v>
      </c>
      <c r="Y1629">
        <v>1.0203705412009273E-2</v>
      </c>
    </row>
    <row r="1630" spans="1:25" x14ac:dyDescent="0.25">
      <c r="A1630" s="1093"/>
      <c r="B1630" s="1452">
        <v>1380</v>
      </c>
      <c r="C1630" s="1097">
        <v>1.0134839506869155</v>
      </c>
      <c r="D1630" s="1097">
        <v>1.0297115190350845</v>
      </c>
      <c r="E1630" s="1097">
        <v>1.0126141018267172</v>
      </c>
      <c r="F1630" s="1097">
        <v>1.027596166475313</v>
      </c>
      <c r="G1630" s="1097">
        <v>1.0037410291203208</v>
      </c>
      <c r="H1630" s="1097">
        <v>1.0105848677584912</v>
      </c>
      <c r="I1630" s="1097">
        <v>0.98433511010072716</v>
      </c>
      <c r="K1630">
        <v>5.2921217303170716</v>
      </c>
      <c r="L1630">
        <v>0</v>
      </c>
      <c r="M1630">
        <v>3.5659703341868404E-3</v>
      </c>
      <c r="N1630">
        <v>0.3211571780698278</v>
      </c>
      <c r="O1630">
        <v>0.14835357287723097</v>
      </c>
      <c r="P1630">
        <v>2.0998479423832376E-2</v>
      </c>
      <c r="Q1630">
        <v>1.2850284597347879E-3</v>
      </c>
      <c r="R1630">
        <v>3.5602721261828443E-3</v>
      </c>
      <c r="S1630">
        <v>0.45889026367289532</v>
      </c>
      <c r="T1630">
        <v>4.1039640116623923</v>
      </c>
      <c r="U1630">
        <v>0</v>
      </c>
      <c r="V1630">
        <v>1.1304767209823829E-2</v>
      </c>
      <c r="W1630">
        <v>0.18968277620954979</v>
      </c>
      <c r="X1630">
        <v>2.6429750097271949E-2</v>
      </c>
      <c r="Y1630">
        <v>1.0061600842511073E-2</v>
      </c>
    </row>
    <row r="1631" spans="1:25" x14ac:dyDescent="0.25">
      <c r="A1631" s="1093"/>
      <c r="B1631" s="1452">
        <v>1381</v>
      </c>
      <c r="C1631" s="1097">
        <v>1.0154835463421121</v>
      </c>
      <c r="D1631" s="1097">
        <v>0.97915506561328891</v>
      </c>
      <c r="E1631" s="1097">
        <v>0.9834799530335181</v>
      </c>
      <c r="F1631" s="1097">
        <v>0.99168601980171056</v>
      </c>
      <c r="G1631" s="1097">
        <v>0.95842982930676135</v>
      </c>
      <c r="H1631" s="1097">
        <v>0.99859100234890741</v>
      </c>
      <c r="I1631" s="1097">
        <v>1.0247384135220801</v>
      </c>
      <c r="K1631">
        <v>5.1304297442824289</v>
      </c>
      <c r="L1631">
        <v>0</v>
      </c>
      <c r="M1631">
        <v>3.6821120410968932E-3</v>
      </c>
      <c r="N1631">
        <v>0.30416406968845344</v>
      </c>
      <c r="O1631">
        <v>0.14659249162242263</v>
      </c>
      <c r="P1631">
        <v>1.9946342558938363E-2</v>
      </c>
      <c r="Q1631">
        <v>1.2762766824728491E-3</v>
      </c>
      <c r="R1631">
        <v>3.6759423189825901E-3</v>
      </c>
      <c r="S1631">
        <v>0.4650667727303226</v>
      </c>
      <c r="T1631">
        <v>3.9641785798174429</v>
      </c>
      <c r="U1631">
        <v>0</v>
      </c>
      <c r="V1631">
        <v>1.1304767209823824E-2</v>
      </c>
      <c r="W1631">
        <v>0.18322359895736545</v>
      </c>
      <c r="X1631">
        <v>2.4294521098931952E-2</v>
      </c>
      <c r="Y1631">
        <v>1.0388493638364615E-2</v>
      </c>
    </row>
    <row r="1632" spans="1:25" x14ac:dyDescent="0.25">
      <c r="A1632" s="1093"/>
      <c r="B1632" s="1452">
        <v>1382</v>
      </c>
      <c r="C1632" s="1097">
        <v>0.97061995452333483</v>
      </c>
      <c r="D1632" s="1097">
        <v>0.98870654915539258</v>
      </c>
      <c r="E1632" s="1097">
        <v>1.0053363044372623</v>
      </c>
      <c r="F1632" s="1097">
        <v>0.99128978441779814</v>
      </c>
      <c r="G1632" s="1097">
        <v>0.99826980835426804</v>
      </c>
      <c r="H1632" s="1097">
        <v>1.0020449177761168</v>
      </c>
      <c r="I1632" s="1097">
        <v>1.0182021271381987</v>
      </c>
      <c r="K1632">
        <v>5.1809794568150336</v>
      </c>
      <c r="L1632">
        <v>0</v>
      </c>
      <c r="M1632">
        <v>3.6761084184487995E-3</v>
      </c>
      <c r="N1632">
        <v>0.32399463973544157</v>
      </c>
      <c r="O1632">
        <v>0.15208873722470659</v>
      </c>
      <c r="P1632">
        <v>2.0338124268531967E-2</v>
      </c>
      <c r="Q1632">
        <v>1.3553337577011328E-3</v>
      </c>
      <c r="R1632">
        <v>3.6699675379725754E-3</v>
      </c>
      <c r="S1632">
        <v>0.48303985829602697</v>
      </c>
      <c r="T1632">
        <v>3.9598672943562061</v>
      </c>
      <c r="U1632">
        <v>0</v>
      </c>
      <c r="V1632">
        <v>1.1304767209823824E-2</v>
      </c>
      <c r="W1632">
        <v>0.19229649904012652</v>
      </c>
      <c r="X1632">
        <v>2.6328735355862682E-2</v>
      </c>
      <c r="Y1632">
        <v>1.0371608451077362E-2</v>
      </c>
    </row>
    <row r="1633" spans="1:25" x14ac:dyDescent="0.25">
      <c r="A1633" s="1093"/>
      <c r="B1633" s="1452">
        <v>1383</v>
      </c>
      <c r="C1633" s="1097">
        <v>0.99017331040782453</v>
      </c>
      <c r="D1633" s="1097">
        <v>0.9953185374662159</v>
      </c>
      <c r="E1633" s="1097">
        <v>0.99677366498587849</v>
      </c>
      <c r="F1633" s="1097">
        <v>0.97877760827224192</v>
      </c>
      <c r="G1633" s="1097">
        <v>1.0227302823377367</v>
      </c>
      <c r="H1633" s="1097">
        <v>0.98223930809294957</v>
      </c>
      <c r="I1633" s="1097">
        <v>0.98151996430019373</v>
      </c>
      <c r="K1633">
        <v>5.0590062096063102</v>
      </c>
      <c r="L1633">
        <v>0</v>
      </c>
      <c r="M1633">
        <v>3.5417986090273846E-3</v>
      </c>
      <c r="N1633">
        <v>0.3043208663211952</v>
      </c>
      <c r="O1633">
        <v>0.14704771265220562</v>
      </c>
      <c r="P1633">
        <v>1.9825171340056885E-2</v>
      </c>
      <c r="Q1633">
        <v>1.3153504216497586E-3</v>
      </c>
      <c r="R1633">
        <v>3.5356857639679226E-3</v>
      </c>
      <c r="S1633">
        <v>0.44741946016253942</v>
      </c>
      <c r="T1633">
        <v>3.9109371109343409</v>
      </c>
      <c r="U1633">
        <v>0</v>
      </c>
      <c r="V1633">
        <v>1.1304767209823811E-2</v>
      </c>
      <c r="W1633">
        <v>0.18166734484045305</v>
      </c>
      <c r="X1633">
        <v>2.5182420663292873E-2</v>
      </c>
      <c r="Y1633">
        <v>9.9921179058117485E-3</v>
      </c>
    </row>
    <row r="1634" spans="1:25" x14ac:dyDescent="0.25">
      <c r="A1634" s="1093"/>
      <c r="B1634" s="1452">
        <v>1384</v>
      </c>
      <c r="C1634" s="1097">
        <v>1.0013859495963482</v>
      </c>
      <c r="D1634" s="1097">
        <v>1.0382438127269786</v>
      </c>
      <c r="E1634" s="1097">
        <v>1.0273848590689814</v>
      </c>
      <c r="F1634" s="1097">
        <v>0.98726513470789379</v>
      </c>
      <c r="G1634" s="1097">
        <v>1.0011417951254786</v>
      </c>
      <c r="H1634" s="1097">
        <v>1.0115333679495317</v>
      </c>
      <c r="I1634" s="1097">
        <v>1.0152157380010218</v>
      </c>
      <c r="K1634">
        <v>5.1159967704800202</v>
      </c>
      <c r="L1634">
        <v>0</v>
      </c>
      <c r="M1634">
        <v>3.3531771347045827E-3</v>
      </c>
      <c r="N1634">
        <v>0.31546240277860355</v>
      </c>
      <c r="O1634">
        <v>0.1433781872528947</v>
      </c>
      <c r="P1634">
        <v>2.0488043717098215E-2</v>
      </c>
      <c r="Q1634">
        <v>1.3125715704065636E-3</v>
      </c>
      <c r="R1634">
        <v>3.3476056662978095E-3</v>
      </c>
      <c r="S1634">
        <v>0.4625573648758009</v>
      </c>
      <c r="T1634">
        <v>3.9410782663046353</v>
      </c>
      <c r="U1634">
        <v>0</v>
      </c>
      <c r="V1634">
        <v>1.1304767209823815E-2</v>
      </c>
      <c r="W1634">
        <v>0.18449325824813734</v>
      </c>
      <c r="X1634">
        <v>2.6466890800468362E-2</v>
      </c>
      <c r="Y1634">
        <v>9.4605891905598285E-3</v>
      </c>
    </row>
    <row r="1635" spans="1:25" x14ac:dyDescent="0.25">
      <c r="A1635" s="1093"/>
      <c r="B1635" s="1452">
        <v>1385</v>
      </c>
      <c r="C1635" s="1097">
        <v>0.9575843492286148</v>
      </c>
      <c r="D1635" s="1097">
        <v>1.0339673005256518</v>
      </c>
      <c r="E1635" s="1097">
        <v>0.97677608588211162</v>
      </c>
      <c r="F1635" s="1097">
        <v>1.004445904719717</v>
      </c>
      <c r="G1635" s="1097">
        <v>0.9660990619731219</v>
      </c>
      <c r="H1635" s="1097">
        <v>1.0053792446533216</v>
      </c>
      <c r="I1635" s="1097">
        <v>1.0039343257951752</v>
      </c>
      <c r="K1635">
        <v>5.2371736935447188</v>
      </c>
      <c r="L1635">
        <v>0</v>
      </c>
      <c r="M1635">
        <v>3.9511938340408793E-3</v>
      </c>
      <c r="N1635">
        <v>0.31997357005349558</v>
      </c>
      <c r="O1635">
        <v>0.15425584464850817</v>
      </c>
      <c r="P1635">
        <v>2.016382560018588E-2</v>
      </c>
      <c r="Q1635">
        <v>1.3165929671964725E-3</v>
      </c>
      <c r="R1635">
        <v>3.9447013402497269E-3</v>
      </c>
      <c r="S1635">
        <v>0.48452192285140022</v>
      </c>
      <c r="T1635">
        <v>4.0160384184888764</v>
      </c>
      <c r="U1635">
        <v>0</v>
      </c>
      <c r="V1635">
        <v>1.1304767209823808E-2</v>
      </c>
      <c r="W1635">
        <v>0.1936342434315434</v>
      </c>
      <c r="X1635">
        <v>2.482297363623592E-2</v>
      </c>
      <c r="Y1635">
        <v>1.1148027151246149E-2</v>
      </c>
    </row>
    <row r="1636" spans="1:25" x14ac:dyDescent="0.25">
      <c r="A1636" s="1093"/>
      <c r="B1636" s="1452">
        <v>1386</v>
      </c>
      <c r="C1636" s="1097">
        <v>1.0270985691825494</v>
      </c>
      <c r="D1636" s="1097">
        <v>1.0093706474126831</v>
      </c>
      <c r="E1636" s="1097">
        <v>1.0246529300442162</v>
      </c>
      <c r="F1636" s="1097">
        <v>1.0156773303547539</v>
      </c>
      <c r="G1636" s="1097">
        <v>0.9663646220464176</v>
      </c>
      <c r="H1636" s="1097">
        <v>1.0089651354800857</v>
      </c>
      <c r="I1636" s="1097">
        <v>1.0254635987419412</v>
      </c>
      <c r="K1636">
        <v>5.2440036941542427</v>
      </c>
      <c r="L1636">
        <v>0</v>
      </c>
      <c r="M1636">
        <v>3.4123323324650829E-3</v>
      </c>
      <c r="N1636">
        <v>0.31845799014286869</v>
      </c>
      <c r="O1636">
        <v>0.14551829405859262</v>
      </c>
      <c r="P1636">
        <v>2.1002183340329588E-2</v>
      </c>
      <c r="Q1636">
        <v>1.2912539200395352E-3</v>
      </c>
      <c r="R1636">
        <v>3.4068068906316119E-3</v>
      </c>
      <c r="S1636">
        <v>0.4686042335785417</v>
      </c>
      <c r="T1636">
        <v>4.0548414279437317</v>
      </c>
      <c r="U1636">
        <v>0</v>
      </c>
      <c r="V1636">
        <v>1.1304767209823825E-2</v>
      </c>
      <c r="W1636">
        <v>0.18658337974886438</v>
      </c>
      <c r="X1636">
        <v>2.6777793282953769E-2</v>
      </c>
      <c r="Y1636">
        <v>9.6278963703268199E-3</v>
      </c>
    </row>
    <row r="1637" spans="1:25" x14ac:dyDescent="0.25">
      <c r="A1637" s="1093"/>
      <c r="B1637" s="1452">
        <v>1387</v>
      </c>
      <c r="C1637" s="1097">
        <v>0.99409934842176528</v>
      </c>
      <c r="D1637" s="1097">
        <v>1.0289269518032593</v>
      </c>
      <c r="E1637" s="1097">
        <v>1.0034648446447783</v>
      </c>
      <c r="F1637" s="1097">
        <v>0.95784926703974826</v>
      </c>
      <c r="G1637" s="1097">
        <v>0.99210625941648556</v>
      </c>
      <c r="H1637" s="1097">
        <v>1.0214040437897611</v>
      </c>
      <c r="I1637" s="1097">
        <v>0.97002799446848487</v>
      </c>
      <c r="K1637">
        <v>4.9588094941935603</v>
      </c>
      <c r="L1637">
        <v>0</v>
      </c>
      <c r="M1637">
        <v>3.493220313825417E-3</v>
      </c>
      <c r="N1637">
        <v>0.30616603551962862</v>
      </c>
      <c r="O1637">
        <v>0.14126636248852095</v>
      </c>
      <c r="P1637">
        <v>1.9489745657331969E-2</v>
      </c>
      <c r="Q1637">
        <v>1.3003019424920107E-3</v>
      </c>
      <c r="R1637">
        <v>3.4872960279502805E-3</v>
      </c>
      <c r="S1637">
        <v>0.43654239156306668</v>
      </c>
      <c r="T1637">
        <v>3.8265083388676908</v>
      </c>
      <c r="U1637">
        <v>0</v>
      </c>
      <c r="V1637">
        <v>1.1304767209823815E-2</v>
      </c>
      <c r="W1637">
        <v>0.18194421555212367</v>
      </c>
      <c r="X1637">
        <v>2.4437894861311569E-2</v>
      </c>
      <c r="Y1637">
        <v>9.8553648174443138E-3</v>
      </c>
    </row>
    <row r="1638" spans="1:25" x14ac:dyDescent="0.25">
      <c r="A1638" s="1093"/>
      <c r="B1638" s="1452">
        <v>1388</v>
      </c>
      <c r="C1638" s="1097">
        <v>0.96012968656407671</v>
      </c>
      <c r="D1638" s="1097">
        <v>0.9661892809265068</v>
      </c>
      <c r="E1638" s="1097">
        <v>1.0003598636109152</v>
      </c>
      <c r="F1638" s="1097">
        <v>1.0007568841077483</v>
      </c>
      <c r="G1638" s="1097">
        <v>1.0151803816909832</v>
      </c>
      <c r="H1638" s="1097">
        <v>0.98860049395279248</v>
      </c>
      <c r="I1638" s="1097">
        <v>1.0242886773773181</v>
      </c>
      <c r="K1638">
        <v>5.2434955397804197</v>
      </c>
      <c r="L1638">
        <v>0</v>
      </c>
      <c r="M1638">
        <v>3.7750077401704808E-3</v>
      </c>
      <c r="N1638">
        <v>0.32784012612308033</v>
      </c>
      <c r="O1638">
        <v>0.15680216108379558</v>
      </c>
      <c r="P1638">
        <v>2.0490991337838469E-2</v>
      </c>
      <c r="Q1638">
        <v>1.3769518467332922E-3</v>
      </c>
      <c r="R1638">
        <v>3.7686762568429621E-3</v>
      </c>
      <c r="S1638">
        <v>0.49471377576944026</v>
      </c>
      <c r="T1638">
        <v>3.9983095963106789</v>
      </c>
      <c r="U1638">
        <v>0</v>
      </c>
      <c r="V1638">
        <v>1.1304767209823808E-2</v>
      </c>
      <c r="W1638">
        <v>0.19523315351454654</v>
      </c>
      <c r="X1638">
        <v>2.6779781241149176E-2</v>
      </c>
      <c r="Y1638">
        <v>1.0650566826659255E-2</v>
      </c>
    </row>
    <row r="1639" spans="1:25" x14ac:dyDescent="0.25">
      <c r="A1639" s="1093"/>
      <c r="B1639" s="1452">
        <v>1389</v>
      </c>
      <c r="C1639" s="1097">
        <v>1.0025689683919654</v>
      </c>
      <c r="D1639" s="1097">
        <v>1.0124675796824558</v>
      </c>
      <c r="E1639" s="1097">
        <v>0.99475331065916273</v>
      </c>
      <c r="F1639" s="1097">
        <v>1.0099027685362574</v>
      </c>
      <c r="G1639" s="1097">
        <v>1.0418651648834698</v>
      </c>
      <c r="H1639" s="1097">
        <v>1.0235078612183011</v>
      </c>
      <c r="I1639" s="1097">
        <v>1.0053184773033403</v>
      </c>
      <c r="K1639">
        <v>5.2360597648627847</v>
      </c>
      <c r="L1639">
        <v>0</v>
      </c>
      <c r="M1639">
        <v>3.7509952705481165E-3</v>
      </c>
      <c r="N1639">
        <v>0.32041011916916962</v>
      </c>
      <c r="O1639">
        <v>0.14888385208075613</v>
      </c>
      <c r="P1639">
        <v>2.046595510943915E-2</v>
      </c>
      <c r="Q1639">
        <v>1.2880027743067634E-3</v>
      </c>
      <c r="R1639">
        <v>3.7449735676663631E-3</v>
      </c>
      <c r="S1639">
        <v>0.47085320916370438</v>
      </c>
      <c r="T1639">
        <v>4.0355617238853494</v>
      </c>
      <c r="U1639">
        <v>0</v>
      </c>
      <c r="V1639">
        <v>1.1304767209823825E-2</v>
      </c>
      <c r="W1639">
        <v>0.19153409779409503</v>
      </c>
      <c r="X1639">
        <v>2.5180478161589286E-2</v>
      </c>
      <c r="Y1639">
        <v>1.0583581217431475E-2</v>
      </c>
    </row>
    <row r="1640" spans="1:25" x14ac:dyDescent="0.25">
      <c r="A1640" s="1093"/>
      <c r="B1640" s="1452">
        <v>1390</v>
      </c>
      <c r="C1640" s="1097">
        <v>0.97939384943254881</v>
      </c>
      <c r="D1640" s="1097">
        <v>0.97764019046731609</v>
      </c>
      <c r="E1640" s="1097">
        <v>0.99619982164801157</v>
      </c>
      <c r="F1640" s="1097">
        <v>0.99444966443617144</v>
      </c>
      <c r="G1640" s="1097">
        <v>1.0043775384717948</v>
      </c>
      <c r="H1640" s="1097">
        <v>0.99213912641044311</v>
      </c>
      <c r="I1640" s="1097">
        <v>1.0340146046423628</v>
      </c>
      <c r="K1640">
        <v>5.1892726919440868</v>
      </c>
      <c r="L1640">
        <v>0</v>
      </c>
      <c r="M1640">
        <v>3.7055947049013469E-3</v>
      </c>
      <c r="N1640">
        <v>0.31786767104004621</v>
      </c>
      <c r="O1640">
        <v>0.15214960493952273</v>
      </c>
      <c r="P1640">
        <v>2.027857975844433E-2</v>
      </c>
      <c r="Q1640">
        <v>1.3387345303028362E-3</v>
      </c>
      <c r="R1640">
        <v>3.699362596512522E-3</v>
      </c>
      <c r="S1640">
        <v>0.48657115117038452</v>
      </c>
      <c r="T1640">
        <v>3.9736302791228915</v>
      </c>
      <c r="U1640">
        <v>0</v>
      </c>
      <c r="V1640">
        <v>1.1304767209823829E-2</v>
      </c>
      <c r="W1640">
        <v>0.18982802910466076</v>
      </c>
      <c r="X1640">
        <v>2.5855426045675485E-2</v>
      </c>
      <c r="Y1640">
        <v>1.0454681130717805E-2</v>
      </c>
    </row>
    <row r="1641" spans="1:25" x14ac:dyDescent="0.25">
      <c r="A1641" s="1093"/>
      <c r="B1641" s="1452">
        <v>1391</v>
      </c>
      <c r="C1641" s="1097">
        <v>1.0206484540840832</v>
      </c>
      <c r="D1641" s="1097">
        <v>0.99151178689593589</v>
      </c>
      <c r="E1641" s="1097">
        <v>1.0110983744715549</v>
      </c>
      <c r="F1641" s="1097">
        <v>0.98957623169064601</v>
      </c>
      <c r="G1641" s="1097">
        <v>1.0102502438165235</v>
      </c>
      <c r="H1641" s="1097">
        <v>0.98074773115173575</v>
      </c>
      <c r="I1641" s="1097">
        <v>1.0073404789768148</v>
      </c>
      <c r="K1641">
        <v>5.0949252652327299</v>
      </c>
      <c r="L1641">
        <v>0</v>
      </c>
      <c r="M1641">
        <v>3.3706413226141049E-3</v>
      </c>
      <c r="N1641">
        <v>0.30217261484524199</v>
      </c>
      <c r="O1641">
        <v>0.14406428717965128</v>
      </c>
      <c r="P1641">
        <v>2.0237184742557594E-2</v>
      </c>
      <c r="Q1641">
        <v>1.2937804705802274E-3</v>
      </c>
      <c r="R1641">
        <v>3.3648785050960474E-3</v>
      </c>
      <c r="S1641">
        <v>0.44963991337713166</v>
      </c>
      <c r="T1641">
        <v>3.9523090978736883</v>
      </c>
      <c r="U1641">
        <v>0</v>
      </c>
      <c r="V1641">
        <v>1.1304767209823808E-2</v>
      </c>
      <c r="W1641">
        <v>0.17865152037137794</v>
      </c>
      <c r="X1641">
        <v>2.5748458428472423E-2</v>
      </c>
      <c r="Y1641">
        <v>9.5094035517225093E-3</v>
      </c>
    </row>
    <row r="1642" spans="1:25" x14ac:dyDescent="0.25">
      <c r="A1642" s="1093"/>
      <c r="B1642" s="1452">
        <v>1392</v>
      </c>
      <c r="C1642" s="1097">
        <v>0.9839733543248077</v>
      </c>
      <c r="D1642" s="1097">
        <v>0.99380677438662224</v>
      </c>
      <c r="E1642" s="1097">
        <v>0.98801667686716377</v>
      </c>
      <c r="F1642" s="1097">
        <v>1.0090575447773991</v>
      </c>
      <c r="G1642" s="1097">
        <v>1.0419526961386811</v>
      </c>
      <c r="H1642" s="1097">
        <v>1.0017371541657007</v>
      </c>
      <c r="I1642" s="1097">
        <v>0.98724096219030499</v>
      </c>
      <c r="K1642">
        <v>5.2352463651729586</v>
      </c>
      <c r="L1642">
        <v>0</v>
      </c>
      <c r="M1642">
        <v>3.819105896291781E-3</v>
      </c>
      <c r="N1642">
        <v>0.31976535509016074</v>
      </c>
      <c r="O1642">
        <v>0.15289537960629065</v>
      </c>
      <c r="P1642">
        <v>2.0340125244032843E-2</v>
      </c>
      <c r="Q1642">
        <v>1.3144927306203674E-3</v>
      </c>
      <c r="R1642">
        <v>3.8128363669539421E-3</v>
      </c>
      <c r="S1642">
        <v>0.46838324020517091</v>
      </c>
      <c r="T1642">
        <v>4.0330411369860455</v>
      </c>
      <c r="U1642">
        <v>0</v>
      </c>
      <c r="V1642">
        <v>1.1304767209823803E-2</v>
      </c>
      <c r="W1642">
        <v>0.19202611099586828</v>
      </c>
      <c r="X1642">
        <v>2.5406659964987543E-2</v>
      </c>
      <c r="Y1642">
        <v>1.0775366669297803E-2</v>
      </c>
    </row>
    <row r="1643" spans="1:25" x14ac:dyDescent="0.25">
      <c r="A1643" s="1093"/>
      <c r="B1643" s="1452">
        <v>1393</v>
      </c>
      <c r="C1643" s="1097">
        <v>0.99018570256737648</v>
      </c>
      <c r="D1643" s="1097">
        <v>1.003392861128279</v>
      </c>
      <c r="E1643" s="1097">
        <v>1.0002560228003736</v>
      </c>
      <c r="F1643" s="1097">
        <v>1.0024876127796087</v>
      </c>
      <c r="G1643" s="1097">
        <v>1.0015140284407333</v>
      </c>
      <c r="H1643" s="1097">
        <v>0.97756706841958818</v>
      </c>
      <c r="I1643" s="1097">
        <v>1.0043611564077743</v>
      </c>
      <c r="K1643">
        <v>5.184583102478741</v>
      </c>
      <c r="L1643">
        <v>0</v>
      </c>
      <c r="M1643">
        <v>3.5722140856883989E-3</v>
      </c>
      <c r="N1643">
        <v>0.31012812813781598</v>
      </c>
      <c r="O1643">
        <v>0.15002397303865436</v>
      </c>
      <c r="P1643">
        <v>2.0387735694134924E-2</v>
      </c>
      <c r="Q1643">
        <v>1.3150123772791586E-3</v>
      </c>
      <c r="R1643">
        <v>3.5661655510170385E-3</v>
      </c>
      <c r="S1643">
        <v>0.46544410712700424</v>
      </c>
      <c r="T1643">
        <v>4.0052374197643843</v>
      </c>
      <c r="U1643">
        <v>0</v>
      </c>
      <c r="V1643">
        <v>1.130476720982382E-2</v>
      </c>
      <c r="W1643">
        <v>0.18469838283004539</v>
      </c>
      <c r="X1643">
        <v>2.5971368723231959E-2</v>
      </c>
      <c r="Y1643">
        <v>1.0078256111034205E-2</v>
      </c>
    </row>
    <row r="1644" spans="1:25" x14ac:dyDescent="0.25">
      <c r="A1644" s="1093"/>
      <c r="B1644" s="1452">
        <v>1394</v>
      </c>
      <c r="C1644" s="1097">
        <v>1.005493500498156</v>
      </c>
      <c r="D1644" s="1097">
        <v>0.99825625914434879</v>
      </c>
      <c r="E1644" s="1097">
        <v>1.0075968567527704</v>
      </c>
      <c r="F1644" s="1097">
        <v>1.0093804920860263</v>
      </c>
      <c r="G1644" s="1097">
        <v>0.99292076877233293</v>
      </c>
      <c r="H1644" s="1097">
        <v>1.0193670286183283</v>
      </c>
      <c r="I1644" s="1097">
        <v>1.0073651071785883</v>
      </c>
      <c r="K1644">
        <v>5.2360056639470649</v>
      </c>
      <c r="L1644">
        <v>0</v>
      </c>
      <c r="M1644">
        <v>3.644210855660504E-3</v>
      </c>
      <c r="N1644">
        <v>0.32335949931381691</v>
      </c>
      <c r="O1644">
        <v>0.14885623429811282</v>
      </c>
      <c r="P1644">
        <v>2.0645258253638919E-2</v>
      </c>
      <c r="Q1644">
        <v>1.3058229122366381E-3</v>
      </c>
      <c r="R1644">
        <v>3.6383337812291357E-3</v>
      </c>
      <c r="S1644">
        <v>0.47075996766965389</v>
      </c>
      <c r="T1644">
        <v>4.0318479415187864</v>
      </c>
      <c r="U1644">
        <v>0</v>
      </c>
      <c r="V1644">
        <v>1.1304767209823827E-2</v>
      </c>
      <c r="W1644">
        <v>0.19162781260729619</v>
      </c>
      <c r="X1644">
        <v>2.6022028198728862E-2</v>
      </c>
      <c r="Y1644">
        <v>1.0282209039397323E-2</v>
      </c>
    </row>
    <row r="1645" spans="1:25" x14ac:dyDescent="0.25">
      <c r="A1645" s="1093"/>
      <c r="B1645" s="1452">
        <v>1395</v>
      </c>
      <c r="C1645" s="1097">
        <v>0.98503877290008091</v>
      </c>
      <c r="D1645" s="1097">
        <v>1.0284241768340217</v>
      </c>
      <c r="E1645" s="1097">
        <v>1.0137471813904819</v>
      </c>
      <c r="F1645" s="1097">
        <v>1.0084404221135708</v>
      </c>
      <c r="G1645" s="1097">
        <v>1.0226129338207015</v>
      </c>
      <c r="H1645" s="1097">
        <v>0.96409684298093157</v>
      </c>
      <c r="I1645" s="1097">
        <v>1.0061184521635891</v>
      </c>
      <c r="K1645">
        <v>5.2059110748193769</v>
      </c>
      <c r="L1645">
        <v>0</v>
      </c>
      <c r="M1645">
        <v>3.4285394504894435E-3</v>
      </c>
      <c r="N1645">
        <v>0.30978354458071133</v>
      </c>
      <c r="O1645">
        <v>0.14983528407512933</v>
      </c>
      <c r="P1645">
        <v>2.0697630415917847E-2</v>
      </c>
      <c r="Q1645">
        <v>1.3240727040025432E-3</v>
      </c>
      <c r="R1645">
        <v>3.4226877678845292E-3</v>
      </c>
      <c r="S1645">
        <v>0.46623383652501654</v>
      </c>
      <c r="T1645">
        <v>4.0273181527117714</v>
      </c>
      <c r="U1645">
        <v>0</v>
      </c>
      <c r="V1645">
        <v>1.1304767209823825E-2</v>
      </c>
      <c r="W1645">
        <v>0.18282642794208717</v>
      </c>
      <c r="X1645">
        <v>2.6920433395626709E-2</v>
      </c>
      <c r="Y1645">
        <v>9.6727769418911858E-3</v>
      </c>
    </row>
    <row r="1646" spans="1:25" x14ac:dyDescent="0.25">
      <c r="A1646" s="1093"/>
      <c r="B1646" s="1452">
        <v>1396</v>
      </c>
      <c r="C1646" s="1097">
        <v>0.9529162423695644</v>
      </c>
      <c r="D1646" s="1097">
        <v>1.0190775039849671</v>
      </c>
      <c r="E1646" s="1097">
        <v>1.0020568790246167</v>
      </c>
      <c r="F1646" s="1097">
        <v>1.0165059836836428</v>
      </c>
      <c r="G1646" s="1097">
        <v>1.0245380842473992</v>
      </c>
      <c r="H1646" s="1097">
        <v>1.0217846696668516</v>
      </c>
      <c r="I1646" s="1097">
        <v>1.0187375748821392</v>
      </c>
      <c r="K1646">
        <v>5.335297216390372</v>
      </c>
      <c r="L1646">
        <v>0</v>
      </c>
      <c r="M1646">
        <v>3.8948559456629837E-3</v>
      </c>
      <c r="N1646">
        <v>0.33998033426749197</v>
      </c>
      <c r="O1646">
        <v>0.15704072282803172</v>
      </c>
      <c r="P1646">
        <v>2.0843801740201361E-2</v>
      </c>
      <c r="Q1646">
        <v>1.3600881969093861E-3</v>
      </c>
      <c r="R1646">
        <v>3.8886333688677691E-3</v>
      </c>
      <c r="S1646">
        <v>0.50377518725870363</v>
      </c>
      <c r="T1646">
        <v>4.0610152884008093</v>
      </c>
      <c r="U1646">
        <v>0</v>
      </c>
      <c r="V1646">
        <v>1.1304767209823813E-2</v>
      </c>
      <c r="W1646">
        <v>0.20223091347272149</v>
      </c>
      <c r="X1646">
        <v>2.6762760808943919E-2</v>
      </c>
      <c r="Y1646">
        <v>1.0989574783533624E-2</v>
      </c>
    </row>
    <row r="1647" spans="1:25" x14ac:dyDescent="0.25">
      <c r="A1647" s="1093"/>
      <c r="B1647" s="1452">
        <v>1397</v>
      </c>
      <c r="C1647" s="1097">
        <v>0.97490351086451255</v>
      </c>
      <c r="D1647" s="1097">
        <v>1.023423510945604</v>
      </c>
      <c r="E1647" s="1097">
        <v>1.005137172102631</v>
      </c>
      <c r="F1647" s="1097">
        <v>0.97517744650774718</v>
      </c>
      <c r="G1647" s="1097">
        <v>0.98438870035526171</v>
      </c>
      <c r="H1647" s="1097">
        <v>1.0073764005148846</v>
      </c>
      <c r="I1647" s="1097">
        <v>1.0046970364458734</v>
      </c>
      <c r="K1647">
        <v>5.0778514864248194</v>
      </c>
      <c r="L1647">
        <v>0</v>
      </c>
      <c r="M1647">
        <v>3.5715981171451929E-3</v>
      </c>
      <c r="N1647">
        <v>0.31459214763911647</v>
      </c>
      <c r="O1647">
        <v>0.14692263244031248</v>
      </c>
      <c r="P1647">
        <v>1.9963113501991883E-2</v>
      </c>
      <c r="Q1647">
        <v>1.3306528662908569E-3</v>
      </c>
      <c r="R1647">
        <v>3.5655655063548918E-3</v>
      </c>
      <c r="S1647">
        <v>0.46589732086989388</v>
      </c>
      <c r="T1647">
        <v>3.8955282768241668</v>
      </c>
      <c r="U1647">
        <v>0</v>
      </c>
      <c r="V1647">
        <v>1.130476720982382E-2</v>
      </c>
      <c r="W1647">
        <v>0.18674099754224707</v>
      </c>
      <c r="X1647">
        <v>2.550104980275765E-2</v>
      </c>
      <c r="Y1647">
        <v>1.007656033900774E-2</v>
      </c>
    </row>
    <row r="1648" spans="1:25" x14ac:dyDescent="0.25">
      <c r="A1648" s="1093"/>
      <c r="B1648" s="1452">
        <v>1398</v>
      </c>
      <c r="C1648" s="1097">
        <v>1.0266738238350614</v>
      </c>
      <c r="D1648" s="1097">
        <v>0.97955815991369544</v>
      </c>
      <c r="E1648" s="1097">
        <v>0.95499290271470627</v>
      </c>
      <c r="F1648" s="1097">
        <v>0.99396261772646677</v>
      </c>
      <c r="G1648" s="1097">
        <v>1.0181390580324801</v>
      </c>
      <c r="H1648" s="1097">
        <v>1.0031084464390272</v>
      </c>
      <c r="I1648" s="1097">
        <v>1.0040153005344377</v>
      </c>
      <c r="K1648">
        <v>5.1177272129513387</v>
      </c>
      <c r="L1648">
        <v>0</v>
      </c>
      <c r="M1648">
        <v>3.8917750315308865E-3</v>
      </c>
      <c r="N1648">
        <v>0.2954083383286002</v>
      </c>
      <c r="O1648">
        <v>0.14607696551675936</v>
      </c>
      <c r="P1648">
        <v>1.9515343473907324E-2</v>
      </c>
      <c r="Q1648">
        <v>1.2311197476050589E-3</v>
      </c>
      <c r="R1648">
        <v>3.8852982104914616E-3</v>
      </c>
      <c r="S1648">
        <v>0.45235140694212111</v>
      </c>
      <c r="T1648">
        <v>3.9768852723935373</v>
      </c>
      <c r="U1648">
        <v>0</v>
      </c>
      <c r="V1648">
        <v>1.130476720982382E-2</v>
      </c>
      <c r="W1648">
        <v>0.18148270666203925</v>
      </c>
      <c r="X1648">
        <v>2.2497620126648118E-2</v>
      </c>
      <c r="Y1648">
        <v>1.0980149371334881E-2</v>
      </c>
    </row>
    <row r="1649" spans="1:25" x14ac:dyDescent="0.25">
      <c r="A1649" s="1093"/>
      <c r="B1649" s="1452">
        <v>1399</v>
      </c>
      <c r="C1649" s="1097">
        <v>1.0211148959730996</v>
      </c>
      <c r="D1649" s="1097">
        <v>0.99344432903875834</v>
      </c>
      <c r="E1649" s="1097">
        <v>1.0330661020437517</v>
      </c>
      <c r="F1649" s="1097">
        <v>1.0385224275967406</v>
      </c>
      <c r="G1649" s="1097">
        <v>1.0150206446439674</v>
      </c>
      <c r="H1649" s="1097">
        <v>1.0085898892076257</v>
      </c>
      <c r="I1649" s="1097">
        <v>0.963741675333048</v>
      </c>
      <c r="K1649">
        <v>5.3451809552969323</v>
      </c>
      <c r="L1649">
        <v>0</v>
      </c>
      <c r="M1649">
        <v>3.46821724400509E-3</v>
      </c>
      <c r="N1649">
        <v>0.33183737435397664</v>
      </c>
      <c r="O1649">
        <v>0.15037955057999056</v>
      </c>
      <c r="P1649">
        <v>2.1476725608317114E-2</v>
      </c>
      <c r="Q1649">
        <v>1.3163962167333837E-3</v>
      </c>
      <c r="R1649">
        <v>3.4627226068225324E-3</v>
      </c>
      <c r="S1649">
        <v>0.45268684310009788</v>
      </c>
      <c r="T1649">
        <v>4.1449628160239911</v>
      </c>
      <c r="U1649">
        <v>0</v>
      </c>
      <c r="V1649">
        <v>1.1304767209823818E-2</v>
      </c>
      <c r="W1649">
        <v>0.19334115510033253</v>
      </c>
      <c r="X1649">
        <v>2.8094903287607029E-2</v>
      </c>
      <c r="Y1649">
        <v>9.7859184532453451E-3</v>
      </c>
    </row>
    <row r="1650" spans="1:25" x14ac:dyDescent="0.25">
      <c r="A1650" s="1093"/>
      <c r="B1650" s="1452">
        <v>1400</v>
      </c>
      <c r="C1650" s="1097">
        <v>0.99401464662071715</v>
      </c>
      <c r="D1650" s="1097">
        <v>1.002542356580792</v>
      </c>
      <c r="E1650" s="1097">
        <v>0.95961215816171275</v>
      </c>
      <c r="F1650" s="1097">
        <v>0.97090717606443788</v>
      </c>
      <c r="G1650" s="1097">
        <v>1.001021073617663</v>
      </c>
      <c r="H1650" s="1097">
        <v>1.0076149912110921</v>
      </c>
      <c r="I1650" s="1097">
        <v>1.0288803828232067</v>
      </c>
      <c r="K1650">
        <v>5.0436604729245422</v>
      </c>
      <c r="L1650">
        <v>0</v>
      </c>
      <c r="M1650">
        <v>3.8702051928406226E-3</v>
      </c>
      <c r="N1650">
        <v>0.29782289168802595</v>
      </c>
      <c r="O1650">
        <v>0.14589060142977792</v>
      </c>
      <c r="P1650">
        <v>1.9245787406949776E-2</v>
      </c>
      <c r="Q1650">
        <v>1.2649631171260324E-3</v>
      </c>
      <c r="R1650">
        <v>3.8636410722299032E-3</v>
      </c>
      <c r="S1650">
        <v>0.46817519376841432</v>
      </c>
      <c r="T1650">
        <v>3.8840651908497086</v>
      </c>
      <c r="U1650">
        <v>0</v>
      </c>
      <c r="V1650">
        <v>1.1304767209823824E-2</v>
      </c>
      <c r="W1650">
        <v>0.18237891206561579</v>
      </c>
      <c r="X1650">
        <v>2.2599784864543539E-2</v>
      </c>
      <c r="Y1650">
        <v>1.0918944645163428E-2</v>
      </c>
    </row>
    <row r="1651" spans="1:25" x14ac:dyDescent="0.25">
      <c r="A1651" s="1093"/>
      <c r="B1651" s="1452">
        <v>1401</v>
      </c>
      <c r="C1651" s="1097">
        <v>0.99880750300064991</v>
      </c>
      <c r="D1651" s="1097">
        <v>1.0243981486697078</v>
      </c>
      <c r="E1651" s="1097">
        <v>1.0016491037828115</v>
      </c>
      <c r="F1651" s="1097">
        <v>1.0025249240348826</v>
      </c>
      <c r="G1651" s="1097">
        <v>1.0087422061732838</v>
      </c>
      <c r="H1651" s="1097">
        <v>1.0000605590671432</v>
      </c>
      <c r="I1651" s="1097">
        <v>1.0150404020205053</v>
      </c>
      <c r="K1651">
        <v>5.1882770158115665</v>
      </c>
      <c r="L1651">
        <v>0</v>
      </c>
      <c r="M1651">
        <v>3.5825709828292414E-3</v>
      </c>
      <c r="N1651">
        <v>0.31232558738197858</v>
      </c>
      <c r="O1651">
        <v>0.14746843171762453</v>
      </c>
      <c r="P1651">
        <v>2.0423812318795281E-2</v>
      </c>
      <c r="Q1651">
        <v>1.2944455307473024E-3</v>
      </c>
      <c r="R1651">
        <v>3.576641570852101E-3</v>
      </c>
      <c r="S1651">
        <v>0.46874324268481105</v>
      </c>
      <c r="T1651">
        <v>4.0052112208305841</v>
      </c>
      <c r="U1651">
        <v>0</v>
      </c>
      <c r="V1651">
        <v>1.1304767209823827E-2</v>
      </c>
      <c r="W1651">
        <v>0.18583215178342774</v>
      </c>
      <c r="X1651">
        <v>2.5571423622852273E-2</v>
      </c>
      <c r="Y1651">
        <v>1.0107862142894376E-2</v>
      </c>
    </row>
    <row r="1652" spans="1:25" x14ac:dyDescent="0.25">
      <c r="A1652" s="1093"/>
      <c r="B1652" s="1452">
        <v>1402</v>
      </c>
      <c r="C1652" s="1097">
        <v>0.95406230935168923</v>
      </c>
      <c r="D1652" s="1097">
        <v>0.95442484932376526</v>
      </c>
      <c r="E1652" s="1097">
        <v>0.96694758284825688</v>
      </c>
      <c r="F1652" s="1097">
        <v>1.0124992507658783</v>
      </c>
      <c r="G1652" s="1097">
        <v>0.98676888023332177</v>
      </c>
      <c r="H1652" s="1097">
        <v>0.97301649803375911</v>
      </c>
      <c r="I1652" s="1097">
        <v>1.0031380700581745</v>
      </c>
      <c r="K1652">
        <v>5.2871916623433934</v>
      </c>
      <c r="L1652">
        <v>0</v>
      </c>
      <c r="M1652">
        <v>4.07790054073069E-3</v>
      </c>
      <c r="N1652">
        <v>0.32072349202022266</v>
      </c>
      <c r="O1652">
        <v>0.16144029621814424</v>
      </c>
      <c r="P1652">
        <v>2.0187293495501316E-2</v>
      </c>
      <c r="Q1652">
        <v>1.3527992860187014E-3</v>
      </c>
      <c r="R1652">
        <v>4.0710319585856849E-3</v>
      </c>
      <c r="S1652">
        <v>0.4903917821683984</v>
      </c>
      <c r="T1652">
        <v>4.0495036889240792</v>
      </c>
      <c r="U1652">
        <v>0</v>
      </c>
      <c r="V1652">
        <v>1.1304767209823818E-2</v>
      </c>
      <c r="W1652">
        <v>0.19540676120617034</v>
      </c>
      <c r="X1652">
        <v>2.5382603273625719E-2</v>
      </c>
      <c r="Y1652">
        <v>1.1505047123550018E-2</v>
      </c>
    </row>
    <row r="1653" spans="1:25" x14ac:dyDescent="0.25">
      <c r="A1653" s="1093"/>
      <c r="B1653" s="1452">
        <v>1403</v>
      </c>
      <c r="C1653" s="1097">
        <v>1.0220164484633667</v>
      </c>
      <c r="D1653" s="1097">
        <v>0.98367739474472204</v>
      </c>
      <c r="E1653" s="1097">
        <v>0.99456258951099752</v>
      </c>
      <c r="F1653" s="1097">
        <v>1.0037906032688748</v>
      </c>
      <c r="G1653" s="1097">
        <v>0.99141599544228531</v>
      </c>
      <c r="H1653" s="1097">
        <v>0.99566043923512904</v>
      </c>
      <c r="I1653" s="1097">
        <v>1.03395831758607</v>
      </c>
      <c r="K1653">
        <v>5.187353443522297</v>
      </c>
      <c r="L1653">
        <v>0</v>
      </c>
      <c r="M1653">
        <v>3.6006136854854409E-3</v>
      </c>
      <c r="N1653">
        <v>0.30737378302110985</v>
      </c>
      <c r="O1653">
        <v>0.14685692348672486</v>
      </c>
      <c r="P1653">
        <v>2.0348695633095829E-2</v>
      </c>
      <c r="Q1653">
        <v>1.2779483921397498E-3</v>
      </c>
      <c r="R1653">
        <v>3.5946356105128353E-3</v>
      </c>
      <c r="S1653">
        <v>0.47001026583054573</v>
      </c>
      <c r="T1653">
        <v>4.0111616671518133</v>
      </c>
      <c r="U1653">
        <v>0</v>
      </c>
      <c r="V1653">
        <v>1.1304767209823813E-2</v>
      </c>
      <c r="W1653">
        <v>0.18376503625210255</v>
      </c>
      <c r="X1653">
        <v>2.5101619947156657E-2</v>
      </c>
      <c r="Y1653">
        <v>1.0158714672755548E-2</v>
      </c>
    </row>
    <row r="1654" spans="1:25" x14ac:dyDescent="0.25">
      <c r="A1654" s="1093"/>
      <c r="B1654" s="1452">
        <v>1404</v>
      </c>
      <c r="C1654" s="1097">
        <v>0.99308787925098341</v>
      </c>
      <c r="D1654" s="1097">
        <v>1.0038757068978617</v>
      </c>
      <c r="E1654" s="1097">
        <v>0.99825205541420381</v>
      </c>
      <c r="F1654" s="1097">
        <v>1.02333389529857</v>
      </c>
      <c r="G1654" s="1097">
        <v>0.97784566916846405</v>
      </c>
      <c r="H1654" s="1097">
        <v>0.95616697175281651</v>
      </c>
      <c r="I1654" s="1097">
        <v>0.999596925114415</v>
      </c>
      <c r="K1654">
        <v>5.2690626875462776</v>
      </c>
      <c r="L1654">
        <v>0</v>
      </c>
      <c r="M1654">
        <v>3.5704779444441599E-3</v>
      </c>
      <c r="N1654">
        <v>0.30814137739008596</v>
      </c>
      <c r="O1654">
        <v>0.15272411867653851</v>
      </c>
      <c r="P1654">
        <v>2.0738138415135332E-2</v>
      </c>
      <c r="Q1654">
        <v>1.308666534392682E-3</v>
      </c>
      <c r="R1654">
        <v>3.5644227488642929E-3</v>
      </c>
      <c r="S1654">
        <v>0.46575528648893227</v>
      </c>
      <c r="T1654">
        <v>4.0887821098229509</v>
      </c>
      <c r="U1654">
        <v>0</v>
      </c>
      <c r="V1654">
        <v>1.1304767209823806E-2</v>
      </c>
      <c r="W1654">
        <v>0.18376401620746013</v>
      </c>
      <c r="X1654">
        <v>2.6476931177447843E-2</v>
      </c>
      <c r="Y1654">
        <v>1.0073330819093897E-2</v>
      </c>
    </row>
    <row r="1655" spans="1:25" x14ac:dyDescent="0.25">
      <c r="A1655" s="1093"/>
      <c r="B1655" s="1452">
        <v>1405</v>
      </c>
      <c r="C1655" s="1097">
        <v>0.95842960795786369</v>
      </c>
      <c r="D1655" s="1097">
        <v>0.98683020687829226</v>
      </c>
      <c r="E1655" s="1097">
        <v>1.0164080563155449</v>
      </c>
      <c r="F1655" s="1097">
        <v>0.97275549087113244</v>
      </c>
      <c r="G1655" s="1097">
        <v>1.0297030183790772</v>
      </c>
      <c r="H1655" s="1097">
        <v>1.0031912722517553</v>
      </c>
      <c r="I1655" s="1097">
        <v>1.0144537118063921</v>
      </c>
      <c r="K1655">
        <v>5.1027873317192025</v>
      </c>
      <c r="L1655">
        <v>0</v>
      </c>
      <c r="M1655">
        <v>3.5758368245238019E-3</v>
      </c>
      <c r="N1655">
        <v>0.32564909780327767</v>
      </c>
      <c r="O1655">
        <v>0.15094375676424956</v>
      </c>
      <c r="P1655">
        <v>2.0144847630344236E-2</v>
      </c>
      <c r="Q1655">
        <v>1.3866211477190219E-3</v>
      </c>
      <c r="R1655">
        <v>3.5697567828093953E-3</v>
      </c>
      <c r="S1655">
        <v>0.48017177237980674</v>
      </c>
      <c r="T1655">
        <v>3.8844837717715373</v>
      </c>
      <c r="U1655">
        <v>0</v>
      </c>
      <c r="V1655">
        <v>1.1304767209823827E-2</v>
      </c>
      <c r="W1655">
        <v>0.19184805510909411</v>
      </c>
      <c r="X1655">
        <v>2.6772316738805233E-2</v>
      </c>
      <c r="Y1655">
        <v>1.0088405206256985E-2</v>
      </c>
    </row>
    <row r="1656" spans="1:25" x14ac:dyDescent="0.25">
      <c r="A1656" s="1093"/>
      <c r="B1656" s="1452">
        <v>1406</v>
      </c>
      <c r="C1656" s="1097">
        <v>0.97800420900151008</v>
      </c>
      <c r="D1656" s="1097">
        <v>1.0394019472071507</v>
      </c>
      <c r="E1656" s="1097">
        <v>1.0108798957259679</v>
      </c>
      <c r="F1656" s="1097">
        <v>1.0290896446359621</v>
      </c>
      <c r="G1656" s="1097">
        <v>1.0048453584136592</v>
      </c>
      <c r="H1656" s="1097">
        <v>1.0194080813551258</v>
      </c>
      <c r="I1656" s="1097">
        <v>0.99821160678577514</v>
      </c>
      <c r="K1656">
        <v>5.350714163055196</v>
      </c>
      <c r="L1656">
        <v>0</v>
      </c>
      <c r="M1656">
        <v>3.7326790430285139E-3</v>
      </c>
      <c r="N1656">
        <v>0.3344551876721058</v>
      </c>
      <c r="O1656">
        <v>0.15343319392271212</v>
      </c>
      <c r="P1656">
        <v>2.1113701347601838E-2</v>
      </c>
      <c r="Q1656">
        <v>1.3247106840944139E-3</v>
      </c>
      <c r="R1656">
        <v>3.7267746368651305E-3</v>
      </c>
      <c r="S1656">
        <v>0.48368341769881767</v>
      </c>
      <c r="T1656">
        <v>4.11015142085901</v>
      </c>
      <c r="U1656">
        <v>0</v>
      </c>
      <c r="V1656">
        <v>1.1304767209823808E-2</v>
      </c>
      <c r="W1656">
        <v>0.1977667170899603</v>
      </c>
      <c r="X1656">
        <v>2.6954801327668896E-2</v>
      </c>
      <c r="Y1656">
        <v>1.0532149649564554E-2</v>
      </c>
    </row>
    <row r="1657" spans="1:25" x14ac:dyDescent="0.25">
      <c r="A1657" s="1093"/>
      <c r="B1657" s="1452">
        <v>1407</v>
      </c>
      <c r="C1657" s="1097">
        <v>1.021071502008789</v>
      </c>
      <c r="D1657" s="1097">
        <v>0.97178548648817265</v>
      </c>
      <c r="E1657" s="1097">
        <v>1.0046319955062875</v>
      </c>
      <c r="F1657" s="1097">
        <v>0.99204999468558175</v>
      </c>
      <c r="G1657" s="1097">
        <v>0.96600341469986017</v>
      </c>
      <c r="H1657" s="1097">
        <v>1.0157502809629424</v>
      </c>
      <c r="I1657" s="1097">
        <v>1.0308952069580353</v>
      </c>
      <c r="K1657">
        <v>5.1475475483255995</v>
      </c>
      <c r="L1657">
        <v>0</v>
      </c>
      <c r="M1657">
        <v>3.5748428731484151E-3</v>
      </c>
      <c r="N1657">
        <v>0.31442050136104455</v>
      </c>
      <c r="O1657">
        <v>0.1457066181125638</v>
      </c>
      <c r="P1657">
        <v>2.0279512023330372E-2</v>
      </c>
      <c r="Q1657">
        <v>1.2965127736597804E-3</v>
      </c>
      <c r="R1657">
        <v>3.568956237473594E-3</v>
      </c>
      <c r="S1657">
        <v>0.46940559026097195</v>
      </c>
      <c r="T1657">
        <v>3.9629915964215625</v>
      </c>
      <c r="U1657">
        <v>0</v>
      </c>
      <c r="V1657">
        <v>1.130476720982381E-2</v>
      </c>
      <c r="W1657">
        <v>0.18670263416826119</v>
      </c>
      <c r="X1657">
        <v>2.5359559826034311E-2</v>
      </c>
      <c r="Y1657">
        <v>1.0086142804019265E-2</v>
      </c>
    </row>
    <row r="1658" spans="1:25" x14ac:dyDescent="0.25">
      <c r="A1658" s="1093"/>
      <c r="B1658" s="1452">
        <v>1408</v>
      </c>
      <c r="C1658" s="1097">
        <v>1.0294668677158079</v>
      </c>
      <c r="D1658" s="1097">
        <v>0.98630160176319059</v>
      </c>
      <c r="E1658" s="1097">
        <v>0.98149422143331111</v>
      </c>
      <c r="F1658" s="1097">
        <v>1.0027177762417128</v>
      </c>
      <c r="G1658" s="1097">
        <v>0.98645406572373229</v>
      </c>
      <c r="H1658" s="1097">
        <v>0.98714216741964778</v>
      </c>
      <c r="I1658" s="1097">
        <v>1.031216857564077</v>
      </c>
      <c r="K1658">
        <v>5.1631796013701363</v>
      </c>
      <c r="L1658">
        <v>0</v>
      </c>
      <c r="M1658">
        <v>3.6349124601680856E-3</v>
      </c>
      <c r="N1658">
        <v>0.2985011144264022</v>
      </c>
      <c r="O1658">
        <v>0.1458393191026269</v>
      </c>
      <c r="P1658">
        <v>2.0106442201302116E-2</v>
      </c>
      <c r="Q1658">
        <v>1.2531257445928439E-3</v>
      </c>
      <c r="R1658">
        <v>3.6288188596878641E-3</v>
      </c>
      <c r="S1658">
        <v>0.46309843084680996</v>
      </c>
      <c r="T1658">
        <v>4.0085291118963129</v>
      </c>
      <c r="U1658">
        <v>0</v>
      </c>
      <c r="V1658">
        <v>1.1304767209823818E-2</v>
      </c>
      <c r="W1658">
        <v>0.18005670879327679</v>
      </c>
      <c r="X1658">
        <v>2.4241355604773595E-2</v>
      </c>
      <c r="Y1658">
        <v>1.0255319144691794E-2</v>
      </c>
    </row>
    <row r="1659" spans="1:25" x14ac:dyDescent="0.25">
      <c r="A1659" s="1093"/>
      <c r="B1659" s="1452">
        <v>1409</v>
      </c>
      <c r="C1659" s="1097">
        <v>0.98576266092405074</v>
      </c>
      <c r="D1659" s="1097">
        <v>0.98674437912003365</v>
      </c>
      <c r="E1659" s="1097">
        <v>0.98865821281489996</v>
      </c>
      <c r="F1659" s="1097">
        <v>0.98587046169472847</v>
      </c>
      <c r="G1659" s="1097">
        <v>1.0003248668337765</v>
      </c>
      <c r="H1659" s="1097">
        <v>1.0025040363313402</v>
      </c>
      <c r="I1659" s="1097">
        <v>0.99085360803658207</v>
      </c>
      <c r="K1659">
        <v>5.1198668663156042</v>
      </c>
      <c r="L1659">
        <v>0</v>
      </c>
      <c r="M1659">
        <v>3.7331804146900857E-3</v>
      </c>
      <c r="N1659">
        <v>0.31315454490796518</v>
      </c>
      <c r="O1659">
        <v>0.14951888128682389</v>
      </c>
      <c r="P1659">
        <v>1.9898387936536723E-2</v>
      </c>
      <c r="Q1659">
        <v>1.3165842110373716E-3</v>
      </c>
      <c r="R1659">
        <v>3.7269128452898548E-3</v>
      </c>
      <c r="S1659">
        <v>0.46099826368845098</v>
      </c>
      <c r="T1659">
        <v>3.9402862420131077</v>
      </c>
      <c r="U1659">
        <v>0</v>
      </c>
      <c r="V1659">
        <v>1.1304767209823804E-2</v>
      </c>
      <c r="W1659">
        <v>0.18797400293319319</v>
      </c>
      <c r="X1659">
        <v>2.4888919460944198E-2</v>
      </c>
      <c r="Y1659">
        <v>1.0532540237124539E-2</v>
      </c>
    </row>
    <row r="1660" spans="1:25" x14ac:dyDescent="0.25">
      <c r="A1660" s="1093"/>
      <c r="B1660" s="1452">
        <v>1410</v>
      </c>
      <c r="C1660" s="1097">
        <v>1.0368546647265058</v>
      </c>
      <c r="D1660" s="1097">
        <v>1.0141843123715211</v>
      </c>
      <c r="E1660" s="1097">
        <v>0.96948863622752735</v>
      </c>
      <c r="F1660" s="1097">
        <v>1.0042620333292385</v>
      </c>
      <c r="G1660" s="1097">
        <v>0.97714095574496829</v>
      </c>
      <c r="H1660" s="1097">
        <v>0.99611040147045959</v>
      </c>
      <c r="I1660" s="1097">
        <v>1.0235583444761394</v>
      </c>
      <c r="K1660">
        <v>5.1536253475848426</v>
      </c>
      <c r="L1660">
        <v>0</v>
      </c>
      <c r="M1660">
        <v>3.6989503275149356E-3</v>
      </c>
      <c r="N1660">
        <v>0.29313070206279856</v>
      </c>
      <c r="O1660">
        <v>0.14373663946278231</v>
      </c>
      <c r="P1660">
        <v>1.9926618807875052E-2</v>
      </c>
      <c r="Q1660">
        <v>1.2176075498389327E-3</v>
      </c>
      <c r="R1660">
        <v>3.6928146358945358E-3</v>
      </c>
      <c r="S1660">
        <v>0.45615065163327118</v>
      </c>
      <c r="T1660">
        <v>4.0162336723629739</v>
      </c>
      <c r="U1660">
        <v>0</v>
      </c>
      <c r="V1660">
        <v>1.1304767209823827E-2</v>
      </c>
      <c r="W1660">
        <v>0.1782821764401224</v>
      </c>
      <c r="X1660">
        <v>2.3212471652873216E-2</v>
      </c>
      <c r="Y1660">
        <v>1.0436176094098233E-2</v>
      </c>
    </row>
    <row r="1661" spans="1:25" x14ac:dyDescent="0.25">
      <c r="A1661" s="1093"/>
      <c r="B1661" s="1452">
        <v>1411</v>
      </c>
      <c r="C1661" s="1097">
        <v>0.97963489858389707</v>
      </c>
      <c r="D1661" s="1097">
        <v>0.96307670944200996</v>
      </c>
      <c r="E1661" s="1097">
        <v>0.98309505496400917</v>
      </c>
      <c r="F1661" s="1097">
        <v>1.0149127279491235</v>
      </c>
      <c r="G1661" s="1097">
        <v>0.9974802192863268</v>
      </c>
      <c r="H1661" s="1097">
        <v>1.0142569223432731</v>
      </c>
      <c r="I1661" s="1097">
        <v>1.031562276808347</v>
      </c>
      <c r="K1661">
        <v>5.311704005778445</v>
      </c>
      <c r="L1661">
        <v>0</v>
      </c>
      <c r="M1661">
        <v>3.9969728196132086E-3</v>
      </c>
      <c r="N1661">
        <v>0.3298176256810999</v>
      </c>
      <c r="O1661">
        <v>0.15656055788214554</v>
      </c>
      <c r="P1661">
        <v>2.0512796272141934E-2</v>
      </c>
      <c r="Q1661">
        <v>1.3313275550132216E-3</v>
      </c>
      <c r="R1661">
        <v>3.990529619943505E-3</v>
      </c>
      <c r="S1661">
        <v>0.49960069505020877</v>
      </c>
      <c r="T1661">
        <v>4.0570747550016648</v>
      </c>
      <c r="U1661">
        <v>0</v>
      </c>
      <c r="V1661">
        <v>1.130476720982381E-2</v>
      </c>
      <c r="W1661">
        <v>0.19872917504006052</v>
      </c>
      <c r="X1661">
        <v>2.5501207917471458E-2</v>
      </c>
      <c r="Y1661">
        <v>1.1277541368484408E-2</v>
      </c>
    </row>
    <row r="1662" spans="1:25" x14ac:dyDescent="0.25">
      <c r="A1662" s="1093"/>
      <c r="B1662" s="1452">
        <v>1412</v>
      </c>
      <c r="C1662" s="1097">
        <v>1.0154783892539267</v>
      </c>
      <c r="D1662" s="1097">
        <v>1.0247126531268886</v>
      </c>
      <c r="E1662" s="1097">
        <v>1.0025108220404724</v>
      </c>
      <c r="F1662" s="1097">
        <v>0.99287966763469904</v>
      </c>
      <c r="G1662" s="1097">
        <v>1.0059662109529506</v>
      </c>
      <c r="H1662" s="1097">
        <v>0.96707469790045253</v>
      </c>
      <c r="I1662" s="1097">
        <v>0.97897121789897745</v>
      </c>
      <c r="K1662">
        <v>5.0822386106750219</v>
      </c>
      <c r="L1662">
        <v>0</v>
      </c>
      <c r="M1662">
        <v>3.3682657995198562E-3</v>
      </c>
      <c r="N1662">
        <v>0.29437167861234692</v>
      </c>
      <c r="O1662">
        <v>0.14361111572286986</v>
      </c>
      <c r="P1662">
        <v>2.0107900848128284E-2</v>
      </c>
      <c r="Q1662">
        <v>1.2739778468826236E-3</v>
      </c>
      <c r="R1662">
        <v>3.3624450215306366E-3</v>
      </c>
      <c r="S1662">
        <v>0.43518509802454552</v>
      </c>
      <c r="T1662">
        <v>3.9665699112560633</v>
      </c>
      <c r="U1662">
        <v>0</v>
      </c>
      <c r="V1662">
        <v>1.1304767209823818E-2</v>
      </c>
      <c r="W1662">
        <v>0.17504783044081759</v>
      </c>
      <c r="X1662">
        <v>2.5269625150153179E-2</v>
      </c>
      <c r="Y1662">
        <v>9.5025263413789762E-3</v>
      </c>
    </row>
    <row r="1663" spans="1:25" x14ac:dyDescent="0.25">
      <c r="A1663" s="1093"/>
      <c r="B1663" s="1452">
        <v>1413</v>
      </c>
      <c r="C1663" s="1097">
        <v>0.97465313792533981</v>
      </c>
      <c r="D1663" s="1097">
        <v>0.99821187531647537</v>
      </c>
      <c r="E1663" s="1097">
        <v>0.99445871794300744</v>
      </c>
      <c r="F1663" s="1097">
        <v>0.98417090853846767</v>
      </c>
      <c r="G1663" s="1097">
        <v>0.99993040858783877</v>
      </c>
      <c r="H1663" s="1097">
        <v>1.0129974451605248</v>
      </c>
      <c r="I1663" s="1097">
        <v>0.9969980046143081</v>
      </c>
      <c r="K1663">
        <v>5.131387201562422</v>
      </c>
      <c r="L1663">
        <v>0</v>
      </c>
      <c r="M1663">
        <v>3.7451570902938686E-3</v>
      </c>
      <c r="N1663">
        <v>0.31961330509111646</v>
      </c>
      <c r="O1663">
        <v>0.15010323747722867</v>
      </c>
      <c r="P1663">
        <v>1.9989208111600473E-2</v>
      </c>
      <c r="Q1663">
        <v>1.3320922538374554E-3</v>
      </c>
      <c r="R1663">
        <v>3.738923818553239E-3</v>
      </c>
      <c r="S1663">
        <v>0.46937308074502654</v>
      </c>
      <c r="T1663">
        <v>3.9327739532974895</v>
      </c>
      <c r="U1663">
        <v>0</v>
      </c>
      <c r="V1663">
        <v>1.1304767209823834E-2</v>
      </c>
      <c r="W1663">
        <v>0.19109596437777956</v>
      </c>
      <c r="X1663">
        <v>2.5241342105693041E-2</v>
      </c>
      <c r="Y1663">
        <v>1.0566484164561296E-2</v>
      </c>
    </row>
    <row r="1664" spans="1:25" x14ac:dyDescent="0.25">
      <c r="A1664" s="1093"/>
      <c r="B1664" s="1452">
        <v>1414</v>
      </c>
      <c r="C1664" s="1097">
        <v>0.99882785795848661</v>
      </c>
      <c r="D1664" s="1097">
        <v>0.98989160679318799</v>
      </c>
      <c r="E1664" s="1097">
        <v>1.0349926786302777</v>
      </c>
      <c r="F1664" s="1097">
        <v>0.96853995099731416</v>
      </c>
      <c r="G1664" s="1097">
        <v>1.0093046853927221</v>
      </c>
      <c r="H1664" s="1097">
        <v>1.0213617861379727</v>
      </c>
      <c r="I1664" s="1097">
        <v>1.0097284691623609</v>
      </c>
      <c r="K1664">
        <v>5.0464396190206804</v>
      </c>
      <c r="L1664">
        <v>0</v>
      </c>
      <c r="M1664">
        <v>3.3400909938674762E-3</v>
      </c>
      <c r="N1664">
        <v>0.32137324239792486</v>
      </c>
      <c r="O1664">
        <v>0.14352870427691219</v>
      </c>
      <c r="P1664">
        <v>2.0236471771521949E-2</v>
      </c>
      <c r="Q1664">
        <v>1.3498786219527025E-3</v>
      </c>
      <c r="R1664">
        <v>3.3344885923329232E-3</v>
      </c>
      <c r="S1664">
        <v>0.46001143415842194</v>
      </c>
      <c r="T1664">
        <v>3.8654174314228094</v>
      </c>
      <c r="U1664">
        <v>0</v>
      </c>
      <c r="V1664">
        <v>1.1304767209823822E-2</v>
      </c>
      <c r="W1664">
        <v>0.18700622908323036</v>
      </c>
      <c r="X1664">
        <v>2.679354314152228E-2</v>
      </c>
      <c r="Y1664">
        <v>9.4235193380938394E-3</v>
      </c>
    </row>
    <row r="1665" spans="1:25" x14ac:dyDescent="0.25">
      <c r="A1665" s="1093"/>
      <c r="B1665" s="1452">
        <v>1415</v>
      </c>
      <c r="C1665" s="1097">
        <v>1.03429916001668</v>
      </c>
      <c r="D1665" s="1097">
        <v>0.99584233374744813</v>
      </c>
      <c r="E1665" s="1097">
        <v>0.99843969528951126</v>
      </c>
      <c r="F1665" s="1097">
        <v>1.0031553511550637</v>
      </c>
      <c r="G1665" s="1097">
        <v>0.99934708504184611</v>
      </c>
      <c r="H1665" s="1097">
        <v>1.0210996850317451</v>
      </c>
      <c r="I1665" s="1097">
        <v>1.0448111453137743</v>
      </c>
      <c r="K1665">
        <v>5.1891737379078382</v>
      </c>
      <c r="L1665">
        <v>0</v>
      </c>
      <c r="M1665">
        <v>3.5990795205755994E-3</v>
      </c>
      <c r="N1665">
        <v>0.31080617046938475</v>
      </c>
      <c r="O1665">
        <v>0.14420503867048148</v>
      </c>
      <c r="P1665">
        <v>2.0406518516248955E-2</v>
      </c>
      <c r="Q1665">
        <v>1.2607708642829209E-3</v>
      </c>
      <c r="R1665">
        <v>3.5932491808902166E-3</v>
      </c>
      <c r="S1665">
        <v>0.47275740348129497</v>
      </c>
      <c r="T1665">
        <v>4.0081340691128409</v>
      </c>
      <c r="U1665">
        <v>0</v>
      </c>
      <c r="V1665">
        <v>1.1304767209823798E-2</v>
      </c>
      <c r="W1665">
        <v>0.18532966775781373</v>
      </c>
      <c r="X1665">
        <v>2.4820365648561372E-2</v>
      </c>
      <c r="Y1665">
        <v>1.015479651679313E-2</v>
      </c>
    </row>
    <row r="1666" spans="1:25" x14ac:dyDescent="0.25">
      <c r="A1666" s="1093"/>
      <c r="B1666" s="1452">
        <v>1416</v>
      </c>
      <c r="C1666" s="1097">
        <v>0.97988444007450926</v>
      </c>
      <c r="D1666" s="1097">
        <v>1.0013565509507194</v>
      </c>
      <c r="E1666" s="1097">
        <v>1.0409469332695918</v>
      </c>
      <c r="F1666" s="1097">
        <v>1.0075857187801975</v>
      </c>
      <c r="G1666" s="1097">
        <v>1.0137209312007061</v>
      </c>
      <c r="H1666" s="1097">
        <v>0.99177996350949738</v>
      </c>
      <c r="I1666" s="1097">
        <v>0.98564038822348443</v>
      </c>
      <c r="K1666">
        <v>5.2331345133789355</v>
      </c>
      <c r="L1666">
        <v>0</v>
      </c>
      <c r="M1666">
        <v>3.3803997475109664E-3</v>
      </c>
      <c r="N1666">
        <v>0.33102989842058128</v>
      </c>
      <c r="O1666">
        <v>0.15133169685486206</v>
      </c>
      <c r="P1666">
        <v>2.1080333687104654E-2</v>
      </c>
      <c r="Q1666">
        <v>1.376491588347328E-3</v>
      </c>
      <c r="R1666">
        <v>3.3747865200900763E-3</v>
      </c>
      <c r="S1666">
        <v>0.46641491812792618</v>
      </c>
      <c r="T1666">
        <v>4.0205083461103115</v>
      </c>
      <c r="U1666">
        <v>0</v>
      </c>
      <c r="V1666">
        <v>1.1304767209823813E-2</v>
      </c>
      <c r="W1666">
        <v>0.19187132593639139</v>
      </c>
      <c r="X1666">
        <v>2.8684944312474443E-2</v>
      </c>
      <c r="Y1666">
        <v>9.5374043585367968E-3</v>
      </c>
    </row>
    <row r="1667" spans="1:25" x14ac:dyDescent="0.25">
      <c r="A1667" s="1093"/>
      <c r="B1667" s="1452">
        <v>1417</v>
      </c>
      <c r="C1667" s="1097">
        <v>1.0126551453126644</v>
      </c>
      <c r="D1667" s="1097">
        <v>0.97228433048593832</v>
      </c>
      <c r="E1667" s="1097">
        <v>0.98500941104972373</v>
      </c>
      <c r="F1667" s="1097">
        <v>1.0170216341143381</v>
      </c>
      <c r="G1667" s="1097">
        <v>0.99015459246411031</v>
      </c>
      <c r="H1667" s="1097">
        <v>1.0051794308002919</v>
      </c>
      <c r="I1667" s="1097">
        <v>1.001227030227906</v>
      </c>
      <c r="K1667">
        <v>5.2589200390054112</v>
      </c>
      <c r="L1667">
        <v>0</v>
      </c>
      <c r="M1667">
        <v>3.810044475291487E-3</v>
      </c>
      <c r="N1667">
        <v>0.31617981969294667</v>
      </c>
      <c r="O1667">
        <v>0.15113955469447657</v>
      </c>
      <c r="P1667">
        <v>2.0433967175182866E-2</v>
      </c>
      <c r="Q1667">
        <v>1.2851518411312178E-3</v>
      </c>
      <c r="R1667">
        <v>3.803859972243214E-3</v>
      </c>
      <c r="S1667">
        <v>0.46728821192537662</v>
      </c>
      <c r="T1667">
        <v>4.0652587533575524</v>
      </c>
      <c r="U1667">
        <v>0</v>
      </c>
      <c r="V1667">
        <v>1.1304767209823815E-2</v>
      </c>
      <c r="W1667">
        <v>0.19026279507805482</v>
      </c>
      <c r="X1667">
        <v>2.5023203841380553E-2</v>
      </c>
      <c r="Y1667">
        <v>1.0749998692529969E-2</v>
      </c>
    </row>
    <row r="1668" spans="1:25" x14ac:dyDescent="0.25">
      <c r="A1668" s="1093"/>
      <c r="B1668" s="1452">
        <v>1418</v>
      </c>
      <c r="C1668" s="1097">
        <v>0.9726829528595905</v>
      </c>
      <c r="D1668" s="1097">
        <v>0.9995655647372117</v>
      </c>
      <c r="E1668" s="1097">
        <v>0.98528401518728925</v>
      </c>
      <c r="F1668" s="1097">
        <v>1.0175877790484129</v>
      </c>
      <c r="G1668" s="1097">
        <v>1.0368816451673439</v>
      </c>
      <c r="H1668" s="1097">
        <v>0.99700720661899944</v>
      </c>
      <c r="I1668" s="1097">
        <v>0.98973716527949218</v>
      </c>
      <c r="K1668">
        <v>5.287453057989195</v>
      </c>
      <c r="L1668">
        <v>0</v>
      </c>
      <c r="M1668">
        <v>3.8909759602956465E-3</v>
      </c>
      <c r="N1668">
        <v>0.32315509443957313</v>
      </c>
      <c r="O1668">
        <v>0.15569712691472234</v>
      </c>
      <c r="P1668">
        <v>2.0491600181917438E-2</v>
      </c>
      <c r="Q1668">
        <v>1.3235510377334031E-3</v>
      </c>
      <c r="R1668">
        <v>3.8846118557015704E-3</v>
      </c>
      <c r="S1668">
        <v>0.47692796307619634</v>
      </c>
      <c r="T1668">
        <v>4.0674864306735516</v>
      </c>
      <c r="U1668">
        <v>0</v>
      </c>
      <c r="V1668">
        <v>1.1304767209823825E-2</v>
      </c>
      <c r="W1668">
        <v>0.19442374746346222</v>
      </c>
      <c r="X1668">
        <v>2.5670931416506202E-2</v>
      </c>
      <c r="Y1668">
        <v>1.0978209680297937E-2</v>
      </c>
    </row>
    <row r="1669" spans="1:25" x14ac:dyDescent="0.25">
      <c r="A1669" s="1093"/>
      <c r="B1669" s="1452">
        <v>1419</v>
      </c>
      <c r="C1669" s="1097">
        <v>1.0043801739758031</v>
      </c>
      <c r="D1669" s="1097">
        <v>1.047003308484546</v>
      </c>
      <c r="E1669" s="1097">
        <v>0.99655661351971114</v>
      </c>
      <c r="F1669" s="1097">
        <v>0.99318429189544755</v>
      </c>
      <c r="G1669" s="1097">
        <v>1.0162795213223255</v>
      </c>
      <c r="H1669" s="1097">
        <v>0.97915222109895783</v>
      </c>
      <c r="I1669" s="1097">
        <v>1.0084488721302416</v>
      </c>
      <c r="K1669">
        <v>5.1086519684442759</v>
      </c>
      <c r="L1669">
        <v>0</v>
      </c>
      <c r="M1669">
        <v>3.4626533416595266E-3</v>
      </c>
      <c r="N1669">
        <v>0.29733501314409599</v>
      </c>
      <c r="O1669">
        <v>0.1441585681323394</v>
      </c>
      <c r="P1669">
        <v>2.0111827274541635E-2</v>
      </c>
      <c r="Q1669">
        <v>1.2705132815633226E-3</v>
      </c>
      <c r="R1669">
        <v>3.4567450694043145E-3</v>
      </c>
      <c r="S1669">
        <v>0.45372852113427464</v>
      </c>
      <c r="T1669">
        <v>3.9685295262218525</v>
      </c>
      <c r="U1669">
        <v>0</v>
      </c>
      <c r="V1669">
        <v>1.1304767209823827E-2</v>
      </c>
      <c r="W1669">
        <v>0.17752317049548355</v>
      </c>
      <c r="X1669">
        <v>2.4926944346412849E-2</v>
      </c>
      <c r="Y1669">
        <v>9.7690254761380654E-3</v>
      </c>
    </row>
    <row r="1670" spans="1:25" x14ac:dyDescent="0.25">
      <c r="A1670" s="1093"/>
      <c r="B1670" s="1452">
        <v>1420</v>
      </c>
      <c r="C1670" s="1097">
        <v>0.9674259008592403</v>
      </c>
      <c r="D1670" s="1097">
        <v>1.0110688666757015</v>
      </c>
      <c r="E1670" s="1097">
        <v>0.97501671719083827</v>
      </c>
      <c r="F1670" s="1097">
        <v>1.0040393583250116</v>
      </c>
      <c r="G1670" s="1097">
        <v>1.0421057665478946</v>
      </c>
      <c r="H1670" s="1097">
        <v>0.96785936449539833</v>
      </c>
      <c r="I1670" s="1097">
        <v>1.0218498053262677</v>
      </c>
      <c r="K1670">
        <v>5.2129293488746686</v>
      </c>
      <c r="L1670">
        <v>0</v>
      </c>
      <c r="M1670">
        <v>3.8114297562440161E-3</v>
      </c>
      <c r="N1670">
        <v>0.3070277844349103</v>
      </c>
      <c r="O1670">
        <v>0.15404874214754311</v>
      </c>
      <c r="P1670">
        <v>2.0122346357683903E-2</v>
      </c>
      <c r="Q1670">
        <v>1.3129140523044965E-3</v>
      </c>
      <c r="R1670">
        <v>3.8049215049846012E-3</v>
      </c>
      <c r="S1670">
        <v>0.48268280334196556</v>
      </c>
      <c r="T1670">
        <v>4.014637229926441</v>
      </c>
      <c r="U1670">
        <v>0</v>
      </c>
      <c r="V1670">
        <v>1.1304767209823827E-2</v>
      </c>
      <c r="W1670">
        <v>0.18602473767242894</v>
      </c>
      <c r="X1670">
        <v>2.5021533317717677E-2</v>
      </c>
      <c r="Y1670">
        <v>1.0752998665101319E-2</v>
      </c>
    </row>
    <row r="1671" spans="1:25" x14ac:dyDescent="0.25">
      <c r="A1671" s="1093"/>
      <c r="B1671" s="1452">
        <v>1421</v>
      </c>
      <c r="C1671" s="1097">
        <v>0.97319005153420646</v>
      </c>
      <c r="D1671" s="1097">
        <v>0.99950877464879528</v>
      </c>
      <c r="E1671" s="1097">
        <v>0.99780563136073552</v>
      </c>
      <c r="F1671" s="1097">
        <v>0.99804007871752309</v>
      </c>
      <c r="G1671" s="1097">
        <v>0.99776346740000843</v>
      </c>
      <c r="H1671" s="1097">
        <v>1.0391337057332659</v>
      </c>
      <c r="I1671" s="1097">
        <v>0.9875038585904542</v>
      </c>
      <c r="K1671">
        <v>5.2183551205848513</v>
      </c>
      <c r="L1671">
        <v>0</v>
      </c>
      <c r="M1671">
        <v>3.8722915193190616E-3</v>
      </c>
      <c r="N1671">
        <v>0.33377891255366177</v>
      </c>
      <c r="O1671">
        <v>0.15227266789961302</v>
      </c>
      <c r="P1671">
        <v>2.0318828541226682E-2</v>
      </c>
      <c r="Q1671">
        <v>1.3372419166721035E-3</v>
      </c>
      <c r="R1671">
        <v>3.8660959146041554E-3</v>
      </c>
      <c r="S1671">
        <v>0.47592935236151945</v>
      </c>
      <c r="T1671">
        <v>3.9877753838564121</v>
      </c>
      <c r="U1671">
        <v>0</v>
      </c>
      <c r="V1671">
        <v>1.1304767209823822E-2</v>
      </c>
      <c r="W1671">
        <v>0.19911343440966797</v>
      </c>
      <c r="X1671">
        <v>2.5604845223832825E-2</v>
      </c>
      <c r="Y1671">
        <v>1.0925882217131415E-2</v>
      </c>
    </row>
    <row r="1672" spans="1:25" x14ac:dyDescent="0.25">
      <c r="A1672" s="1093"/>
      <c r="B1672" s="1452">
        <v>1422</v>
      </c>
      <c r="C1672" s="1097">
        <v>0.97417045264431334</v>
      </c>
      <c r="D1672" s="1097">
        <v>1.0012374505432111</v>
      </c>
      <c r="E1672" s="1097">
        <v>1.0076203995477548</v>
      </c>
      <c r="F1672" s="1097">
        <v>1.0228712053120119</v>
      </c>
      <c r="G1672" s="1097">
        <v>0.97918033020410167</v>
      </c>
      <c r="H1672" s="1097">
        <v>0.98194832233616514</v>
      </c>
      <c r="I1672" s="1097">
        <v>1.0223311629746117</v>
      </c>
      <c r="K1672">
        <v>5.3215543312733118</v>
      </c>
      <c r="L1672">
        <v>0</v>
      </c>
      <c r="M1672">
        <v>3.6671013843159409E-3</v>
      </c>
      <c r="N1672">
        <v>0.32540047116563131</v>
      </c>
      <c r="O1672">
        <v>0.15550968817336247</v>
      </c>
      <c r="P1672">
        <v>2.098393089941384E-2</v>
      </c>
      <c r="Q1672">
        <v>1.3462301173473572E-3</v>
      </c>
      <c r="R1672">
        <v>3.6610428728961661E-3</v>
      </c>
      <c r="S1672">
        <v>0.49083990719847936</v>
      </c>
      <c r="T1672">
        <v>4.0857319464880222</v>
      </c>
      <c r="U1672">
        <v>0</v>
      </c>
      <c r="V1672">
        <v>1.130476720982381E-2</v>
      </c>
      <c r="W1672">
        <v>0.19283427130507927</v>
      </c>
      <c r="X1672">
        <v>2.7262790561365595E-2</v>
      </c>
      <c r="Y1672">
        <v>1.0346386666205482E-2</v>
      </c>
    </row>
    <row r="1673" spans="1:25" x14ac:dyDescent="0.25">
      <c r="A1673" s="1093"/>
      <c r="B1673" s="1452">
        <v>1423</v>
      </c>
      <c r="C1673" s="1097">
        <v>0.98273412657340153</v>
      </c>
      <c r="D1673" s="1097">
        <v>1.0090995156530371</v>
      </c>
      <c r="E1673" s="1097">
        <v>1.0050699222812827</v>
      </c>
      <c r="F1673" s="1097">
        <v>0.98035722749510201</v>
      </c>
      <c r="G1673" s="1097">
        <v>0.98890201584370052</v>
      </c>
      <c r="H1673" s="1097">
        <v>1.031255947167854</v>
      </c>
      <c r="I1673" s="1097">
        <v>1.0241773899465374</v>
      </c>
      <c r="K1673">
        <v>5.1259378602446075</v>
      </c>
      <c r="L1673">
        <v>0</v>
      </c>
      <c r="M1673">
        <v>3.6674971850690656E-3</v>
      </c>
      <c r="N1673">
        <v>0.32299022413752571</v>
      </c>
      <c r="O1673">
        <v>0.14735641432986113</v>
      </c>
      <c r="P1673">
        <v>2.0116945445228171E-2</v>
      </c>
      <c r="Q1673">
        <v>1.3274371806213398E-3</v>
      </c>
      <c r="R1673">
        <v>3.6614779540100981E-3</v>
      </c>
      <c r="S1673">
        <v>0.4791096826486666</v>
      </c>
      <c r="T1673">
        <v>3.9162281361945501</v>
      </c>
      <c r="U1673">
        <v>0</v>
      </c>
      <c r="V1673">
        <v>1.1304767209823825E-2</v>
      </c>
      <c r="W1673">
        <v>0.19173475619697589</v>
      </c>
      <c r="X1673">
        <v>2.5427899893762082E-2</v>
      </c>
      <c r="Y1673">
        <v>1.0347616238650324E-2</v>
      </c>
    </row>
    <row r="1674" spans="1:25" x14ac:dyDescent="0.25">
      <c r="A1674" s="1093"/>
      <c r="B1674" s="1452">
        <v>1424</v>
      </c>
      <c r="C1674" s="1097">
        <v>0.98081677883747376</v>
      </c>
      <c r="D1674" s="1097">
        <v>1.0053628157671417</v>
      </c>
      <c r="E1674" s="1097">
        <v>1.0117762295222279</v>
      </c>
      <c r="F1674" s="1097">
        <v>1.0144141301856373</v>
      </c>
      <c r="G1674" s="1097">
        <v>1.0036854446747236</v>
      </c>
      <c r="H1674" s="1097">
        <v>1.0267048687834566</v>
      </c>
      <c r="I1674" s="1097">
        <v>1.0340040690635963</v>
      </c>
      <c r="K1674">
        <v>5.3076053116381514</v>
      </c>
      <c r="L1674">
        <v>0</v>
      </c>
      <c r="M1674">
        <v>3.7377161983101932E-3</v>
      </c>
      <c r="N1674">
        <v>0.33579255852412609</v>
      </c>
      <c r="O1674">
        <v>0.15280773570909489</v>
      </c>
      <c r="P1674">
        <v>2.0924943775205807E-2</v>
      </c>
      <c r="Q1674">
        <v>1.3396439424151769E-3</v>
      </c>
      <c r="R1674">
        <v>3.731761056105344E-3</v>
      </c>
      <c r="S1674">
        <v>0.49821569030435092</v>
      </c>
      <c r="T1674">
        <v>4.0514243312155829</v>
      </c>
      <c r="U1674">
        <v>0</v>
      </c>
      <c r="V1674">
        <v>1.1304767209823822E-2</v>
      </c>
      <c r="W1674">
        <v>0.19843818560995929</v>
      </c>
      <c r="X1674">
        <v>2.6817168838764463E-2</v>
      </c>
      <c r="Y1674">
        <v>1.05462416510325E-2</v>
      </c>
    </row>
    <row r="1675" spans="1:25" x14ac:dyDescent="0.25">
      <c r="A1675" s="1093"/>
      <c r="B1675" s="1452">
        <v>1425</v>
      </c>
      <c r="C1675" s="1097">
        <v>1.042047325490659</v>
      </c>
      <c r="D1675" s="1097">
        <v>0.9785399799493415</v>
      </c>
      <c r="E1675" s="1097">
        <v>1.0021805297335329</v>
      </c>
      <c r="F1675" s="1097">
        <v>1.0342553781668975</v>
      </c>
      <c r="G1675" s="1097">
        <v>1.0154054227005964</v>
      </c>
      <c r="H1675" s="1097">
        <v>1.0462621090152386</v>
      </c>
      <c r="I1675" s="1097">
        <v>1.0224012721072466</v>
      </c>
      <c r="K1675">
        <v>5.3529236102005999</v>
      </c>
      <c r="L1675">
        <v>0</v>
      </c>
      <c r="M1675">
        <v>3.7703686099742743E-3</v>
      </c>
      <c r="N1675">
        <v>0.32925560978967144</v>
      </c>
      <c r="O1675">
        <v>0.14850422134600141</v>
      </c>
      <c r="P1675">
        <v>2.1049292375789584E-2</v>
      </c>
      <c r="Q1675">
        <v>1.2642465450523306E-3</v>
      </c>
      <c r="R1675">
        <v>3.7645866393583149E-3</v>
      </c>
      <c r="S1675">
        <v>0.47758014167991314</v>
      </c>
      <c r="T1675">
        <v>4.1319093689410202</v>
      </c>
      <c r="U1675">
        <v>0</v>
      </c>
      <c r="V1675">
        <v>1.1304767209823817E-2</v>
      </c>
      <c r="W1675">
        <v>0.19583516906087406</v>
      </c>
      <c r="X1675">
        <v>2.5587565967646959E-2</v>
      </c>
      <c r="Y1675">
        <v>1.0639009255420117E-2</v>
      </c>
    </row>
    <row r="1676" spans="1:25" x14ac:dyDescent="0.25">
      <c r="A1676" s="1093"/>
      <c r="B1676" s="1452">
        <v>1426</v>
      </c>
      <c r="C1676" s="1097">
        <v>1.0152771268216374</v>
      </c>
      <c r="D1676" s="1097">
        <v>0.9744207020271427</v>
      </c>
      <c r="E1676" s="1097">
        <v>0.97432073890650128</v>
      </c>
      <c r="F1676" s="1097">
        <v>0.96837284882423558</v>
      </c>
      <c r="G1676" s="1097">
        <v>0.99834520541048255</v>
      </c>
      <c r="H1676" s="1097">
        <v>1.005042844230853</v>
      </c>
      <c r="I1676" s="1097">
        <v>1.0364040993595254</v>
      </c>
      <c r="K1676">
        <v>5.0216603117306233</v>
      </c>
      <c r="L1676">
        <v>0</v>
      </c>
      <c r="M1676">
        <v>3.6970842321754271E-3</v>
      </c>
      <c r="N1676">
        <v>0.29720288218940638</v>
      </c>
      <c r="O1676">
        <v>0.14369882468700948</v>
      </c>
      <c r="P1676">
        <v>1.9387580264098127E-2</v>
      </c>
      <c r="Q1676">
        <v>1.2688779000811388E-3</v>
      </c>
      <c r="R1676">
        <v>3.6907812639869527E-3</v>
      </c>
      <c r="S1676">
        <v>0.46288484093572119</v>
      </c>
      <c r="T1676">
        <v>3.8721108165881426</v>
      </c>
      <c r="U1676">
        <v>0</v>
      </c>
      <c r="V1676">
        <v>1.1304767209823803E-2</v>
      </c>
      <c r="W1676">
        <v>0.18015813658862312</v>
      </c>
      <c r="X1676">
        <v>2.321945870606397E-2</v>
      </c>
      <c r="Y1676">
        <v>1.0430429629846799E-2</v>
      </c>
    </row>
    <row r="1677" spans="1:25" x14ac:dyDescent="0.25">
      <c r="A1677" s="1093"/>
      <c r="B1677" s="1452">
        <v>1427</v>
      </c>
      <c r="C1677" s="1097">
        <v>1.0205987437231181</v>
      </c>
      <c r="D1677" s="1097">
        <v>0.99915719697411121</v>
      </c>
      <c r="E1677" s="1097">
        <v>0.98921920843146083</v>
      </c>
      <c r="F1677" s="1097">
        <v>0.99918691683949212</v>
      </c>
      <c r="G1677" s="1097">
        <v>0.99041030672465236</v>
      </c>
      <c r="H1677" s="1097">
        <v>1.01163132315888</v>
      </c>
      <c r="I1677" s="1097">
        <v>1.0332582093578206</v>
      </c>
      <c r="K1677">
        <v>5.1694845604480602</v>
      </c>
      <c r="L1677">
        <v>0</v>
      </c>
      <c r="M1677">
        <v>3.6649303935538495E-3</v>
      </c>
      <c r="N1677">
        <v>0.30795280936512653</v>
      </c>
      <c r="O1677">
        <v>0.14562066120000056</v>
      </c>
      <c r="P1677">
        <v>2.0187766425831453E-2</v>
      </c>
      <c r="Q1677">
        <v>1.2659151409572418E-3</v>
      </c>
      <c r="R1677">
        <v>3.6589140500692843E-3</v>
      </c>
      <c r="S1677">
        <v>0.47012613095718758</v>
      </c>
      <c r="T1677">
        <v>3.9934381556362037</v>
      </c>
      <c r="U1677">
        <v>0</v>
      </c>
      <c r="V1677">
        <v>1.1304767209823822E-2</v>
      </c>
      <c r="W1677">
        <v>0.18478100749148788</v>
      </c>
      <c r="X1677">
        <v>2.447299291455823E-2</v>
      </c>
      <c r="Y1677">
        <v>1.0340370450368778E-2</v>
      </c>
    </row>
    <row r="1678" spans="1:25" x14ac:dyDescent="0.25">
      <c r="A1678" s="1093"/>
      <c r="B1678" s="1452">
        <v>1428</v>
      </c>
      <c r="C1678" s="1097">
        <v>0.97503227294239392</v>
      </c>
      <c r="D1678" s="1097">
        <v>0.99295911961560557</v>
      </c>
      <c r="E1678" s="1097">
        <v>1.0056017973006772</v>
      </c>
      <c r="F1678" s="1097">
        <v>1.0076773559945775</v>
      </c>
      <c r="G1678" s="1097">
        <v>1.0148824051331793</v>
      </c>
      <c r="H1678" s="1097">
        <v>1.0177426022664309</v>
      </c>
      <c r="I1678" s="1097">
        <v>1.01892859003728</v>
      </c>
      <c r="K1678">
        <v>5.2697777217330568</v>
      </c>
      <c r="L1678">
        <v>0</v>
      </c>
      <c r="M1678">
        <v>3.7695520170866288E-3</v>
      </c>
      <c r="N1678">
        <v>0.33250913138422783</v>
      </c>
      <c r="O1678">
        <v>0.15363172678821524</v>
      </c>
      <c r="P1678">
        <v>2.0675189660906517E-2</v>
      </c>
      <c r="Q1678">
        <v>1.3471916161876161E-3</v>
      </c>
      <c r="R1678">
        <v>3.7634528256766824E-3</v>
      </c>
      <c r="S1678">
        <v>0.49053893267015902</v>
      </c>
      <c r="T1678">
        <v>4.0252965953619775</v>
      </c>
      <c r="U1678">
        <v>0</v>
      </c>
      <c r="V1678">
        <v>1.1304767209823804E-2</v>
      </c>
      <c r="W1678">
        <v>0.19731472090145921</v>
      </c>
      <c r="X1678">
        <v>2.6529760320117966E-2</v>
      </c>
      <c r="Y1678">
        <v>1.0635805011393244E-2</v>
      </c>
    </row>
    <row r="1679" spans="1:25" x14ac:dyDescent="0.25">
      <c r="A1679" s="1093"/>
      <c r="B1679" s="1452">
        <v>1429</v>
      </c>
      <c r="C1679" s="1097">
        <v>0.9583958050120166</v>
      </c>
      <c r="D1679" s="1097">
        <v>1.0106000368246415</v>
      </c>
      <c r="E1679" s="1097">
        <v>0.98875998755699746</v>
      </c>
      <c r="F1679" s="1097">
        <v>0.98092935010608506</v>
      </c>
      <c r="G1679" s="1097">
        <v>0.99678898457901821</v>
      </c>
      <c r="H1679" s="1097">
        <v>0.95818804203607955</v>
      </c>
      <c r="I1679" s="1097">
        <v>1.0180342076708933</v>
      </c>
      <c r="K1679">
        <v>5.100029598143867</v>
      </c>
      <c r="L1679">
        <v>0</v>
      </c>
      <c r="M1679">
        <v>3.6161782804426741E-3</v>
      </c>
      <c r="N1679">
        <v>0.3034052029501999</v>
      </c>
      <c r="O1679">
        <v>0.15155952739520831</v>
      </c>
      <c r="P1679">
        <v>1.9870438815601701E-2</v>
      </c>
      <c r="Q1679">
        <v>1.3414188263348181E-3</v>
      </c>
      <c r="R1679">
        <v>3.6097944134051208E-3</v>
      </c>
      <c r="S1679">
        <v>0.47421891040046915</v>
      </c>
      <c r="T1679">
        <v>3.9205252109115221</v>
      </c>
      <c r="U1679">
        <v>0</v>
      </c>
      <c r="V1679">
        <v>1.1304767209823825E-2</v>
      </c>
      <c r="W1679">
        <v>0.18210924377243448</v>
      </c>
      <c r="X1679">
        <v>2.5499707122256909E-2</v>
      </c>
      <c r="Y1679">
        <v>1.0201554607048999E-2</v>
      </c>
    </row>
    <row r="1680" spans="1:25" x14ac:dyDescent="0.25">
      <c r="A1680" s="1093"/>
      <c r="B1680" s="1452">
        <v>1430</v>
      </c>
      <c r="C1680" s="1097">
        <v>1.004270166553777</v>
      </c>
      <c r="D1680" s="1097">
        <v>1.0238343988002041</v>
      </c>
      <c r="E1680" s="1097">
        <v>0.9761552094391025</v>
      </c>
      <c r="F1680" s="1097">
        <v>1.0105258610601611</v>
      </c>
      <c r="G1680" s="1097">
        <v>0.9976808158731596</v>
      </c>
      <c r="H1680" s="1097">
        <v>0.99707636170677161</v>
      </c>
      <c r="I1680" s="1097">
        <v>1.0117562371220052</v>
      </c>
      <c r="K1680">
        <v>5.2142686534270313</v>
      </c>
      <c r="L1680">
        <v>0</v>
      </c>
      <c r="M1680">
        <v>3.7787352667315302E-3</v>
      </c>
      <c r="N1680">
        <v>0.30544307085096156</v>
      </c>
      <c r="O1680">
        <v>0.14857650772397205</v>
      </c>
      <c r="P1680">
        <v>2.0186223257926156E-2</v>
      </c>
      <c r="Q1680">
        <v>1.2596626607473383E-3</v>
      </c>
      <c r="R1680">
        <v>3.7725120545838275E-3</v>
      </c>
      <c r="S1680">
        <v>0.46728741553887232</v>
      </c>
      <c r="T1680">
        <v>4.0404273220728681</v>
      </c>
      <c r="U1680">
        <v>0</v>
      </c>
      <c r="V1680">
        <v>1.1304767209823822E-2</v>
      </c>
      <c r="W1680">
        <v>0.18491984492162961</v>
      </c>
      <c r="X1680">
        <v>2.4208655318449113E-2</v>
      </c>
      <c r="Y1680">
        <v>1.0661407083924246E-2</v>
      </c>
    </row>
    <row r="1681" spans="1:25" x14ac:dyDescent="0.25">
      <c r="A1681" s="1093"/>
      <c r="B1681" s="1452">
        <v>1431</v>
      </c>
      <c r="C1681" s="1097">
        <v>1.0030532698556134</v>
      </c>
      <c r="D1681" s="1097">
        <v>0.97410347633498839</v>
      </c>
      <c r="E1681" s="1097">
        <v>0.98253141583534076</v>
      </c>
      <c r="F1681" s="1097">
        <v>0.98757039654782064</v>
      </c>
      <c r="G1681" s="1097">
        <v>1.0084459272882738</v>
      </c>
      <c r="H1681" s="1097">
        <v>1.0001201364891903</v>
      </c>
      <c r="I1681" s="1097">
        <v>1.0035140303647532</v>
      </c>
      <c r="K1681">
        <v>5.1164189438171155</v>
      </c>
      <c r="L1681">
        <v>0</v>
      </c>
      <c r="M1681">
        <v>3.7331125929945365E-3</v>
      </c>
      <c r="N1681">
        <v>0.30750909959701456</v>
      </c>
      <c r="O1681">
        <v>0.14812557134176146</v>
      </c>
      <c r="P1681">
        <v>1.9837058184581473E-2</v>
      </c>
      <c r="Q1681">
        <v>1.2937053856866788E-3</v>
      </c>
      <c r="R1681">
        <v>3.7268409941741062E-3</v>
      </c>
      <c r="S1681">
        <v>0.46024416070150814</v>
      </c>
      <c r="T1681">
        <v>3.9478452829121249</v>
      </c>
      <c r="U1681">
        <v>0</v>
      </c>
      <c r="V1681">
        <v>1.1304767209823829E-2</v>
      </c>
      <c r="W1681">
        <v>0.18535876592785494</v>
      </c>
      <c r="X1681">
        <v>2.4374466975190093E-2</v>
      </c>
      <c r="Y1681">
        <v>1.0532337180385858E-2</v>
      </c>
    </row>
    <row r="1682" spans="1:25" x14ac:dyDescent="0.25">
      <c r="A1682" s="1093"/>
      <c r="B1682" s="1452">
        <v>1432</v>
      </c>
      <c r="C1682" s="1097">
        <v>0.98195418274189517</v>
      </c>
      <c r="D1682" s="1097">
        <v>0.98095809698700887</v>
      </c>
      <c r="E1682" s="1097">
        <v>1.0218185245274594</v>
      </c>
      <c r="F1682" s="1097">
        <v>0.99617145368719495</v>
      </c>
      <c r="G1682" s="1097">
        <v>0.99068093869793405</v>
      </c>
      <c r="H1682" s="1097">
        <v>0.9889424582570997</v>
      </c>
      <c r="I1682" s="1097">
        <v>0.9975719074273508</v>
      </c>
      <c r="K1682">
        <v>5.1795928117825882</v>
      </c>
      <c r="L1682">
        <v>0</v>
      </c>
      <c r="M1682">
        <v>3.4915712510339763E-3</v>
      </c>
      <c r="N1682">
        <v>0.32311147779470462</v>
      </c>
      <c r="O1682">
        <v>0.15108066582101873</v>
      </c>
      <c r="P1682">
        <v>2.0597441277031777E-2</v>
      </c>
      <c r="Q1682">
        <v>1.3628658497162399E-3</v>
      </c>
      <c r="R1682">
        <v>3.4856902736461548E-3</v>
      </c>
      <c r="S1682">
        <v>0.46794824721439887</v>
      </c>
      <c r="T1682">
        <v>3.9773196395994597</v>
      </c>
      <c r="U1682">
        <v>0</v>
      </c>
      <c r="V1682">
        <v>1.1304767209823827E-2</v>
      </c>
      <c r="W1682">
        <v>0.18966718293908311</v>
      </c>
      <c r="X1682">
        <v>2.7355578221545881E-2</v>
      </c>
      <c r="Y1682">
        <v>9.8508268331873126E-3</v>
      </c>
    </row>
    <row r="1683" spans="1:25" x14ac:dyDescent="0.25">
      <c r="A1683" s="1093"/>
      <c r="B1683" s="1452">
        <v>1433</v>
      </c>
      <c r="C1683" s="1097">
        <v>0.98346417122157104</v>
      </c>
      <c r="D1683" s="1097">
        <v>0.99038852618989182</v>
      </c>
      <c r="E1683" s="1097">
        <v>0.96937590534448526</v>
      </c>
      <c r="F1683" s="1097">
        <v>0.9827804822855295</v>
      </c>
      <c r="G1683" s="1097">
        <v>1.0223820658704121</v>
      </c>
      <c r="H1683" s="1097">
        <v>1.0267832593012616</v>
      </c>
      <c r="I1683" s="1097">
        <v>1.0203248871634367</v>
      </c>
      <c r="K1683">
        <v>5.1320283258171377</v>
      </c>
      <c r="L1683">
        <v>0</v>
      </c>
      <c r="M1683">
        <v>3.9724773627068631E-3</v>
      </c>
      <c r="N1683">
        <v>0.314706076925791</v>
      </c>
      <c r="O1683">
        <v>0.14971659696980391</v>
      </c>
      <c r="P1683">
        <v>1.96442496183779E-2</v>
      </c>
      <c r="Q1683">
        <v>1.2958311191076472E-3</v>
      </c>
      <c r="R1683">
        <v>3.9659453053744022E-3</v>
      </c>
      <c r="S1683">
        <v>0.47888111462445571</v>
      </c>
      <c r="T1683">
        <v>3.9303389987565849</v>
      </c>
      <c r="U1683">
        <v>0</v>
      </c>
      <c r="V1683">
        <v>1.1304767209823811E-2</v>
      </c>
      <c r="W1683">
        <v>0.19141921641617743</v>
      </c>
      <c r="X1683">
        <v>2.3519942015760117E-2</v>
      </c>
      <c r="Y1683">
        <v>1.1208064218588495E-2</v>
      </c>
    </row>
    <row r="1684" spans="1:25" x14ac:dyDescent="0.25">
      <c r="A1684" s="1093"/>
      <c r="B1684" s="1452">
        <v>1434</v>
      </c>
      <c r="C1684" s="1097">
        <v>0.98679044316787856</v>
      </c>
      <c r="D1684" s="1097">
        <v>1.0124051788006245</v>
      </c>
      <c r="E1684" s="1097">
        <v>1.0193557482832594</v>
      </c>
      <c r="F1684" s="1097">
        <v>0.98080457177483682</v>
      </c>
      <c r="G1684" s="1097">
        <v>0.9931237351012655</v>
      </c>
      <c r="H1684" s="1097">
        <v>0.98497387641783951</v>
      </c>
      <c r="I1684" s="1097">
        <v>1.0027088637419148</v>
      </c>
      <c r="K1684">
        <v>5.0831658969205131</v>
      </c>
      <c r="L1684">
        <v>0</v>
      </c>
      <c r="M1684">
        <v>3.3820386923217698E-3</v>
      </c>
      <c r="N1684">
        <v>0.31069289214113355</v>
      </c>
      <c r="O1684">
        <v>0.14623235219436351</v>
      </c>
      <c r="P1684">
        <v>2.0234676090651132E-2</v>
      </c>
      <c r="Q1684">
        <v>1.3363896037061674E-3</v>
      </c>
      <c r="R1684">
        <v>3.3762297941965589E-3</v>
      </c>
      <c r="S1684">
        <v>0.45841275172382823</v>
      </c>
      <c r="T1684">
        <v>3.9162660693570457</v>
      </c>
      <c r="U1684">
        <v>0</v>
      </c>
      <c r="V1684">
        <v>1.1304767209823825E-2</v>
      </c>
      <c r="W1684">
        <v>0.18267706233891404</v>
      </c>
      <c r="X1684">
        <v>2.6473261997819453E-2</v>
      </c>
      <c r="Y1684">
        <v>9.5414831613504815E-3</v>
      </c>
    </row>
    <row r="1685" spans="1:25" x14ac:dyDescent="0.25">
      <c r="A1685" s="1093"/>
      <c r="B1685" s="1452">
        <v>1435</v>
      </c>
      <c r="C1685" s="1097">
        <v>1.0061650753208098</v>
      </c>
      <c r="D1685" s="1097">
        <v>1.0146991204752007</v>
      </c>
      <c r="E1685" s="1097">
        <v>0.96442341755031924</v>
      </c>
      <c r="F1685" s="1097">
        <v>1.0275203509134465</v>
      </c>
      <c r="G1685" s="1097">
        <v>0.9872122621442847</v>
      </c>
      <c r="H1685" s="1097">
        <v>1.0061285311230719</v>
      </c>
      <c r="I1685" s="1097">
        <v>0.98815081012406558</v>
      </c>
      <c r="K1685">
        <v>5.2943621082845302</v>
      </c>
      <c r="L1685">
        <v>0</v>
      </c>
      <c r="M1685">
        <v>3.9803434008697505E-3</v>
      </c>
      <c r="N1685">
        <v>0.31073685882529239</v>
      </c>
      <c r="O1685">
        <v>0.15166349215761823</v>
      </c>
      <c r="P1685">
        <v>2.0300732915181766E-2</v>
      </c>
      <c r="Q1685">
        <v>1.2489421771191465E-3</v>
      </c>
      <c r="R1685">
        <v>3.9739544075738402E-3</v>
      </c>
      <c r="S1685">
        <v>0.46446390042385893</v>
      </c>
      <c r="T1685">
        <v>4.1099116338520085</v>
      </c>
      <c r="U1685">
        <v>0</v>
      </c>
      <c r="V1685">
        <v>1.1304767209823806E-2</v>
      </c>
      <c r="W1685">
        <v>0.18965313616102503</v>
      </c>
      <c r="X1685">
        <v>2.3854335003031735E-2</v>
      </c>
      <c r="Y1685">
        <v>1.1230698552870132E-2</v>
      </c>
    </row>
    <row r="1686" spans="1:25" x14ac:dyDescent="0.25">
      <c r="A1686" s="1093"/>
      <c r="B1686" s="1452">
        <v>1436</v>
      </c>
      <c r="C1686" s="1097">
        <v>1.0214537568253599</v>
      </c>
      <c r="D1686" s="1097">
        <v>1.0288520984039518</v>
      </c>
      <c r="E1686" s="1097">
        <v>1.0160341327298898</v>
      </c>
      <c r="F1686" s="1097">
        <v>0.98288071492606077</v>
      </c>
      <c r="G1686" s="1097">
        <v>1.0064774355955277</v>
      </c>
      <c r="H1686" s="1097">
        <v>1.0120406338058121</v>
      </c>
      <c r="I1686" s="1097">
        <v>0.99323377622797282</v>
      </c>
      <c r="K1686">
        <v>5.0628214150869715</v>
      </c>
      <c r="L1686">
        <v>0</v>
      </c>
      <c r="M1686">
        <v>3.3660575199453667E-3</v>
      </c>
      <c r="N1686">
        <v>0.30621547979497798</v>
      </c>
      <c r="O1686">
        <v>0.14074732359728342</v>
      </c>
      <c r="P1686">
        <v>2.015386552004814E-2</v>
      </c>
      <c r="Q1686">
        <v>1.2791379289371989E-3</v>
      </c>
      <c r="R1686">
        <v>3.3604425594754152E-3</v>
      </c>
      <c r="S1686">
        <v>0.4428674060768466</v>
      </c>
      <c r="T1686">
        <v>3.9249624037539661</v>
      </c>
      <c r="U1686">
        <v>0</v>
      </c>
      <c r="V1686">
        <v>1.130476720982382E-2</v>
      </c>
      <c r="W1686">
        <v>0.18044432214139389</v>
      </c>
      <c r="X1686">
        <v>2.5355456793429886E-2</v>
      </c>
      <c r="Y1686">
        <v>9.4968672307301754E-3</v>
      </c>
    </row>
    <row r="1687" spans="1:25" x14ac:dyDescent="0.25">
      <c r="A1687" s="1093"/>
      <c r="B1687" s="1452">
        <v>1437</v>
      </c>
      <c r="C1687" s="1097">
        <v>1.0299801497313994</v>
      </c>
      <c r="D1687" s="1097">
        <v>1.0109223877972082</v>
      </c>
      <c r="E1687" s="1097">
        <v>1.028086952470316</v>
      </c>
      <c r="F1687" s="1097">
        <v>0.98189436118731499</v>
      </c>
      <c r="G1687" s="1097">
        <v>1.018204968216359</v>
      </c>
      <c r="H1687" s="1097">
        <v>1.024853943601862</v>
      </c>
      <c r="I1687" s="1097">
        <v>0.9699687355094222</v>
      </c>
      <c r="K1687">
        <v>5.0552849173020276</v>
      </c>
      <c r="L1687">
        <v>0</v>
      </c>
      <c r="M1687">
        <v>3.3153824454377288E-3</v>
      </c>
      <c r="N1687">
        <v>0.31255888130167619</v>
      </c>
      <c r="O1687">
        <v>0.14010763218346739</v>
      </c>
      <c r="P1687">
        <v>2.0257795776971892E-2</v>
      </c>
      <c r="Q1687">
        <v>1.2905802360976136E-3</v>
      </c>
      <c r="R1687">
        <v>3.3099156844259418E-3</v>
      </c>
      <c r="S1687">
        <v>0.43224556220723942</v>
      </c>
      <c r="T1687">
        <v>3.9195531763010063</v>
      </c>
      <c r="U1687">
        <v>0</v>
      </c>
      <c r="V1687">
        <v>1.1304767209823808E-2</v>
      </c>
      <c r="W1687">
        <v>0.18271006922940825</v>
      </c>
      <c r="X1687">
        <v>2.5907845193053804E-2</v>
      </c>
      <c r="Y1687">
        <v>9.3540744242959408E-3</v>
      </c>
    </row>
    <row r="1688" spans="1:25" x14ac:dyDescent="0.25">
      <c r="A1688" s="1093"/>
      <c r="B1688" s="1452">
        <v>1438</v>
      </c>
      <c r="C1688" s="1097">
        <v>0.99393382169876821</v>
      </c>
      <c r="D1688" s="1097">
        <v>0.99825154427617913</v>
      </c>
      <c r="E1688" s="1097">
        <v>1.0177927835228642</v>
      </c>
      <c r="F1688" s="1097">
        <v>1.0166305044041082</v>
      </c>
      <c r="G1688" s="1097">
        <v>1.0224499025272782</v>
      </c>
      <c r="H1688" s="1097">
        <v>1.0010753570851401</v>
      </c>
      <c r="I1688" s="1097">
        <v>1.0055644461351771</v>
      </c>
      <c r="K1688">
        <v>5.2749077560821105</v>
      </c>
      <c r="L1688">
        <v>0</v>
      </c>
      <c r="M1688">
        <v>3.5687994564611455E-3</v>
      </c>
      <c r="N1688">
        <v>0.32636555418230501</v>
      </c>
      <c r="O1688">
        <v>0.1513788270013795</v>
      </c>
      <c r="P1688">
        <v>2.0946783341660564E-2</v>
      </c>
      <c r="Q1688">
        <v>1.3325127771532748E-3</v>
      </c>
      <c r="R1688">
        <v>3.5629805615903769E-3</v>
      </c>
      <c r="S1688">
        <v>0.47472591220848115</v>
      </c>
      <c r="T1688">
        <v>4.0595136058991654</v>
      </c>
      <c r="U1688">
        <v>0</v>
      </c>
      <c r="V1688">
        <v>1.1304767209823825E-2</v>
      </c>
      <c r="W1688">
        <v>0.1920923452997973</v>
      </c>
      <c r="X1688">
        <v>2.7184011969461484E-2</v>
      </c>
      <c r="Y1688">
        <v>1.006925508775202E-2</v>
      </c>
    </row>
    <row r="1689" spans="1:25" x14ac:dyDescent="0.25">
      <c r="A1689" s="1093"/>
      <c r="B1689" s="1452">
        <v>1439</v>
      </c>
      <c r="C1689" s="1097">
        <v>0.99968928650373734</v>
      </c>
      <c r="D1689" s="1097">
        <v>1.0212997699550175</v>
      </c>
      <c r="E1689" s="1097">
        <v>1.0089222002610667</v>
      </c>
      <c r="F1689" s="1097">
        <v>1.0313091739886306</v>
      </c>
      <c r="G1689" s="1097">
        <v>0.95663874277172167</v>
      </c>
      <c r="H1689" s="1097">
        <v>0.99647817711600239</v>
      </c>
      <c r="I1689" s="1097">
        <v>0.99846580448197553</v>
      </c>
      <c r="K1689">
        <v>5.3258601437592086</v>
      </c>
      <c r="L1689">
        <v>0</v>
      </c>
      <c r="M1689">
        <v>3.6173918867735389E-3</v>
      </c>
      <c r="N1689">
        <v>0.32224130995213623</v>
      </c>
      <c r="O1689">
        <v>0.15154534650294088</v>
      </c>
      <c r="P1689">
        <v>2.1068595069062633E-2</v>
      </c>
      <c r="Q1689">
        <v>1.3029410041683184E-3</v>
      </c>
      <c r="R1689">
        <v>3.6115507516767467E-3</v>
      </c>
      <c r="S1689">
        <v>0.47138520837550396</v>
      </c>
      <c r="T1689">
        <v>4.1192684584201169</v>
      </c>
      <c r="U1689">
        <v>0</v>
      </c>
      <c r="V1689">
        <v>1.1304767209823824E-2</v>
      </c>
      <c r="W1689">
        <v>0.19079512711853444</v>
      </c>
      <c r="X1689">
        <v>2.6747713088920197E-2</v>
      </c>
      <c r="Y1689">
        <v>1.0206518153094698E-2</v>
      </c>
    </row>
    <row r="1690" spans="1:25" x14ac:dyDescent="0.25">
      <c r="A1690" s="1093"/>
      <c r="B1690" s="1452">
        <v>1440</v>
      </c>
      <c r="C1690" s="1097">
        <v>1.0024492688679296</v>
      </c>
      <c r="D1690" s="1097">
        <v>1.0069884748913454</v>
      </c>
      <c r="E1690" s="1097">
        <v>1.0163629117820308</v>
      </c>
      <c r="F1690" s="1097">
        <v>0.97409851557847082</v>
      </c>
      <c r="G1690" s="1097">
        <v>1.0030622609286735</v>
      </c>
      <c r="H1690" s="1097">
        <v>1.0074515418937424</v>
      </c>
      <c r="I1690" s="1097">
        <v>0.98976348785383528</v>
      </c>
      <c r="K1690">
        <v>5.0420900076993478</v>
      </c>
      <c r="L1690">
        <v>0</v>
      </c>
      <c r="M1690">
        <v>3.4106932917399419E-3</v>
      </c>
      <c r="N1690">
        <v>0.31057105269061713</v>
      </c>
      <c r="O1690">
        <v>0.14335175928118998</v>
      </c>
      <c r="P1690">
        <v>2.0017933196230381E-2</v>
      </c>
      <c r="Q1690">
        <v>1.3150013010044647E-3</v>
      </c>
      <c r="R1690">
        <v>3.4049265175841964E-3</v>
      </c>
      <c r="S1690">
        <v>0.44738812208708151</v>
      </c>
      <c r="T1690">
        <v>3.8898523222708299</v>
      </c>
      <c r="U1690">
        <v>0</v>
      </c>
      <c r="V1690">
        <v>1.1304767209823799E-2</v>
      </c>
      <c r="W1690">
        <v>0.18297072150135243</v>
      </c>
      <c r="X1690">
        <v>2.570151264284003E-2</v>
      </c>
      <c r="Y1690">
        <v>9.6225822925351326E-3</v>
      </c>
    </row>
    <row r="1691" spans="1:25" x14ac:dyDescent="0.25">
      <c r="A1691" s="1093"/>
      <c r="B1691" s="1452">
        <v>1441</v>
      </c>
      <c r="C1691" s="1097">
        <v>1.0001038472047936</v>
      </c>
      <c r="D1691" s="1097">
        <v>0.97433727661509728</v>
      </c>
      <c r="E1691" s="1097">
        <v>0.97438122045759212</v>
      </c>
      <c r="F1691" s="1097">
        <v>1.0378205014436204</v>
      </c>
      <c r="G1691" s="1097">
        <v>0.97837468080701451</v>
      </c>
      <c r="H1691" s="1097">
        <v>1.0278310818077008</v>
      </c>
      <c r="I1691" s="1097">
        <v>1.0146585736016029</v>
      </c>
      <c r="K1691">
        <v>5.3992148261148518</v>
      </c>
      <c r="L1691">
        <v>0</v>
      </c>
      <c r="M1691">
        <v>4.1126868658461048E-3</v>
      </c>
      <c r="N1691">
        <v>0.33072131221913914</v>
      </c>
      <c r="O1691">
        <v>0.15634440179671949</v>
      </c>
      <c r="P1691">
        <v>2.0757204780869093E-2</v>
      </c>
      <c r="Q1691">
        <v>1.2882409314587204E-3</v>
      </c>
      <c r="R1691">
        <v>4.1062888634255624E-3</v>
      </c>
      <c r="S1691">
        <v>0.49202986605733939</v>
      </c>
      <c r="T1691">
        <v>4.1497944422285977</v>
      </c>
      <c r="U1691">
        <v>0</v>
      </c>
      <c r="V1691">
        <v>1.1304767209823813E-2</v>
      </c>
      <c r="W1691">
        <v>0.200467964718617</v>
      </c>
      <c r="X1691">
        <v>2.4908338346344112E-2</v>
      </c>
      <c r="Y1691">
        <v>1.1604685828364856E-2</v>
      </c>
    </row>
    <row r="1692" spans="1:25" x14ac:dyDescent="0.25">
      <c r="A1692" s="1093"/>
      <c r="B1692" s="1452">
        <v>1442</v>
      </c>
      <c r="C1692" s="1097">
        <v>0.99611502051523704</v>
      </c>
      <c r="D1692" s="1097">
        <v>0.96780435705895773</v>
      </c>
      <c r="E1692" s="1097">
        <v>0.99365342060274664</v>
      </c>
      <c r="F1692" s="1097">
        <v>1.0095213276998589</v>
      </c>
      <c r="G1692" s="1097">
        <v>0.99600927936874351</v>
      </c>
      <c r="H1692" s="1097">
        <v>1.0145631953758452</v>
      </c>
      <c r="I1692" s="1097">
        <v>1.0213908594954526</v>
      </c>
      <c r="K1692">
        <v>5.2596827677781102</v>
      </c>
      <c r="L1692">
        <v>0</v>
      </c>
      <c r="M1692">
        <v>3.817841381451447E-3</v>
      </c>
      <c r="N1692">
        <v>0.32505377994255358</v>
      </c>
      <c r="O1692">
        <v>0.15255105523284068</v>
      </c>
      <c r="P1692">
        <v>2.0501936973509549E-2</v>
      </c>
      <c r="Q1692">
        <v>1.3187063324712246E-3</v>
      </c>
      <c r="R1692">
        <v>3.8116559989539297E-3</v>
      </c>
      <c r="S1692">
        <v>0.48390865674716721</v>
      </c>
      <c r="T1692">
        <v>4.0341772791049664</v>
      </c>
      <c r="U1692">
        <v>0</v>
      </c>
      <c r="V1692">
        <v>1.130476720982381E-2</v>
      </c>
      <c r="W1692">
        <v>0.19445504709543748</v>
      </c>
      <c r="X1692">
        <v>2.5645693662624845E-2</v>
      </c>
      <c r="Y1692">
        <v>1.0772030859212932E-2</v>
      </c>
    </row>
    <row r="1693" spans="1:25" x14ac:dyDescent="0.25">
      <c r="A1693" s="1093"/>
      <c r="B1693" s="1452">
        <v>1443</v>
      </c>
      <c r="C1693" s="1097">
        <v>1.0054441734182218</v>
      </c>
      <c r="D1693" s="1097">
        <v>1.0156034077742668</v>
      </c>
      <c r="E1693" s="1097">
        <v>1.0088904959414928</v>
      </c>
      <c r="F1693" s="1097">
        <v>0.97251387848615356</v>
      </c>
      <c r="G1693" s="1097">
        <v>1.0002583745595652</v>
      </c>
      <c r="H1693" s="1097">
        <v>1.0389159006053488</v>
      </c>
      <c r="I1693" s="1097">
        <v>0.98426627127634869</v>
      </c>
      <c r="K1693">
        <v>5.0446761641796938</v>
      </c>
      <c r="L1693">
        <v>0</v>
      </c>
      <c r="M1693">
        <v>3.544582424855365E-3</v>
      </c>
      <c r="N1693">
        <v>0.3157170195370293</v>
      </c>
      <c r="O1693">
        <v>0.14240683333459747</v>
      </c>
      <c r="P1693">
        <v>1.9885059461280798E-2</v>
      </c>
      <c r="Q1693">
        <v>1.2983498375304819E-3</v>
      </c>
      <c r="R1693">
        <v>3.5387613256963601E-3</v>
      </c>
      <c r="S1693">
        <v>0.44780637994203265</v>
      </c>
      <c r="T1693">
        <v>3.8844313826329717</v>
      </c>
      <c r="U1693">
        <v>0</v>
      </c>
      <c r="V1693">
        <v>1.1304767209823824E-2</v>
      </c>
      <c r="W1693">
        <v>0.18693615633174318</v>
      </c>
      <c r="X1693">
        <v>2.4895227313772687E-2</v>
      </c>
      <c r="Y1693">
        <v>1.000080967806434E-2</v>
      </c>
    </row>
    <row r="1694" spans="1:25" x14ac:dyDescent="0.25">
      <c r="A1694" s="1093"/>
      <c r="B1694" s="1452">
        <v>1444</v>
      </c>
      <c r="C1694" s="1097">
        <v>1.0107769819001964</v>
      </c>
      <c r="D1694" s="1097">
        <v>0.97544306459207097</v>
      </c>
      <c r="E1694" s="1097">
        <v>0.97629288678626669</v>
      </c>
      <c r="F1694" s="1097">
        <v>0.99877397117311639</v>
      </c>
      <c r="G1694" s="1097">
        <v>1.0277004702532708</v>
      </c>
      <c r="H1694" s="1097">
        <v>1.024787537880421</v>
      </c>
      <c r="I1694" s="1097">
        <v>0.97753542044802721</v>
      </c>
      <c r="K1694">
        <v>5.1677077152090796</v>
      </c>
      <c r="L1694">
        <v>0</v>
      </c>
      <c r="M1694">
        <v>3.8874153293833292E-3</v>
      </c>
      <c r="N1694">
        <v>0.31436443957063159</v>
      </c>
      <c r="O1694">
        <v>0.14875278500658023</v>
      </c>
      <c r="P1694">
        <v>1.9916730702830166E-2</v>
      </c>
      <c r="Q1694">
        <v>1.2761820094035936E-3</v>
      </c>
      <c r="R1694">
        <v>3.8811130813331059E-3</v>
      </c>
      <c r="S1694">
        <v>0.45349751607644651</v>
      </c>
      <c r="T1694">
        <v>3.993421798031954</v>
      </c>
      <c r="U1694">
        <v>0</v>
      </c>
      <c r="V1694">
        <v>1.1304767209823829E-2</v>
      </c>
      <c r="W1694">
        <v>0.19030297830299181</v>
      </c>
      <c r="X1694">
        <v>2.390849866964595E-2</v>
      </c>
      <c r="Y1694">
        <v>1.0968321876813871E-2</v>
      </c>
    </row>
    <row r="1695" spans="1:25" x14ac:dyDescent="0.25">
      <c r="A1695" s="1093"/>
      <c r="B1695" s="1452">
        <v>1445</v>
      </c>
      <c r="C1695" s="1097">
        <v>0.97508046998620579</v>
      </c>
      <c r="D1695" s="1097">
        <v>0.99202139978767057</v>
      </c>
      <c r="E1695" s="1097">
        <v>1.0100217821442905</v>
      </c>
      <c r="F1695" s="1097">
        <v>1.0247022895354754</v>
      </c>
      <c r="G1695" s="1097">
        <v>0.97847859931715264</v>
      </c>
      <c r="H1695" s="1097">
        <v>1.028102508874807</v>
      </c>
      <c r="I1695" s="1097">
        <v>0.97118716595262944</v>
      </c>
      <c r="K1695">
        <v>5.342631972113641</v>
      </c>
      <c r="L1695">
        <v>0</v>
      </c>
      <c r="M1695">
        <v>3.83749514270773E-3</v>
      </c>
      <c r="N1695">
        <v>0.34297673702765036</v>
      </c>
      <c r="O1695">
        <v>0.15614897519411863</v>
      </c>
      <c r="P1695">
        <v>2.09864165552014E-2</v>
      </c>
      <c r="Q1695">
        <v>1.3527234555710907E-3</v>
      </c>
      <c r="R1695">
        <v>3.8314505426420707E-3</v>
      </c>
      <c r="S1695">
        <v>0.47623807920267081</v>
      </c>
      <c r="T1695">
        <v>4.0927383201487606</v>
      </c>
      <c r="U1695">
        <v>0</v>
      </c>
      <c r="V1695">
        <v>1.1304767209823815E-2</v>
      </c>
      <c r="W1695">
        <v>0.20292242110110925</v>
      </c>
      <c r="X1695">
        <v>2.7141605067884243E-2</v>
      </c>
      <c r="Y1695">
        <v>1.0827971750917542E-2</v>
      </c>
    </row>
    <row r="1696" spans="1:25" x14ac:dyDescent="0.25">
      <c r="A1696" s="1093"/>
      <c r="B1696" s="1452">
        <v>1446</v>
      </c>
      <c r="C1696" s="1097">
        <v>1.0204782686689493</v>
      </c>
      <c r="D1696" s="1097">
        <v>0.98411866254314995</v>
      </c>
      <c r="E1696" s="1097">
        <v>1.0065254825447283</v>
      </c>
      <c r="F1696" s="1097">
        <v>1.0177095044797642</v>
      </c>
      <c r="G1696" s="1097">
        <v>0.9840794672394243</v>
      </c>
      <c r="H1696" s="1097">
        <v>1.0179444951379406</v>
      </c>
      <c r="I1696" s="1097">
        <v>0.97909079889629391</v>
      </c>
      <c r="K1696">
        <v>5.2520314224039266</v>
      </c>
      <c r="L1696">
        <v>0</v>
      </c>
      <c r="M1696">
        <v>3.6441342591264927E-3</v>
      </c>
      <c r="N1696">
        <v>0.32233193324586806</v>
      </c>
      <c r="O1696">
        <v>0.14875675390691459</v>
      </c>
      <c r="P1696">
        <v>2.0709373488883395E-2</v>
      </c>
      <c r="Q1696">
        <v>1.2928276682608111E-3</v>
      </c>
      <c r="R1696">
        <v>3.6382971815347347E-3</v>
      </c>
      <c r="S1696">
        <v>0.45497391374889795</v>
      </c>
      <c r="T1696">
        <v>4.0652536124482488</v>
      </c>
      <c r="U1696">
        <v>0</v>
      </c>
      <c r="V1696">
        <v>1.1304767209823803E-2</v>
      </c>
      <c r="W1696">
        <v>0.19115656970258832</v>
      </c>
      <c r="X1696">
        <v>2.5975402456165874E-2</v>
      </c>
      <c r="Y1696">
        <v>1.0282105605866692E-2</v>
      </c>
    </row>
    <row r="1697" spans="1:25" x14ac:dyDescent="0.25">
      <c r="A1697" s="1093"/>
      <c r="B1697" s="1452">
        <v>1447</v>
      </c>
      <c r="C1697" s="1097">
        <v>1.0328719180060857</v>
      </c>
      <c r="D1697" s="1097">
        <v>1.018641234599617</v>
      </c>
      <c r="E1697" s="1097">
        <v>1.0334151734339805</v>
      </c>
      <c r="F1697" s="1097">
        <v>1.0288289587206509</v>
      </c>
      <c r="G1697" s="1097">
        <v>0.99949793628839978</v>
      </c>
      <c r="H1697" s="1097">
        <v>0.96328258260752886</v>
      </c>
      <c r="I1697" s="1097">
        <v>0.96435251189174698</v>
      </c>
      <c r="K1697">
        <v>5.2430253626511814</v>
      </c>
      <c r="L1697">
        <v>0</v>
      </c>
      <c r="M1697">
        <v>3.2094855030906991E-3</v>
      </c>
      <c r="N1697">
        <v>0.30737129194663526</v>
      </c>
      <c r="O1697">
        <v>0.14580234671150738</v>
      </c>
      <c r="P1697">
        <v>2.1214727820559966E-2</v>
      </c>
      <c r="Q1697">
        <v>1.2888159314489837E-3</v>
      </c>
      <c r="R1697">
        <v>3.204111533434291E-3</v>
      </c>
      <c r="S1697">
        <v>0.43404827460352302</v>
      </c>
      <c r="T1697">
        <v>4.1062297481937158</v>
      </c>
      <c r="U1697">
        <v>0</v>
      </c>
      <c r="V1697">
        <v>1.1304767209823827E-2</v>
      </c>
      <c r="W1697">
        <v>0.17904497069427905</v>
      </c>
      <c r="X1697">
        <v>2.7670729693509696E-2</v>
      </c>
      <c r="Y1697">
        <v>9.0550638158287365E-3</v>
      </c>
    </row>
    <row r="1698" spans="1:25" x14ac:dyDescent="0.25">
      <c r="A1698" s="1093"/>
      <c r="B1698" s="1452">
        <v>1448</v>
      </c>
      <c r="C1698" s="1097">
        <v>1.0363419553918141</v>
      </c>
      <c r="D1698" s="1097">
        <v>1.0029523793000672</v>
      </c>
      <c r="E1698" s="1097">
        <v>1.0104265524084821</v>
      </c>
      <c r="F1698" s="1097">
        <v>1.0063110712421144</v>
      </c>
      <c r="G1698" s="1097">
        <v>1.0233221052921588</v>
      </c>
      <c r="H1698" s="1097">
        <v>0.98721213930848573</v>
      </c>
      <c r="I1698" s="1097">
        <v>0.98576356988900704</v>
      </c>
      <c r="K1698">
        <v>5.1531274560292069</v>
      </c>
      <c r="L1698">
        <v>0</v>
      </c>
      <c r="M1698">
        <v>3.3871325339487187E-3</v>
      </c>
      <c r="N1698">
        <v>0.30305962350417509</v>
      </c>
      <c r="O1698">
        <v>0.14363964003907928</v>
      </c>
      <c r="P1698">
        <v>2.0488005782231401E-2</v>
      </c>
      <c r="Q1698">
        <v>1.2676295956067195E-3</v>
      </c>
      <c r="R1698">
        <v>3.3814749571551761E-3</v>
      </c>
      <c r="S1698">
        <v>0.43963800431166172</v>
      </c>
      <c r="T1698">
        <v>4.0192315110640022</v>
      </c>
      <c r="U1698">
        <v>0</v>
      </c>
      <c r="V1698">
        <v>1.1304767209823832E-2</v>
      </c>
      <c r="W1698">
        <v>0.17925672561310566</v>
      </c>
      <c r="X1698">
        <v>2.569090009398585E-2</v>
      </c>
      <c r="Y1698">
        <v>9.5563063923207806E-3</v>
      </c>
    </row>
    <row r="1699" spans="1:25" x14ac:dyDescent="0.25">
      <c r="A1699" s="1093"/>
      <c r="B1699" s="1452">
        <v>1449</v>
      </c>
      <c r="C1699" s="1097">
        <v>0.98619071611068654</v>
      </c>
      <c r="D1699" s="1097">
        <v>1.005117382091629</v>
      </c>
      <c r="E1699" s="1097">
        <v>0.991597926006623</v>
      </c>
      <c r="F1699" s="1097">
        <v>1.0249314767316462</v>
      </c>
      <c r="G1699" s="1097">
        <v>1.0361913850363438</v>
      </c>
      <c r="H1699" s="1097">
        <v>0.96913992694671935</v>
      </c>
      <c r="I1699" s="1097">
        <v>1.0197036765863505</v>
      </c>
      <c r="K1699">
        <v>5.302247154628942</v>
      </c>
      <c r="L1699">
        <v>0</v>
      </c>
      <c r="M1699">
        <v>3.6995469752906605E-3</v>
      </c>
      <c r="N1699">
        <v>0.31305271579924826</v>
      </c>
      <c r="O1699">
        <v>0.15414826273907117</v>
      </c>
      <c r="P1699">
        <v>2.0739084825985375E-2</v>
      </c>
      <c r="Q1699">
        <v>1.3096532417352243E-3</v>
      </c>
      <c r="R1699">
        <v>3.6933665089637271E-3</v>
      </c>
      <c r="S1699">
        <v>0.48153111434420509</v>
      </c>
      <c r="T1699">
        <v>4.096023644001499</v>
      </c>
      <c r="U1699">
        <v>0</v>
      </c>
      <c r="V1699">
        <v>1.1304767209823825E-2</v>
      </c>
      <c r="W1699">
        <v>0.18753738257406743</v>
      </c>
      <c r="X1699">
        <v>2.6168974630105236E-2</v>
      </c>
      <c r="Y1699">
        <v>1.0437735729525284E-2</v>
      </c>
    </row>
    <row r="1700" spans="1:25" x14ac:dyDescent="0.25">
      <c r="A1700" s="1093"/>
      <c r="B1700" s="1452">
        <v>1450</v>
      </c>
      <c r="C1700" s="1097">
        <v>1.0004357492426612</v>
      </c>
      <c r="D1700" s="1097">
        <v>0.97716400621524457</v>
      </c>
      <c r="E1700" s="1097">
        <v>1.0136291610211141</v>
      </c>
      <c r="F1700" s="1097">
        <v>1.0096414492044306</v>
      </c>
      <c r="G1700" s="1097">
        <v>0.99440579424690678</v>
      </c>
      <c r="H1700" s="1097">
        <v>0.97828900060949087</v>
      </c>
      <c r="I1700" s="1097">
        <v>0.9926547988517157</v>
      </c>
      <c r="K1700">
        <v>5.2164690442093251</v>
      </c>
      <c r="L1700">
        <v>0</v>
      </c>
      <c r="M1700">
        <v>3.5012728321143207E-3</v>
      </c>
      <c r="N1700">
        <v>0.31625330544301655</v>
      </c>
      <c r="O1700">
        <v>0.15076020260221301</v>
      </c>
      <c r="P1700">
        <v>2.0691746107045161E-2</v>
      </c>
      <c r="Q1700">
        <v>1.3304983341055423E-3</v>
      </c>
      <c r="R1700">
        <v>3.4953906972310833E-3</v>
      </c>
      <c r="S1700">
        <v>0.46053512806684488</v>
      </c>
      <c r="T1700">
        <v>4.0321294511251979</v>
      </c>
      <c r="U1700">
        <v>0</v>
      </c>
      <c r="V1700">
        <v>1.1304767209823825E-2</v>
      </c>
      <c r="W1700">
        <v>0.18665946874021649</v>
      </c>
      <c r="X1700">
        <v>2.6932117744908588E-2</v>
      </c>
      <c r="Y1700">
        <v>9.8782409708306259E-3</v>
      </c>
    </row>
    <row r="1701" spans="1:25" x14ac:dyDescent="0.25">
      <c r="A1701" s="1093"/>
      <c r="B1701" s="1452">
        <v>1451</v>
      </c>
      <c r="C1701" s="1097">
        <v>1.0064602268564404</v>
      </c>
      <c r="D1701" s="1097">
        <v>0.99427138271476012</v>
      </c>
      <c r="E1701" s="1097">
        <v>1.0155993883040604</v>
      </c>
      <c r="F1701" s="1097">
        <v>1.0093600584539506</v>
      </c>
      <c r="G1701" s="1097">
        <v>1.0161833303839445</v>
      </c>
      <c r="H1701" s="1097">
        <v>1.0386442332199497</v>
      </c>
      <c r="I1701" s="1097">
        <v>0.96557065794865404</v>
      </c>
      <c r="K1701">
        <v>5.2317033626061846</v>
      </c>
      <c r="L1701">
        <v>0</v>
      </c>
      <c r="M1701">
        <v>3.653224305161322E-3</v>
      </c>
      <c r="N1701">
        <v>0.33194052539270602</v>
      </c>
      <c r="O1701">
        <v>0.1487244159087551</v>
      </c>
      <c r="P1701">
        <v>2.0688373389665803E-2</v>
      </c>
      <c r="Q1701">
        <v>1.3155836795116635E-3</v>
      </c>
      <c r="R1701">
        <v>3.6474419258463128E-3</v>
      </c>
      <c r="S1701">
        <v>0.45464972348072846</v>
      </c>
      <c r="T1701">
        <v>4.030757719039908</v>
      </c>
      <c r="U1701">
        <v>0</v>
      </c>
      <c r="V1701">
        <v>1.1304767209823825E-2</v>
      </c>
      <c r="W1701">
        <v>0.19566025138085555</v>
      </c>
      <c r="X1701">
        <v>2.6359836152079007E-2</v>
      </c>
      <c r="Y1701">
        <v>1.0307949351459414E-2</v>
      </c>
    </row>
    <row r="1702" spans="1:25" x14ac:dyDescent="0.25">
      <c r="A1702" s="1093"/>
      <c r="B1702" s="1452">
        <v>1452</v>
      </c>
      <c r="C1702" s="1097">
        <v>1.004156683140917</v>
      </c>
      <c r="D1702" s="1097">
        <v>1.0188494062944613</v>
      </c>
      <c r="E1702" s="1097">
        <v>0.9826266876289248</v>
      </c>
      <c r="F1702" s="1097">
        <v>0.99057493624162962</v>
      </c>
      <c r="G1702" s="1097">
        <v>0.964595447765769</v>
      </c>
      <c r="H1702" s="1097">
        <v>1.0011910782974962</v>
      </c>
      <c r="I1702" s="1097">
        <v>1.0214337427354829</v>
      </c>
      <c r="K1702">
        <v>5.1233525042181975</v>
      </c>
      <c r="L1702">
        <v>0</v>
      </c>
      <c r="M1702">
        <v>3.6769405076072662E-3</v>
      </c>
      <c r="N1702">
        <v>0.30296972479548467</v>
      </c>
      <c r="O1702">
        <v>0.14576797867987029</v>
      </c>
      <c r="P1702">
        <v>1.991453897792177E-2</v>
      </c>
      <c r="Q1702">
        <v>1.2693804232243248E-3</v>
      </c>
      <c r="R1702">
        <v>3.6707885699486325E-3</v>
      </c>
      <c r="S1702">
        <v>0.46518569091619988</v>
      </c>
      <c r="T1702">
        <v>3.9598440838509132</v>
      </c>
      <c r="U1702">
        <v>0</v>
      </c>
      <c r="V1702">
        <v>1.130476720982381E-2</v>
      </c>
      <c r="W1702">
        <v>0.18261064561852647</v>
      </c>
      <c r="X1702">
        <v>2.4117916933766324E-2</v>
      </c>
      <c r="Y1702">
        <v>1.0373928750124524E-2</v>
      </c>
    </row>
    <row r="1703" spans="1:25" x14ac:dyDescent="0.25">
      <c r="A1703" s="1093"/>
      <c r="B1703" s="1452">
        <v>1453</v>
      </c>
      <c r="C1703" s="1097">
        <v>0.98054080166151703</v>
      </c>
      <c r="D1703" s="1097">
        <v>0.98233248149098762</v>
      </c>
      <c r="E1703" s="1097">
        <v>1.0016309694254892</v>
      </c>
      <c r="F1703" s="1097">
        <v>1.0008232147769545</v>
      </c>
      <c r="G1703" s="1097">
        <v>1.0005320460746574</v>
      </c>
      <c r="H1703" s="1097">
        <v>1.0306286370653788</v>
      </c>
      <c r="I1703" s="1097">
        <v>0.97557909065238113</v>
      </c>
      <c r="K1703">
        <v>5.219360528211979</v>
      </c>
      <c r="L1703">
        <v>0</v>
      </c>
      <c r="M1703">
        <v>3.8181321192334232E-3</v>
      </c>
      <c r="N1703">
        <v>0.33285918786450547</v>
      </c>
      <c r="O1703">
        <v>0.15249758628832019</v>
      </c>
      <c r="P1703">
        <v>2.0388219140416466E-2</v>
      </c>
      <c r="Q1703">
        <v>1.3408409838035185E-3</v>
      </c>
      <c r="R1703">
        <v>3.8119898555801384E-3</v>
      </c>
      <c r="S1703">
        <v>0.46778340414863345</v>
      </c>
      <c r="T1703">
        <v>3.9984149585501596</v>
      </c>
      <c r="U1703">
        <v>0</v>
      </c>
      <c r="V1703">
        <v>1.1304767209823829E-2</v>
      </c>
      <c r="W1703">
        <v>0.19805196539280204</v>
      </c>
      <c r="X1703">
        <v>2.5952766533633747E-2</v>
      </c>
      <c r="Y1703">
        <v>1.0772974363527345E-2</v>
      </c>
    </row>
    <row r="1704" spans="1:25" x14ac:dyDescent="0.25">
      <c r="A1704" s="1093"/>
      <c r="B1704" s="1452">
        <v>1454</v>
      </c>
      <c r="C1704" s="1097">
        <v>1.0432625044313937</v>
      </c>
      <c r="D1704" s="1097">
        <v>0.97775859936804654</v>
      </c>
      <c r="E1704" s="1097">
        <v>0.9995461844335819</v>
      </c>
      <c r="F1704" s="1097">
        <v>1.0043343638836473</v>
      </c>
      <c r="G1704" s="1097">
        <v>1.0021105306666362</v>
      </c>
      <c r="H1704" s="1097">
        <v>1.0044378427644376</v>
      </c>
      <c r="I1704" s="1097">
        <v>0.99688760512058594</v>
      </c>
      <c r="K1704">
        <v>5.1592303416403782</v>
      </c>
      <c r="L1704">
        <v>0</v>
      </c>
      <c r="M1704">
        <v>3.5316688100814463E-3</v>
      </c>
      <c r="N1704">
        <v>0.30597873491333627</v>
      </c>
      <c r="O1704">
        <v>0.14415728443964992</v>
      </c>
      <c r="P1704">
        <v>2.0323635033262615E-2</v>
      </c>
      <c r="Q1704">
        <v>1.2603304141976719E-3</v>
      </c>
      <c r="R1704">
        <v>3.525859585367986E-3</v>
      </c>
      <c r="S1704">
        <v>0.44625596531630224</v>
      </c>
      <c r="T1704">
        <v>4.0127052547759385</v>
      </c>
      <c r="U1704">
        <v>0</v>
      </c>
      <c r="V1704">
        <v>1.1304767209823817E-2</v>
      </c>
      <c r="W1704">
        <v>0.18231464303730163</v>
      </c>
      <c r="X1704">
        <v>2.497118735038192E-2</v>
      </c>
      <c r="Y1704">
        <v>9.9643483748950781E-3</v>
      </c>
    </row>
    <row r="1705" spans="1:25" x14ac:dyDescent="0.25">
      <c r="A1705" s="1093"/>
      <c r="B1705" s="1452">
        <v>1455</v>
      </c>
      <c r="C1705" s="1097">
        <v>1.0056487662873184</v>
      </c>
      <c r="D1705" s="1097">
        <v>0.98052606298030598</v>
      </c>
      <c r="E1705" s="1097">
        <v>1.0122260135586079</v>
      </c>
      <c r="F1705" s="1097">
        <v>0.98205587351501389</v>
      </c>
      <c r="G1705" s="1097">
        <v>0.95852730963857802</v>
      </c>
      <c r="H1705" s="1097">
        <v>0.98177741525851125</v>
      </c>
      <c r="I1705" s="1097">
        <v>1.0010082259736626</v>
      </c>
      <c r="K1705">
        <v>5.0752731648547238</v>
      </c>
      <c r="L1705">
        <v>0</v>
      </c>
      <c r="M1705">
        <v>3.4055946696811817E-3</v>
      </c>
      <c r="N1705">
        <v>0.30632356742415989</v>
      </c>
      <c r="O1705">
        <v>0.14571912317508745</v>
      </c>
      <c r="P1705">
        <v>2.0125423305361809E-2</v>
      </c>
      <c r="Q1705">
        <v>1.3202085957617681E-3</v>
      </c>
      <c r="R1705">
        <v>3.3997337328487334E-3</v>
      </c>
      <c r="S1705">
        <v>0.45178967903645739</v>
      </c>
      <c r="T1705">
        <v>3.9221349571072066</v>
      </c>
      <c r="U1705">
        <v>0</v>
      </c>
      <c r="V1705">
        <v>1.1304767209823825E-2</v>
      </c>
      <c r="W1705">
        <v>0.1809687704815702</v>
      </c>
      <c r="X1705">
        <v>2.5984622369703378E-2</v>
      </c>
      <c r="Y1705">
        <v>9.6079070864223542E-3</v>
      </c>
    </row>
    <row r="1706" spans="1:25" x14ac:dyDescent="0.25">
      <c r="A1706" s="1093"/>
      <c r="B1706" s="1452">
        <v>1456</v>
      </c>
      <c r="C1706" s="1097">
        <v>1.002227968575673</v>
      </c>
      <c r="D1706" s="1097">
        <v>0.96811180028734578</v>
      </c>
      <c r="E1706" s="1097">
        <v>1.0296418581427542</v>
      </c>
      <c r="F1706" s="1097">
        <v>0.99745939534561701</v>
      </c>
      <c r="G1706" s="1097">
        <v>0.99594181761053835</v>
      </c>
      <c r="H1706" s="1097">
        <v>0.97333724771123631</v>
      </c>
      <c r="I1706" s="1097">
        <v>1.0097948527287048</v>
      </c>
      <c r="K1706">
        <v>5.1635846002942145</v>
      </c>
      <c r="L1706">
        <v>0</v>
      </c>
      <c r="M1706">
        <v>3.3335342580588195E-3</v>
      </c>
      <c r="N1706">
        <v>0.31569922406955586</v>
      </c>
      <c r="O1706">
        <v>0.14877984936420482</v>
      </c>
      <c r="P1706">
        <v>2.0710884594198078E-2</v>
      </c>
      <c r="Q1706">
        <v>1.3512400433493422E-3</v>
      </c>
      <c r="R1706">
        <v>3.3278368017441882E-3</v>
      </c>
      <c r="S1706">
        <v>0.46284614159392484</v>
      </c>
      <c r="T1706">
        <v>3.9814940403076262</v>
      </c>
      <c r="U1706">
        <v>0</v>
      </c>
      <c r="V1706">
        <v>1.1304767209823829E-2</v>
      </c>
      <c r="W1706">
        <v>0.18435569739752866</v>
      </c>
      <c r="X1706">
        <v>2.7643732300262711E-2</v>
      </c>
      <c r="Y1706">
        <v>9.4047208700498864E-3</v>
      </c>
    </row>
    <row r="1707" spans="1:25" x14ac:dyDescent="0.25">
      <c r="A1707" s="1093"/>
      <c r="B1707" s="1452">
        <v>1457</v>
      </c>
      <c r="C1707" s="1097">
        <v>0.99525549950097192</v>
      </c>
      <c r="D1707" s="1097">
        <v>0.98094440283290196</v>
      </c>
      <c r="E1707" s="1097">
        <v>0.99579113685577902</v>
      </c>
      <c r="F1707" s="1097">
        <v>0.99167172227189848</v>
      </c>
      <c r="G1707" s="1097">
        <v>1.0215128956667969</v>
      </c>
      <c r="H1707" s="1097">
        <v>1.0373059219986323</v>
      </c>
      <c r="I1707" s="1097">
        <v>1.0246141923004077</v>
      </c>
      <c r="K1707">
        <v>5.1821530824026762</v>
      </c>
      <c r="L1707">
        <v>0</v>
      </c>
      <c r="M1707">
        <v>3.8000520705481324E-3</v>
      </c>
      <c r="N1707">
        <v>0.32559808235365145</v>
      </c>
      <c r="O1707">
        <v>0.14911655645876307</v>
      </c>
      <c r="P1707">
        <v>2.0200403282577419E-2</v>
      </c>
      <c r="Q1707">
        <v>1.3151600581920299E-3</v>
      </c>
      <c r="R1707">
        <v>3.7939222862218183E-3</v>
      </c>
      <c r="S1707">
        <v>0.481745446980263</v>
      </c>
      <c r="T1707">
        <v>3.9625811346675337</v>
      </c>
      <c r="U1707">
        <v>0</v>
      </c>
      <c r="V1707">
        <v>1.130476720982383E-2</v>
      </c>
      <c r="W1707">
        <v>0.19449843192479252</v>
      </c>
      <c r="X1707">
        <v>2.5077315218271067E-2</v>
      </c>
      <c r="Y1707">
        <v>1.0721914033127068E-2</v>
      </c>
    </row>
    <row r="1708" spans="1:25" x14ac:dyDescent="0.25">
      <c r="A1708" s="1093"/>
      <c r="B1708" s="1452">
        <v>1458</v>
      </c>
      <c r="C1708" s="1097">
        <v>0.9952070061450724</v>
      </c>
      <c r="D1708" s="1097">
        <v>0.99750900656921448</v>
      </c>
      <c r="E1708" s="1097">
        <v>1.0274828363037609</v>
      </c>
      <c r="F1708" s="1097">
        <v>0.99693700838425259</v>
      </c>
      <c r="G1708" s="1097">
        <v>0.9839188804378296</v>
      </c>
      <c r="H1708" s="1097">
        <v>1.0096126768337432</v>
      </c>
      <c r="I1708" s="1097">
        <v>0.96700620945728955</v>
      </c>
      <c r="K1708">
        <v>5.1632269298028417</v>
      </c>
      <c r="L1708">
        <v>0</v>
      </c>
      <c r="M1708">
        <v>3.454689421001105E-3</v>
      </c>
      <c r="N1708">
        <v>0.32511093797801388</v>
      </c>
      <c r="O1708">
        <v>0.14803010844335296</v>
      </c>
      <c r="P1708">
        <v>2.0610963315700656E-2</v>
      </c>
      <c r="Q1708">
        <v>1.3421464617626709E-3</v>
      </c>
      <c r="R1708">
        <v>3.4489940664102535E-3</v>
      </c>
      <c r="S1708">
        <v>0.45013616423167085</v>
      </c>
      <c r="T1708">
        <v>3.9796754568840158</v>
      </c>
      <c r="U1708">
        <v>0</v>
      </c>
      <c r="V1708">
        <v>1.1304767209823817E-2</v>
      </c>
      <c r="W1708">
        <v>0.19012369428130782</v>
      </c>
      <c r="X1708">
        <v>2.7151265801867452E-2</v>
      </c>
      <c r="Y1708">
        <v>9.7471205499157637E-3</v>
      </c>
    </row>
    <row r="1709" spans="1:25" x14ac:dyDescent="0.25">
      <c r="A1709" s="1093"/>
      <c r="B1709" s="1452">
        <v>1459</v>
      </c>
      <c r="C1709" s="1097">
        <v>1.0045504363590525</v>
      </c>
      <c r="D1709" s="1097">
        <v>1.0351145895086735</v>
      </c>
      <c r="E1709" s="1097">
        <v>1.0143095303796317</v>
      </c>
      <c r="F1709" s="1097">
        <v>1.0088963024612558</v>
      </c>
      <c r="G1709" s="1097">
        <v>0.97404248973117435</v>
      </c>
      <c r="H1709" s="1097">
        <v>0.99566836860091101</v>
      </c>
      <c r="I1709" s="1097">
        <v>0.98952260952183502</v>
      </c>
      <c r="K1709">
        <v>5.1980238846531197</v>
      </c>
      <c r="L1709">
        <v>0</v>
      </c>
      <c r="M1709">
        <v>3.4604999938948151E-3</v>
      </c>
      <c r="N1709">
        <v>0.31320940371162914</v>
      </c>
      <c r="O1709">
        <v>0.14659513469749486</v>
      </c>
      <c r="P1709">
        <v>2.0662852820956899E-2</v>
      </c>
      <c r="Q1709">
        <v>1.2956103286282002E-3</v>
      </c>
      <c r="R1709">
        <v>3.454783622302917E-3</v>
      </c>
      <c r="S1709">
        <v>0.4550561646684127</v>
      </c>
      <c r="T1709">
        <v>4.0290679995827281</v>
      </c>
      <c r="U1709">
        <v>0</v>
      </c>
      <c r="V1709">
        <v>1.130476720982382E-2</v>
      </c>
      <c r="W1709">
        <v>0.18477870440296279</v>
      </c>
      <c r="X1709">
        <v>2.6295481325196088E-2</v>
      </c>
      <c r="Y1709">
        <v>9.7634822768801165E-3</v>
      </c>
    </row>
    <row r="1710" spans="1:25" x14ac:dyDescent="0.25">
      <c r="A1710" s="1093"/>
      <c r="B1710" s="1452">
        <v>1460</v>
      </c>
      <c r="C1710" s="1097">
        <v>0.98301468167024142</v>
      </c>
      <c r="D1710" s="1097">
        <v>1.0062856023594664</v>
      </c>
      <c r="E1710" s="1097">
        <v>1.0013195333274925</v>
      </c>
      <c r="F1710" s="1097">
        <v>1.0184612605892387</v>
      </c>
      <c r="G1710" s="1097">
        <v>1.0081139262018786</v>
      </c>
      <c r="H1710" s="1097">
        <v>0.99197020295292404</v>
      </c>
      <c r="I1710" s="1097">
        <v>0.97740061296954006</v>
      </c>
      <c r="K1710">
        <v>5.2708181903527942</v>
      </c>
      <c r="L1710">
        <v>0</v>
      </c>
      <c r="M1710">
        <v>3.6968132639093043E-3</v>
      </c>
      <c r="N1710">
        <v>0.3219746636432736</v>
      </c>
      <c r="O1710">
        <v>0.15331902756895874</v>
      </c>
      <c r="P1710">
        <v>2.0690910984161918E-2</v>
      </c>
      <c r="Q1710">
        <v>1.3242867415894513E-3</v>
      </c>
      <c r="R1710">
        <v>3.6907412337350443E-3</v>
      </c>
      <c r="S1710">
        <v>0.46480946671564549</v>
      </c>
      <c r="T1710">
        <v>4.0689209718968504</v>
      </c>
      <c r="U1710">
        <v>0</v>
      </c>
      <c r="V1710">
        <v>1.1304767209823815E-2</v>
      </c>
      <c r="W1710">
        <v>0.19161593797172213</v>
      </c>
      <c r="X1710">
        <v>2.6433913149642847E-2</v>
      </c>
      <c r="Y1710">
        <v>1.0430316501298742E-2</v>
      </c>
    </row>
    <row r="1711" spans="1:25" x14ac:dyDescent="0.25">
      <c r="A1711" s="1093"/>
      <c r="B1711" s="1452">
        <v>1461</v>
      </c>
      <c r="C1711" s="1097">
        <v>1.0005949657769455</v>
      </c>
      <c r="D1711" s="1097">
        <v>1.0059247955767179</v>
      </c>
      <c r="E1711" s="1097">
        <v>1.0228710027732817</v>
      </c>
      <c r="F1711" s="1097">
        <v>1.0065236827057225</v>
      </c>
      <c r="G1711" s="1097">
        <v>1.0058892842973921</v>
      </c>
      <c r="H1711" s="1097">
        <v>0.97826229127835529</v>
      </c>
      <c r="I1711" s="1097">
        <v>0.9925576434447978</v>
      </c>
      <c r="K1711">
        <v>5.1917483671750606</v>
      </c>
      <c r="L1711">
        <v>0</v>
      </c>
      <c r="M1711">
        <v>3.3828962718332298E-3</v>
      </c>
      <c r="N1711">
        <v>0.31403051680775818</v>
      </c>
      <c r="O1711">
        <v>0.14827896995404563</v>
      </c>
      <c r="P1711">
        <v>2.0751488962615375E-2</v>
      </c>
      <c r="Q1711">
        <v>1.3252756413608391E-3</v>
      </c>
      <c r="R1711">
        <v>3.3771952785866784E-3</v>
      </c>
      <c r="S1711">
        <v>0.45663014878429636</v>
      </c>
      <c r="T1711">
        <v>4.0185204052283856</v>
      </c>
      <c r="U1711">
        <v>0</v>
      </c>
      <c r="V1711">
        <v>1.1304767209823827E-2</v>
      </c>
      <c r="W1711">
        <v>0.18420752412500016</v>
      </c>
      <c r="X1711">
        <v>2.7160759761067094E-2</v>
      </c>
      <c r="Y1711">
        <v>9.5442116939482013E-3</v>
      </c>
    </row>
    <row r="1712" spans="1:25" x14ac:dyDescent="0.25">
      <c r="A1712" s="1093"/>
      <c r="B1712" s="1452">
        <v>1462</v>
      </c>
      <c r="C1712" s="1097">
        <v>1.0000343650392276</v>
      </c>
      <c r="D1712" s="1097">
        <v>1.0186399424069053</v>
      </c>
      <c r="E1712" s="1097">
        <v>1.0113687922298229</v>
      </c>
      <c r="F1712" s="1097">
        <v>1.0208845191509635</v>
      </c>
      <c r="G1712" s="1097">
        <v>0.97894305992908004</v>
      </c>
      <c r="H1712" s="1097">
        <v>1.0032656729814238</v>
      </c>
      <c r="I1712" s="1097">
        <v>1.0049718275231507</v>
      </c>
      <c r="K1712">
        <v>5.2818229004415054</v>
      </c>
      <c r="L1712">
        <v>0</v>
      </c>
      <c r="M1712">
        <v>3.5892242308534785E-3</v>
      </c>
      <c r="N1712">
        <v>0.32205481109835382</v>
      </c>
      <c r="O1712">
        <v>0.15004922179459862</v>
      </c>
      <c r="P1712">
        <v>2.0916121833509962E-2</v>
      </c>
      <c r="Q1712">
        <v>1.3065699195316785E-3</v>
      </c>
      <c r="R1712">
        <v>3.5834091032635735E-3</v>
      </c>
      <c r="S1712">
        <v>0.47177855796930063</v>
      </c>
      <c r="T1712">
        <v>4.0773180738847543</v>
      </c>
      <c r="U1712">
        <v>0</v>
      </c>
      <c r="V1712">
        <v>1.1304767209823822E-2</v>
      </c>
      <c r="W1712">
        <v>0.19037180676260837</v>
      </c>
      <c r="X1712">
        <v>2.6601797390444579E-2</v>
      </c>
      <c r="Y1712">
        <v>1.0126987706165852E-2</v>
      </c>
    </row>
    <row r="1713" spans="1:25" x14ac:dyDescent="0.25">
      <c r="A1713" s="1093"/>
      <c r="B1713" s="1452">
        <v>1463</v>
      </c>
      <c r="C1713" s="1097">
        <v>1.0027803232203307</v>
      </c>
      <c r="D1713" s="1097">
        <v>1.0409533154668453</v>
      </c>
      <c r="E1713" s="1097">
        <v>0.98890051004614077</v>
      </c>
      <c r="F1713" s="1097">
        <v>0.98559650691081468</v>
      </c>
      <c r="G1713" s="1097">
        <v>1.0175855203938737</v>
      </c>
      <c r="H1713" s="1097">
        <v>1.0057577087146155</v>
      </c>
      <c r="I1713" s="1097">
        <v>1.0174535519704098</v>
      </c>
      <c r="K1713">
        <v>5.0944775151661119</v>
      </c>
      <c r="L1713">
        <v>0</v>
      </c>
      <c r="M1713">
        <v>3.6009776875969178E-3</v>
      </c>
      <c r="N1713">
        <v>0.3022834558125822</v>
      </c>
      <c r="O1713">
        <v>0.14382406901561146</v>
      </c>
      <c r="P1713">
        <v>1.989684898113887E-2</v>
      </c>
      <c r="Q1713">
        <v>1.2671131472309224E-3</v>
      </c>
      <c r="R1713">
        <v>3.5949499566495353E-3</v>
      </c>
      <c r="S1713">
        <v>0.46097692236071447</v>
      </c>
      <c r="T1713">
        <v>3.9391611699369267</v>
      </c>
      <c r="U1713">
        <v>0</v>
      </c>
      <c r="V1713">
        <v>1.1304767209823825E-2</v>
      </c>
      <c r="W1713">
        <v>0.18141858859991328</v>
      </c>
      <c r="X1713">
        <v>2.4191004794174974E-2</v>
      </c>
      <c r="Y1713">
        <v>1.0159603038937056E-2</v>
      </c>
    </row>
    <row r="1714" spans="1:25" x14ac:dyDescent="0.25">
      <c r="A1714" s="1093"/>
      <c r="B1714" s="1452">
        <v>1464</v>
      </c>
      <c r="C1714" s="1097">
        <v>1.0181905000065776</v>
      </c>
      <c r="D1714" s="1097">
        <v>1.0233982105163337</v>
      </c>
      <c r="E1714" s="1097">
        <v>1.0192053492737581</v>
      </c>
      <c r="F1714" s="1097">
        <v>0.95655356375059841</v>
      </c>
      <c r="G1714" s="1097">
        <v>0.99177509545253129</v>
      </c>
      <c r="H1714" s="1097">
        <v>0.96468457406828489</v>
      </c>
      <c r="I1714" s="1097">
        <v>1.0106697003811209</v>
      </c>
      <c r="K1714">
        <v>4.9121460477271395</v>
      </c>
      <c r="L1714">
        <v>0</v>
      </c>
      <c r="M1714">
        <v>3.1184757283768778E-3</v>
      </c>
      <c r="N1714">
        <v>0.28632998559919304</v>
      </c>
      <c r="O1714">
        <v>0.13762659148542092</v>
      </c>
      <c r="P1714">
        <v>1.9673422510207757E-2</v>
      </c>
      <c r="Q1714">
        <v>1.2894293954284521E-3</v>
      </c>
      <c r="R1714">
        <v>3.1128684580304109E-3</v>
      </c>
      <c r="S1714">
        <v>0.43404574589290551</v>
      </c>
      <c r="T1714">
        <v>3.8194518335379759</v>
      </c>
      <c r="U1714">
        <v>0</v>
      </c>
      <c r="V1714">
        <v>1.1304767209823822E-2</v>
      </c>
      <c r="W1714">
        <v>0.16836937766028043</v>
      </c>
      <c r="X1714">
        <v>2.5263297787587621E-2</v>
      </c>
      <c r="Y1714">
        <v>8.7972039186581027E-3</v>
      </c>
    </row>
    <row r="1715" spans="1:25" x14ac:dyDescent="0.25">
      <c r="A1715" s="1093"/>
      <c r="B1715" s="1452">
        <v>1465</v>
      </c>
      <c r="C1715" s="1097">
        <v>1.0380830622020576</v>
      </c>
      <c r="D1715" s="1097">
        <v>0.97301174351312869</v>
      </c>
      <c r="E1715" s="1097">
        <v>0.99713984125267352</v>
      </c>
      <c r="F1715" s="1097">
        <v>0.99454763291976389</v>
      </c>
      <c r="G1715" s="1097">
        <v>1.0054085408626423</v>
      </c>
      <c r="H1715" s="1097">
        <v>0.99002039200928638</v>
      </c>
      <c r="I1715" s="1097">
        <v>1.0097302050113461</v>
      </c>
      <c r="K1715">
        <v>5.1126287608950491</v>
      </c>
      <c r="L1715">
        <v>0</v>
      </c>
      <c r="M1715">
        <v>3.4886913780574273E-3</v>
      </c>
      <c r="N1715">
        <v>0.30009545313984515</v>
      </c>
      <c r="O1715">
        <v>0.14380922310328198</v>
      </c>
      <c r="P1715">
        <v>2.0120594674052614E-2</v>
      </c>
      <c r="Q1715">
        <v>1.2664695143108789E-3</v>
      </c>
      <c r="R1715">
        <v>3.4828120816145277E-3</v>
      </c>
      <c r="S1715">
        <v>0.44835460676447919</v>
      </c>
      <c r="T1715">
        <v>3.9739041798436538</v>
      </c>
      <c r="U1715">
        <v>0</v>
      </c>
      <c r="V1715">
        <v>1.1304767209823806E-2</v>
      </c>
      <c r="W1715">
        <v>0.17910052014303199</v>
      </c>
      <c r="X1715">
        <v>2.4836132956248941E-2</v>
      </c>
      <c r="Y1715">
        <v>9.8426928427663655E-3</v>
      </c>
    </row>
    <row r="1716" spans="1:25" x14ac:dyDescent="0.25">
      <c r="A1716" s="1093"/>
      <c r="B1716" s="1452">
        <v>1466</v>
      </c>
      <c r="C1716" s="1097">
        <v>0.99476626356590436</v>
      </c>
      <c r="D1716" s="1097">
        <v>0.95350334630593248</v>
      </c>
      <c r="E1716" s="1097">
        <v>0.97694359828957633</v>
      </c>
      <c r="F1716" s="1097">
        <v>1.0036732815200791</v>
      </c>
      <c r="G1716" s="1097">
        <v>1.0366021235089302</v>
      </c>
      <c r="H1716" s="1097">
        <v>0.97978664679364513</v>
      </c>
      <c r="I1716" s="1097">
        <v>1.0162723786098926</v>
      </c>
      <c r="K1716">
        <v>5.2063971812145269</v>
      </c>
      <c r="L1716">
        <v>0</v>
      </c>
      <c r="M1716">
        <v>3.8244895147455256E-3</v>
      </c>
      <c r="N1716">
        <v>0.30985316449702494</v>
      </c>
      <c r="O1716">
        <v>0.15325818715642822</v>
      </c>
      <c r="P1716">
        <v>2.0107413649448885E-2</v>
      </c>
      <c r="Q1716">
        <v>1.3093164699477524E-3</v>
      </c>
      <c r="R1716">
        <v>3.8180361127628016E-3</v>
      </c>
      <c r="S1716">
        <v>0.47443886313398387</v>
      </c>
      <c r="T1716">
        <v>4.0129279302929897</v>
      </c>
      <c r="U1716">
        <v>0</v>
      </c>
      <c r="V1716">
        <v>1.1304767209823811E-2</v>
      </c>
      <c r="W1716">
        <v>0.18748824419143018</v>
      </c>
      <c r="X1716">
        <v>2.4925686467496197E-2</v>
      </c>
      <c r="Y1716">
        <v>1.0790061547935454E-2</v>
      </c>
    </row>
    <row r="1717" spans="1:25" x14ac:dyDescent="0.25">
      <c r="A1717" s="1093"/>
      <c r="B1717" s="1452">
        <v>1467</v>
      </c>
      <c r="C1717" s="1097">
        <v>1.0024607150743186</v>
      </c>
      <c r="D1717" s="1097">
        <v>1.0249750725483546</v>
      </c>
      <c r="E1717" s="1097">
        <v>0.97173944902172438</v>
      </c>
      <c r="F1717" s="1097">
        <v>1.0434078994823819</v>
      </c>
      <c r="G1717" s="1097">
        <v>1.038896358792617</v>
      </c>
      <c r="H1717" s="1097">
        <v>0.97005145800110948</v>
      </c>
      <c r="I1717" s="1097">
        <v>0.98335361899615203</v>
      </c>
      <c r="K1717">
        <v>5.3493814172433485</v>
      </c>
      <c r="L1717">
        <v>0</v>
      </c>
      <c r="M1717">
        <v>3.8362673692625498E-3</v>
      </c>
      <c r="N1717">
        <v>0.30605727565559243</v>
      </c>
      <c r="O1717">
        <v>0.15374617452868461</v>
      </c>
      <c r="P1717">
        <v>2.0683590350925211E-2</v>
      </c>
      <c r="Q1717">
        <v>1.2565301409650656E-3</v>
      </c>
      <c r="R1717">
        <v>3.8299777198054644E-3</v>
      </c>
      <c r="S1717">
        <v>0.46221357185164608</v>
      </c>
      <c r="T1717">
        <v>4.1724864710259002</v>
      </c>
      <c r="U1717">
        <v>0</v>
      </c>
      <c r="V1717">
        <v>1.1304767209823825E-2</v>
      </c>
      <c r="W1717">
        <v>0.18585544750516611</v>
      </c>
      <c r="X1717">
        <v>2.4960069182960083E-2</v>
      </c>
      <c r="Y1717">
        <v>1.0823809441136588E-2</v>
      </c>
    </row>
    <row r="1718" spans="1:25" x14ac:dyDescent="0.25">
      <c r="A1718" s="1093"/>
      <c r="B1718" s="1452">
        <v>1468</v>
      </c>
      <c r="C1718" s="1097">
        <v>0.98889682344628926</v>
      </c>
      <c r="D1718" s="1097">
        <v>1.0155142892934397</v>
      </c>
      <c r="E1718" s="1097">
        <v>0.98804993352391923</v>
      </c>
      <c r="F1718" s="1097">
        <v>0.99627905850362608</v>
      </c>
      <c r="G1718" s="1097">
        <v>1.0015908364103183</v>
      </c>
      <c r="H1718" s="1097">
        <v>0.99276371118078366</v>
      </c>
      <c r="I1718" s="1097">
        <v>0.99460862323158894</v>
      </c>
      <c r="K1718">
        <v>5.1537740491095114</v>
      </c>
      <c r="L1718">
        <v>0</v>
      </c>
      <c r="M1718">
        <v>3.6861788479537055E-3</v>
      </c>
      <c r="N1718">
        <v>0.30865496052612945</v>
      </c>
      <c r="O1718">
        <v>0.14891397229264108</v>
      </c>
      <c r="P1718">
        <v>2.0076683765296997E-2</v>
      </c>
      <c r="Q1718">
        <v>1.2967294778617215E-3</v>
      </c>
      <c r="R1718">
        <v>3.6799946511607575E-3</v>
      </c>
      <c r="S1718">
        <v>0.46090174877882323</v>
      </c>
      <c r="T1718">
        <v>3.9819633939227672</v>
      </c>
      <c r="U1718">
        <v>0</v>
      </c>
      <c r="V1718">
        <v>1.1304767209823827E-2</v>
      </c>
      <c r="W1718">
        <v>0.18534987507947703</v>
      </c>
      <c r="X1718">
        <v>2.4918156414997408E-2</v>
      </c>
      <c r="Y1718">
        <v>1.0399945838481042E-2</v>
      </c>
    </row>
    <row r="1719" spans="1:25" x14ac:dyDescent="0.25">
      <c r="A1719" s="1093"/>
      <c r="B1719" s="1452">
        <v>1469</v>
      </c>
      <c r="C1719" s="1097">
        <v>1.0112941369690847</v>
      </c>
      <c r="D1719" s="1097">
        <v>1.0013316099991503</v>
      </c>
      <c r="E1719" s="1097">
        <v>0.96014690425265636</v>
      </c>
      <c r="F1719" s="1097">
        <v>1.0338873911007369</v>
      </c>
      <c r="G1719" s="1097">
        <v>1.0284363355083423</v>
      </c>
      <c r="H1719" s="1097">
        <v>0.96132013588930987</v>
      </c>
      <c r="I1719" s="1097">
        <v>1.0262256112516805</v>
      </c>
      <c r="K1719">
        <v>5.3114577041547122</v>
      </c>
      <c r="L1719">
        <v>0</v>
      </c>
      <c r="M1719">
        <v>3.8618640416340291E-3</v>
      </c>
      <c r="N1719">
        <v>0.29766154313815701</v>
      </c>
      <c r="O1719">
        <v>0.15275832121758345</v>
      </c>
      <c r="P1719">
        <v>2.0394577590246557E-2</v>
      </c>
      <c r="Q1719">
        <v>1.2445354756397203E-3</v>
      </c>
      <c r="R1719">
        <v>3.8554161785248832E-3</v>
      </c>
      <c r="S1719">
        <v>0.47485478540846526</v>
      </c>
      <c r="T1719">
        <v>4.1359436498711739</v>
      </c>
      <c r="U1719">
        <v>0</v>
      </c>
      <c r="V1719">
        <v>1.1304767209823817E-2</v>
      </c>
      <c r="W1719">
        <v>0.18221241193669863</v>
      </c>
      <c r="X1719">
        <v>2.4193859702418774E-2</v>
      </c>
      <c r="Y1719">
        <v>1.0895700467612119E-2</v>
      </c>
    </row>
    <row r="1720" spans="1:25" x14ac:dyDescent="0.25">
      <c r="A1720" s="1093"/>
      <c r="B1720" s="1452">
        <v>1470</v>
      </c>
      <c r="C1720" s="1097">
        <v>0.9852258343757524</v>
      </c>
      <c r="D1720" s="1097">
        <v>0.95776554932143221</v>
      </c>
      <c r="E1720" s="1097">
        <v>0.97406880122823014</v>
      </c>
      <c r="F1720" s="1097">
        <v>0.99019425108914383</v>
      </c>
      <c r="G1720" s="1097">
        <v>0.96758877641102059</v>
      </c>
      <c r="H1720" s="1097">
        <v>1.0418501963444375</v>
      </c>
      <c r="I1720" s="1097">
        <v>1.0238368589069078</v>
      </c>
      <c r="K1720">
        <v>5.1938319265318249</v>
      </c>
      <c r="L1720">
        <v>0</v>
      </c>
      <c r="M1720">
        <v>4.0683157948154568E-3</v>
      </c>
      <c r="N1720">
        <v>0.32683266508528175</v>
      </c>
      <c r="O1720">
        <v>0.15247377400252216</v>
      </c>
      <c r="P1720">
        <v>1.9889387521086616E-2</v>
      </c>
      <c r="Q1720">
        <v>1.3163404643630459E-3</v>
      </c>
      <c r="R1720">
        <v>4.0617721709530694E-3</v>
      </c>
      <c r="S1720">
        <v>0.4889462617238754</v>
      </c>
      <c r="T1720">
        <v>3.9593970154472773</v>
      </c>
      <c r="U1720">
        <v>0</v>
      </c>
      <c r="V1720">
        <v>1.1304767209823813E-2</v>
      </c>
      <c r="W1720">
        <v>0.1981534239742688</v>
      </c>
      <c r="X1720">
        <v>2.4045956470438574E-2</v>
      </c>
      <c r="Y1720">
        <v>1.1478878256748903E-2</v>
      </c>
    </row>
    <row r="1721" spans="1:25" x14ac:dyDescent="0.25">
      <c r="A1721" s="1093"/>
      <c r="B1721" s="1452">
        <v>1471</v>
      </c>
      <c r="C1721" s="1097">
        <v>0.96906068220259434</v>
      </c>
      <c r="D1721" s="1097">
        <v>1.0207624729740328</v>
      </c>
      <c r="E1721" s="1097">
        <v>1.0052408112707978</v>
      </c>
      <c r="F1721" s="1097">
        <v>1.006378817514421</v>
      </c>
      <c r="G1721" s="1097">
        <v>1.0115440835899567</v>
      </c>
      <c r="H1721" s="1097">
        <v>0.97912452700338326</v>
      </c>
      <c r="I1721" s="1097">
        <v>0.97787319993709887</v>
      </c>
      <c r="K1721">
        <v>5.2125607508978433</v>
      </c>
      <c r="L1721">
        <v>0</v>
      </c>
      <c r="M1721">
        <v>3.6068804289370055E-3</v>
      </c>
      <c r="N1721">
        <v>0.3177990156780221</v>
      </c>
      <c r="O1721">
        <v>0.15269366757687386</v>
      </c>
      <c r="P1721">
        <v>2.0521843071932073E-2</v>
      </c>
      <c r="Q1721">
        <v>1.3401893439511621E-3</v>
      </c>
      <c r="R1721">
        <v>3.600806448598524E-3</v>
      </c>
      <c r="S1721">
        <v>0.46331462039970128</v>
      </c>
      <c r="T1721">
        <v>4.0201549122221794</v>
      </c>
      <c r="U1721">
        <v>0</v>
      </c>
      <c r="V1721">
        <v>1.130476720982382E-2</v>
      </c>
      <c r="W1721">
        <v>0.18863141809907874</v>
      </c>
      <c r="X1721">
        <v>2.6630237344307969E-2</v>
      </c>
      <c r="Y1721">
        <v>1.0176153932306902E-2</v>
      </c>
    </row>
    <row r="1722" spans="1:25" x14ac:dyDescent="0.25">
      <c r="A1722" s="1093"/>
      <c r="B1722" s="1452">
        <v>1472</v>
      </c>
      <c r="C1722" s="1097">
        <v>0.97057719434736367</v>
      </c>
      <c r="D1722" s="1097">
        <v>1.0270019841339915</v>
      </c>
      <c r="E1722" s="1097">
        <v>1.0365155904932311</v>
      </c>
      <c r="F1722" s="1097">
        <v>1.028969083318763</v>
      </c>
      <c r="G1722" s="1097">
        <v>1.0204532011729532</v>
      </c>
      <c r="H1722" s="1097">
        <v>1.0003764008929861</v>
      </c>
      <c r="I1722" s="1097">
        <v>1.0218933519752149</v>
      </c>
      <c r="K1722">
        <v>5.36721735288869</v>
      </c>
      <c r="L1722">
        <v>0</v>
      </c>
      <c r="M1722">
        <v>3.5127719374790367E-3</v>
      </c>
      <c r="N1722">
        <v>0.33953476462736237</v>
      </c>
      <c r="O1722">
        <v>0.15458442078955056</v>
      </c>
      <c r="P1722">
        <v>2.1553621003549295E-2</v>
      </c>
      <c r="Q1722">
        <v>1.3706165027857168E-3</v>
      </c>
      <c r="R1722">
        <v>3.5071090104534975E-3</v>
      </c>
      <c r="S1722">
        <v>0.49622230096015713</v>
      </c>
      <c r="T1722">
        <v>4.1063950881052866</v>
      </c>
      <c r="U1722">
        <v>0</v>
      </c>
      <c r="V1722">
        <v>1.1304767209823804E-2</v>
      </c>
      <c r="W1722">
        <v>0.19737595971245908</v>
      </c>
      <c r="X1722">
        <v>2.8970119086094936E-2</v>
      </c>
      <c r="Y1722">
        <v>9.9113578186480599E-3</v>
      </c>
    </row>
    <row r="1723" spans="1:25" x14ac:dyDescent="0.25">
      <c r="A1723" s="1093"/>
      <c r="B1723" s="1452">
        <v>1473</v>
      </c>
      <c r="C1723" s="1097">
        <v>0.99121474033147983</v>
      </c>
      <c r="D1723" s="1097">
        <v>1.000957434040487</v>
      </c>
      <c r="E1723" s="1097">
        <v>0.9621514829190646</v>
      </c>
      <c r="F1723" s="1097">
        <v>1.0327841026235789</v>
      </c>
      <c r="G1723" s="1097">
        <v>1.0048046450498009</v>
      </c>
      <c r="H1723" s="1097">
        <v>0.98602336619073538</v>
      </c>
      <c r="I1723" s="1097">
        <v>1.0264000115191398</v>
      </c>
      <c r="K1723">
        <v>5.3471762808617367</v>
      </c>
      <c r="L1723">
        <v>0</v>
      </c>
      <c r="M1723">
        <v>4.0207381297324473E-3</v>
      </c>
      <c r="N1723">
        <v>0.31177114065492134</v>
      </c>
      <c r="O1723">
        <v>0.15565172087393334</v>
      </c>
      <c r="P1723">
        <v>2.0468498541397817E-2</v>
      </c>
      <c r="Q1723">
        <v>1.2721748477996725E-3</v>
      </c>
      <c r="R1723">
        <v>4.014186212549526E-3</v>
      </c>
      <c r="S1723">
        <v>0.48910416062590439</v>
      </c>
      <c r="T1723">
        <v>4.1312654256308328</v>
      </c>
      <c r="U1723">
        <v>0</v>
      </c>
      <c r="V1723">
        <v>1.1304767209823829E-2</v>
      </c>
      <c r="W1723">
        <v>0.19058422267845135</v>
      </c>
      <c r="X1723">
        <v>2.4416325010564534E-2</v>
      </c>
      <c r="Y1723">
        <v>1.1344396705284431E-2</v>
      </c>
    </row>
    <row r="1724" spans="1:25" x14ac:dyDescent="0.25">
      <c r="A1724" s="1093"/>
      <c r="B1724" s="1452">
        <v>1474</v>
      </c>
      <c r="C1724" s="1097">
        <v>1.0245261186265657</v>
      </c>
      <c r="D1724" s="1097">
        <v>1.0035018176658073</v>
      </c>
      <c r="E1724" s="1097">
        <v>0.99885944513839142</v>
      </c>
      <c r="F1724" s="1097">
        <v>0.96778754097228026</v>
      </c>
      <c r="G1724" s="1097">
        <v>0.99768275019716823</v>
      </c>
      <c r="H1724" s="1097">
        <v>1.0297293663149358</v>
      </c>
      <c r="I1724" s="1097">
        <v>1.0220033385251484</v>
      </c>
      <c r="K1724">
        <v>5.0128228785645295</v>
      </c>
      <c r="L1724">
        <v>0</v>
      </c>
      <c r="M1724">
        <v>3.5212168286509523E-3</v>
      </c>
      <c r="N1724">
        <v>0.30444690156335752</v>
      </c>
      <c r="O1724">
        <v>0.14000714153293764</v>
      </c>
      <c r="P1724">
        <v>1.9684829492389685E-2</v>
      </c>
      <c r="Q1724">
        <v>1.2693594970274178E-3</v>
      </c>
      <c r="R1724">
        <v>3.5153540682824622E-3</v>
      </c>
      <c r="S1724">
        <v>0.4538951564752251</v>
      </c>
      <c r="T1724">
        <v>3.8667700007861519</v>
      </c>
      <c r="U1724">
        <v>0</v>
      </c>
      <c r="V1724">
        <v>1.1304767209823806E-2</v>
      </c>
      <c r="W1724">
        <v>0.18148617679882137</v>
      </c>
      <c r="X1724">
        <v>2.4029748987610906E-2</v>
      </c>
      <c r="Y1724">
        <v>9.9346589815531017E-3</v>
      </c>
    </row>
    <row r="1725" spans="1:25" x14ac:dyDescent="0.25">
      <c r="A1725" s="1093"/>
      <c r="B1725" s="1452">
        <v>1475</v>
      </c>
      <c r="C1725" s="1097">
        <v>1.0008723308840832</v>
      </c>
      <c r="D1725" s="1097">
        <v>0.98116246506620231</v>
      </c>
      <c r="E1725" s="1097">
        <v>1.021426857857554</v>
      </c>
      <c r="F1725" s="1097">
        <v>1.0114662100059484</v>
      </c>
      <c r="G1725" s="1097">
        <v>0.99633499793414848</v>
      </c>
      <c r="H1725" s="1097">
        <v>1.0021557902231193</v>
      </c>
      <c r="I1725" s="1097">
        <v>1.0030633318511055</v>
      </c>
      <c r="K1725">
        <v>5.2472026900481028</v>
      </c>
      <c r="L1725">
        <v>0</v>
      </c>
      <c r="M1725">
        <v>3.5271767641383814E-3</v>
      </c>
      <c r="N1725">
        <v>0.32604390634300046</v>
      </c>
      <c r="O1725">
        <v>0.15049933296871182</v>
      </c>
      <c r="P1725">
        <v>2.0883662266216994E-2</v>
      </c>
      <c r="Q1725">
        <v>1.3365514161992732E-3</v>
      </c>
      <c r="R1725">
        <v>3.521402651377317E-3</v>
      </c>
      <c r="S1725">
        <v>0.47005742021488067</v>
      </c>
      <c r="T1725">
        <v>4.0384347992028173</v>
      </c>
      <c r="U1725">
        <v>0</v>
      </c>
      <c r="V1725">
        <v>1.1304767209823811E-2</v>
      </c>
      <c r="W1725">
        <v>0.19143845975486454</v>
      </c>
      <c r="X1725">
        <v>2.7257812045182104E-2</v>
      </c>
      <c r="Y1725">
        <v>9.9517527391666354E-3</v>
      </c>
    </row>
    <row r="1726" spans="1:25" x14ac:dyDescent="0.25">
      <c r="A1726" s="1093"/>
      <c r="B1726" s="1452">
        <v>1476</v>
      </c>
      <c r="C1726" s="1097">
        <v>0.98960100707716647</v>
      </c>
      <c r="D1726" s="1097">
        <v>0.99664381476316966</v>
      </c>
      <c r="E1726" s="1097">
        <v>1.0227197123463658</v>
      </c>
      <c r="F1726" s="1097">
        <v>0.96010010752049291</v>
      </c>
      <c r="G1726" s="1097">
        <v>0.98286709162328023</v>
      </c>
      <c r="H1726" s="1097">
        <v>0.99292855541408931</v>
      </c>
      <c r="I1726" s="1097">
        <v>0.99671007442823867</v>
      </c>
      <c r="K1726">
        <v>4.9834756476087572</v>
      </c>
      <c r="L1726">
        <v>0</v>
      </c>
      <c r="M1726">
        <v>3.3252611455116331E-3</v>
      </c>
      <c r="N1726">
        <v>0.30852512826016321</v>
      </c>
      <c r="O1726">
        <v>0.14354658394923347</v>
      </c>
      <c r="P1726">
        <v>1.985773218483599E-2</v>
      </c>
      <c r="Q1726">
        <v>1.3448043765883879E-3</v>
      </c>
      <c r="R1726">
        <v>3.3194735552556937E-3</v>
      </c>
      <c r="S1726">
        <v>0.44919807722622573</v>
      </c>
      <c r="T1726">
        <v>3.8331934935532623</v>
      </c>
      <c r="U1726">
        <v>0</v>
      </c>
      <c r="V1726">
        <v>1.1304767209823813E-2</v>
      </c>
      <c r="W1726">
        <v>0.18099633519635827</v>
      </c>
      <c r="X1726">
        <v>2.6133427545552174E-2</v>
      </c>
      <c r="Y1726">
        <v>9.3810856969697362E-3</v>
      </c>
    </row>
    <row r="1727" spans="1:25" x14ac:dyDescent="0.25">
      <c r="A1727" s="1093"/>
      <c r="B1727" s="1452">
        <v>1477</v>
      </c>
      <c r="C1727" s="1097">
        <v>1.0318516052353208</v>
      </c>
      <c r="D1727" s="1097">
        <v>0.99933713290548221</v>
      </c>
      <c r="E1727" s="1097">
        <v>0.97956616845704536</v>
      </c>
      <c r="F1727" s="1097">
        <v>1.0081731928848934</v>
      </c>
      <c r="G1727" s="1097">
        <v>0.97994277194060042</v>
      </c>
      <c r="H1727" s="1097">
        <v>0.99305986221325482</v>
      </c>
      <c r="I1727" s="1097">
        <v>0.97364968801580687</v>
      </c>
      <c r="K1727">
        <v>5.161133604504184</v>
      </c>
      <c r="L1727">
        <v>0</v>
      </c>
      <c r="M1727">
        <v>3.6636539424720962E-3</v>
      </c>
      <c r="N1727">
        <v>0.29915075867104246</v>
      </c>
      <c r="O1727">
        <v>0.14557999247486361</v>
      </c>
      <c r="P1727">
        <v>2.006405601881921E-2</v>
      </c>
      <c r="Q1727">
        <v>1.241601632476593E-3</v>
      </c>
      <c r="R1727">
        <v>3.6575817406427941E-3</v>
      </c>
      <c r="S1727">
        <v>0.43815095642259783</v>
      </c>
      <c r="T1727">
        <v>4.0305843157390839</v>
      </c>
      <c r="U1727">
        <v>0</v>
      </c>
      <c r="V1727">
        <v>1.130476720982381E-2</v>
      </c>
      <c r="W1727">
        <v>0.18068701451511515</v>
      </c>
      <c r="X1727">
        <v>2.4039608779977278E-2</v>
      </c>
      <c r="Y1727">
        <v>1.0336605242212506E-2</v>
      </c>
    </row>
    <row r="1728" spans="1:25" x14ac:dyDescent="0.25">
      <c r="A1728" s="1093"/>
      <c r="B1728" s="1452">
        <v>1478</v>
      </c>
      <c r="C1728" s="1097">
        <v>0.96952905871535389</v>
      </c>
      <c r="D1728" s="1097">
        <v>0.95973454323818341</v>
      </c>
      <c r="E1728" s="1097">
        <v>1.0140938390185388</v>
      </c>
      <c r="F1728" s="1097">
        <v>1.0111030217947217</v>
      </c>
      <c r="G1728" s="1097">
        <v>0.98313159348434576</v>
      </c>
      <c r="H1728" s="1097">
        <v>0.9964080828063181</v>
      </c>
      <c r="I1728" s="1097">
        <v>1.018856553355876</v>
      </c>
      <c r="K1728">
        <v>5.293600010076414</v>
      </c>
      <c r="L1728">
        <v>0</v>
      </c>
      <c r="M1728">
        <v>3.7081068574160688E-3</v>
      </c>
      <c r="N1728">
        <v>0.33540769273955501</v>
      </c>
      <c r="O1728">
        <v>0.1569032336800596</v>
      </c>
      <c r="P1728">
        <v>2.0878118194045864E-2</v>
      </c>
      <c r="Q1728">
        <v>1.3833774092719615E-3</v>
      </c>
      <c r="R1728">
        <v>3.70199935018705E-3</v>
      </c>
      <c r="S1728">
        <v>0.49376001623345839</v>
      </c>
      <c r="T1728">
        <v>4.0379078201240164</v>
      </c>
      <c r="U1728">
        <v>0</v>
      </c>
      <c r="V1728">
        <v>1.1304767209823824E-2</v>
      </c>
      <c r="W1728">
        <v>0.19790321502987573</v>
      </c>
      <c r="X1728">
        <v>2.7695744165624109E-2</v>
      </c>
      <c r="Y1728">
        <v>1.0462132797908641E-2</v>
      </c>
    </row>
    <row r="1729" spans="1:25" x14ac:dyDescent="0.25">
      <c r="A1729" s="1093"/>
      <c r="B1729" s="1452">
        <v>1479</v>
      </c>
      <c r="C1729" s="1097">
        <v>0.99175635389192607</v>
      </c>
      <c r="D1729" s="1097">
        <v>0.98058469299997386</v>
      </c>
      <c r="E1729" s="1097">
        <v>1.0158477917456856</v>
      </c>
      <c r="F1729" s="1097">
        <v>0.99489681438211008</v>
      </c>
      <c r="G1729" s="1097">
        <v>0.9732720920816228</v>
      </c>
      <c r="H1729" s="1097">
        <v>1.0087881211776724</v>
      </c>
      <c r="I1729" s="1097">
        <v>1.0112144315505593</v>
      </c>
      <c r="K1729">
        <v>5.1808901169032993</v>
      </c>
      <c r="L1729">
        <v>0</v>
      </c>
      <c r="M1729">
        <v>3.5671683841389484E-3</v>
      </c>
      <c r="N1729">
        <v>0.32433674679939645</v>
      </c>
      <c r="O1729">
        <v>0.1495868629123922</v>
      </c>
      <c r="P1729">
        <v>2.0510684391424255E-2</v>
      </c>
      <c r="Q1729">
        <v>1.3427945582534788E-3</v>
      </c>
      <c r="R1729">
        <v>3.5612707422339475E-3</v>
      </c>
      <c r="S1729">
        <v>0.47299487034769266</v>
      </c>
      <c r="T1729">
        <v>3.9729696987509953</v>
      </c>
      <c r="U1729">
        <v>0</v>
      </c>
      <c r="V1729">
        <v>1.1304767209823818E-2</v>
      </c>
      <c r="W1729">
        <v>0.19114649775912754</v>
      </c>
      <c r="X1729">
        <v>2.6638668808385047E-2</v>
      </c>
      <c r="Y1729">
        <v>1.0064423007712221E-2</v>
      </c>
    </row>
    <row r="1730" spans="1:25" x14ac:dyDescent="0.25">
      <c r="A1730" s="1093"/>
      <c r="B1730" s="1452">
        <v>1480</v>
      </c>
      <c r="C1730" s="1097">
        <v>0.97546855219570616</v>
      </c>
      <c r="D1730" s="1097">
        <v>0.96249901339168109</v>
      </c>
      <c r="E1730" s="1097">
        <v>0.98392252898260346</v>
      </c>
      <c r="F1730" s="1097">
        <v>1.0035362613198204</v>
      </c>
      <c r="G1730" s="1097">
        <v>1.0298423925630122</v>
      </c>
      <c r="H1730" s="1097">
        <v>1.0007056552750841</v>
      </c>
      <c r="I1730" s="1097">
        <v>0.99474270459709224</v>
      </c>
      <c r="K1730">
        <v>5.2312242429275146</v>
      </c>
      <c r="L1730">
        <v>0</v>
      </c>
      <c r="M1730">
        <v>3.9102303999656203E-3</v>
      </c>
      <c r="N1730">
        <v>0.32343988107116239</v>
      </c>
      <c r="O1730">
        <v>0.15548008396655749</v>
      </c>
      <c r="P1730">
        <v>2.0217921891420472E-2</v>
      </c>
      <c r="Q1730">
        <v>1.3382935177170302E-3</v>
      </c>
      <c r="R1730">
        <v>3.903769367119113E-3</v>
      </c>
      <c r="S1730">
        <v>0.47670413971581255</v>
      </c>
      <c r="T1730">
        <v>4.0114926996145437</v>
      </c>
      <c r="U1730">
        <v>0</v>
      </c>
      <c r="V1730">
        <v>1.1304767209823818E-2</v>
      </c>
      <c r="W1730">
        <v>0.19477612054381163</v>
      </c>
      <c r="X1730">
        <v>2.5444446159340675E-2</v>
      </c>
      <c r="Y1730">
        <v>1.1032350270170722E-2</v>
      </c>
    </row>
    <row r="1731" spans="1:25" x14ac:dyDescent="0.25">
      <c r="A1731" s="1093"/>
      <c r="B1731" s="1452">
        <v>1481</v>
      </c>
      <c r="C1731" s="1097">
        <v>1.0344446190172045</v>
      </c>
      <c r="D1731" s="1097">
        <v>0.97282359408361951</v>
      </c>
      <c r="E1731" s="1097">
        <v>0.99966032715348641</v>
      </c>
      <c r="F1731" s="1097">
        <v>1.0067885735970019</v>
      </c>
      <c r="G1731" s="1097">
        <v>0.99558624246093252</v>
      </c>
      <c r="H1731" s="1097">
        <v>0.96865436842858932</v>
      </c>
      <c r="I1731" s="1097">
        <v>0.96537501666222347</v>
      </c>
      <c r="K1731">
        <v>5.1444412152877765</v>
      </c>
      <c r="L1731">
        <v>0</v>
      </c>
      <c r="M1731">
        <v>3.4494109416996744E-3</v>
      </c>
      <c r="N1731">
        <v>0.29893617009473872</v>
      </c>
      <c r="O1731">
        <v>0.14603354365565133</v>
      </c>
      <c r="P1731">
        <v>2.0299570336472044E-2</v>
      </c>
      <c r="Q1731">
        <v>1.2737737230490197E-3</v>
      </c>
      <c r="R1731">
        <v>3.4435417382786882E-3</v>
      </c>
      <c r="S1731">
        <v>0.43079660773565009</v>
      </c>
      <c r="T1731">
        <v>4.0224963433583367</v>
      </c>
      <c r="U1731">
        <v>0</v>
      </c>
      <c r="V1731">
        <v>1.1304767209823803E-2</v>
      </c>
      <c r="W1731">
        <v>0.17810465060460184</v>
      </c>
      <c r="X1731">
        <v>2.5469945918527075E-2</v>
      </c>
      <c r="Y1731">
        <v>9.7317118543504017E-3</v>
      </c>
    </row>
    <row r="1732" spans="1:25" x14ac:dyDescent="0.25">
      <c r="A1732" s="1093"/>
      <c r="B1732" s="1452">
        <v>1482</v>
      </c>
      <c r="C1732" s="1097">
        <v>1.004227100094371</v>
      </c>
      <c r="D1732" s="1097">
        <v>0.95676620005890167</v>
      </c>
      <c r="E1732" s="1097">
        <v>1.0041834743534435</v>
      </c>
      <c r="F1732" s="1097">
        <v>0.98301297781485952</v>
      </c>
      <c r="G1732" s="1097">
        <v>1.0004462042083926</v>
      </c>
      <c r="H1732" s="1097">
        <v>1.0026331817219925</v>
      </c>
      <c r="I1732" s="1097">
        <v>0.96422489572262371</v>
      </c>
      <c r="K1732">
        <v>5.0863762487785209</v>
      </c>
      <c r="L1732">
        <v>0</v>
      </c>
      <c r="M1732">
        <v>3.5808406591648048E-3</v>
      </c>
      <c r="N1732">
        <v>0.3145182817009452</v>
      </c>
      <c r="O1732">
        <v>0.14773098511137842</v>
      </c>
      <c r="P1732">
        <v>1.998355637080014E-2</v>
      </c>
      <c r="Q1732">
        <v>1.3259903938804651E-3</v>
      </c>
      <c r="R1732">
        <v>3.5748121808377806E-3</v>
      </c>
      <c r="S1732">
        <v>0.4420659335376585</v>
      </c>
      <c r="T1732">
        <v>3.9269462160953261</v>
      </c>
      <c r="U1732">
        <v>0</v>
      </c>
      <c r="V1732">
        <v>1.1304767209823818E-2</v>
      </c>
      <c r="W1732">
        <v>0.18681715097304355</v>
      </c>
      <c r="X1732">
        <v>2.5586703716944662E-2</v>
      </c>
      <c r="Y1732">
        <v>1.010269214704658E-2</v>
      </c>
    </row>
    <row r="1733" spans="1:25" x14ac:dyDescent="0.25">
      <c r="A1733" s="1093"/>
      <c r="B1733" s="1452">
        <v>1483</v>
      </c>
      <c r="C1733" s="1097">
        <v>1.016329094370974</v>
      </c>
      <c r="D1733" s="1097">
        <v>0.98560232320695651</v>
      </c>
      <c r="E1733" s="1097">
        <v>1.0337754251447371</v>
      </c>
      <c r="F1733" s="1097">
        <v>0.95769102038341414</v>
      </c>
      <c r="G1733" s="1097">
        <v>1.0048450198739509</v>
      </c>
      <c r="H1733" s="1097">
        <v>0.98474268187511527</v>
      </c>
      <c r="I1733" s="1097">
        <v>1.0396110289589575</v>
      </c>
      <c r="K1733">
        <v>4.9613722403162743</v>
      </c>
      <c r="L1733">
        <v>0</v>
      </c>
      <c r="M1733">
        <v>3.1430225908201516E-3</v>
      </c>
      <c r="N1733">
        <v>0.30130118803464301</v>
      </c>
      <c r="O1733">
        <v>0.13975171059709063</v>
      </c>
      <c r="P1733">
        <v>1.9993030549228841E-2</v>
      </c>
      <c r="Q1733">
        <v>1.3275842203675416E-3</v>
      </c>
      <c r="R1733">
        <v>3.1374928602009152E-3</v>
      </c>
      <c r="S1733">
        <v>0.45476857962341094</v>
      </c>
      <c r="T1733">
        <v>3.8222636193938495</v>
      </c>
      <c r="U1733">
        <v>0</v>
      </c>
      <c r="V1733">
        <v>1.1304767209823829E-2</v>
      </c>
      <c r="W1733">
        <v>0.17546734183547039</v>
      </c>
      <c r="X1733">
        <v>2.6333154223827981E-2</v>
      </c>
      <c r="Y1733">
        <v>8.8667943591761202E-3</v>
      </c>
    </row>
    <row r="1734" spans="1:25" x14ac:dyDescent="0.25">
      <c r="A1734" s="1093"/>
      <c r="B1734" s="1452">
        <v>1484</v>
      </c>
      <c r="C1734" s="1097">
        <v>0.98627085106606383</v>
      </c>
      <c r="D1734" s="1097">
        <v>0.99076995196828599</v>
      </c>
      <c r="E1734" s="1097">
        <v>1.0137050328452759</v>
      </c>
      <c r="F1734" s="1097">
        <v>1.0177588131746902</v>
      </c>
      <c r="G1734" s="1097">
        <v>0.99364664164196159</v>
      </c>
      <c r="H1734" s="1097">
        <v>1.044574879242602</v>
      </c>
      <c r="I1734" s="1097">
        <v>1.0123817193872033</v>
      </c>
      <c r="K1734">
        <v>5.3265755868655669</v>
      </c>
      <c r="L1734">
        <v>0</v>
      </c>
      <c r="M1734">
        <v>3.8009459059980205E-3</v>
      </c>
      <c r="N1734">
        <v>0.34343943875011118</v>
      </c>
      <c r="O1734">
        <v>0.15330244200628021</v>
      </c>
      <c r="P1734">
        <v>2.098346833868199E-2</v>
      </c>
      <c r="Q1734">
        <v>1.3422493085764704E-3</v>
      </c>
      <c r="R1734">
        <v>3.7950131525570103E-3</v>
      </c>
      <c r="S1734">
        <v>0.49136307699285492</v>
      </c>
      <c r="T1734">
        <v>4.0645375271235791</v>
      </c>
      <c r="U1734">
        <v>0</v>
      </c>
      <c r="V1734">
        <v>1.1304767209823818E-2</v>
      </c>
      <c r="W1734">
        <v>0.20269500776212365</v>
      </c>
      <c r="X1734">
        <v>2.6888545222302981E-2</v>
      </c>
      <c r="Y1734">
        <v>1.0724996904674027E-2</v>
      </c>
    </row>
    <row r="1735" spans="1:25" x14ac:dyDescent="0.25">
      <c r="A1735" s="1093"/>
      <c r="B1735" s="1452">
        <v>1485</v>
      </c>
      <c r="C1735" s="1097">
        <v>1.015155761525105</v>
      </c>
      <c r="D1735" s="1097">
        <v>1.0093105254064805</v>
      </c>
      <c r="E1735" s="1097">
        <v>1.0106829775921122</v>
      </c>
      <c r="F1735" s="1097">
        <v>0.96594812698307086</v>
      </c>
      <c r="G1735" s="1097">
        <v>0.98373009604408257</v>
      </c>
      <c r="H1735" s="1097">
        <v>1.0115322521599668</v>
      </c>
      <c r="I1735" s="1097">
        <v>0.98545677499735085</v>
      </c>
      <c r="K1735">
        <v>4.9856154448407448</v>
      </c>
      <c r="L1735">
        <v>0</v>
      </c>
      <c r="M1735">
        <v>3.3907097141014152E-3</v>
      </c>
      <c r="N1735">
        <v>0.30360162906222504</v>
      </c>
      <c r="O1735">
        <v>0.14039367057576752</v>
      </c>
      <c r="P1735">
        <v>1.9742061113309305E-2</v>
      </c>
      <c r="Q1735">
        <v>1.2910996859254319E-3</v>
      </c>
      <c r="R1735">
        <v>3.3849517606036189E-3</v>
      </c>
      <c r="S1735">
        <v>0.43730531618555307</v>
      </c>
      <c r="T1735">
        <v>3.8579899612466386</v>
      </c>
      <c r="U1735">
        <v>0</v>
      </c>
      <c r="V1735">
        <v>1.1304767209823818E-2</v>
      </c>
      <c r="W1735">
        <v>0.17954641816428607</v>
      </c>
      <c r="X1735">
        <v>2.4880147446405206E-2</v>
      </c>
      <c r="Y1735">
        <v>9.5661321043074687E-3</v>
      </c>
    </row>
    <row r="1736" spans="1:25" x14ac:dyDescent="0.25">
      <c r="A1736" s="1093"/>
      <c r="B1736" s="1452">
        <v>1486</v>
      </c>
      <c r="C1736" s="1097">
        <v>1.0013168577453699</v>
      </c>
      <c r="D1736" s="1097">
        <v>0.99448439345500628</v>
      </c>
      <c r="E1736" s="1097">
        <v>0.98653473614850973</v>
      </c>
      <c r="F1736" s="1097">
        <v>1.0062347242958281</v>
      </c>
      <c r="G1736" s="1097">
        <v>1.0280880288789458</v>
      </c>
      <c r="H1736" s="1097">
        <v>0.96335807318893241</v>
      </c>
      <c r="I1736" s="1097">
        <v>0.97229497017533451</v>
      </c>
      <c r="K1736">
        <v>5.1667647291257071</v>
      </c>
      <c r="L1736">
        <v>0</v>
      </c>
      <c r="M1736">
        <v>3.6093343643700138E-3</v>
      </c>
      <c r="N1736">
        <v>0.30085520920427294</v>
      </c>
      <c r="O1736">
        <v>0.14982749977264959</v>
      </c>
      <c r="P1736">
        <v>2.0162766027187334E-2</v>
      </c>
      <c r="Q1736">
        <v>1.289720245199566E-3</v>
      </c>
      <c r="R1736">
        <v>3.603155893185364E-3</v>
      </c>
      <c r="S1736">
        <v>0.445136901236935</v>
      </c>
      <c r="T1736">
        <v>4.0219471167669623</v>
      </c>
      <c r="U1736">
        <v>0</v>
      </c>
      <c r="V1736">
        <v>1.1304767209823815E-2</v>
      </c>
      <c r="W1736">
        <v>0.18085277762670715</v>
      </c>
      <c r="X1736">
        <v>2.5211355865075117E-2</v>
      </c>
      <c r="Y1736">
        <v>1.018279364208092E-2</v>
      </c>
    </row>
    <row r="1737" spans="1:25" x14ac:dyDescent="0.25">
      <c r="A1737" s="1093"/>
      <c r="B1737" s="1452">
        <v>1487</v>
      </c>
      <c r="C1737" s="1097">
        <v>0.99900002246790476</v>
      </c>
      <c r="D1737" s="1097">
        <v>1.021191274507979</v>
      </c>
      <c r="E1737" s="1097">
        <v>1.0112137098424732</v>
      </c>
      <c r="F1737" s="1097">
        <v>1.0308143618664325</v>
      </c>
      <c r="G1737" s="1097">
        <v>0.97472660481889206</v>
      </c>
      <c r="H1737" s="1097">
        <v>0.99254078054010741</v>
      </c>
      <c r="I1737" s="1097">
        <v>0.98641254273456336</v>
      </c>
      <c r="K1737">
        <v>5.3161452031226766</v>
      </c>
      <c r="L1737">
        <v>0</v>
      </c>
      <c r="M1737">
        <v>3.5866334317917466E-3</v>
      </c>
      <c r="N1737">
        <v>0.32167405637677138</v>
      </c>
      <c r="O1737">
        <v>0.15151831130027205</v>
      </c>
      <c r="P1737">
        <v>2.1065014553918363E-2</v>
      </c>
      <c r="Q1737">
        <v>1.3064422433433753E-3</v>
      </c>
      <c r="R1737">
        <v>3.5808162022582593E-3</v>
      </c>
      <c r="S1737">
        <v>0.46509230892002262</v>
      </c>
      <c r="T1737">
        <v>4.1169969088652154</v>
      </c>
      <c r="U1737">
        <v>0</v>
      </c>
      <c r="V1737">
        <v>1.130476720982383E-2</v>
      </c>
      <c r="W1737">
        <v>0.1901665160783319</v>
      </c>
      <c r="X1737">
        <v>2.6907034834538802E-2</v>
      </c>
      <c r="Y1737">
        <v>1.0119659969966208E-2</v>
      </c>
    </row>
    <row r="1738" spans="1:25" x14ac:dyDescent="0.25">
      <c r="A1738" s="1093"/>
      <c r="B1738" s="1452">
        <v>1488</v>
      </c>
      <c r="C1738" s="1097">
        <v>0.9961169428875587</v>
      </c>
      <c r="D1738" s="1097">
        <v>1.0206456342395556</v>
      </c>
      <c r="E1738" s="1097">
        <v>0.98756334500670717</v>
      </c>
      <c r="F1738" s="1097">
        <v>0.98823697882681671</v>
      </c>
      <c r="G1738" s="1097">
        <v>0.99275290301611696</v>
      </c>
      <c r="H1738" s="1097">
        <v>0.99940749098227055</v>
      </c>
      <c r="I1738" s="1097">
        <v>1.0102884759284356</v>
      </c>
      <c r="K1738">
        <v>5.1145475459834326</v>
      </c>
      <c r="L1738">
        <v>0</v>
      </c>
      <c r="M1738">
        <v>3.6506345253896053E-3</v>
      </c>
      <c r="N1738">
        <v>0.30523720602760457</v>
      </c>
      <c r="O1738">
        <v>0.14635924584163637</v>
      </c>
      <c r="P1738">
        <v>1.9931590613520733E-2</v>
      </c>
      <c r="Q1738">
        <v>1.2841978496775453E-3</v>
      </c>
      <c r="R1738">
        <v>3.6445012486144334E-3</v>
      </c>
      <c r="S1738">
        <v>0.46241450348370994</v>
      </c>
      <c r="T1738">
        <v>3.949881244915999</v>
      </c>
      <c r="U1738">
        <v>0</v>
      </c>
      <c r="V1738">
        <v>1.1304767209823811E-2</v>
      </c>
      <c r="W1738">
        <v>0.18335827820997266</v>
      </c>
      <c r="X1738">
        <v>2.4483006335173491E-2</v>
      </c>
      <c r="Y1738">
        <v>1.0299638773092038E-2</v>
      </c>
    </row>
    <row r="1739" spans="1:25" x14ac:dyDescent="0.25">
      <c r="A1739" s="1093"/>
      <c r="B1739" s="1452">
        <v>1489</v>
      </c>
      <c r="C1739" s="1097">
        <v>0.9604219778055556</v>
      </c>
      <c r="D1739" s="1097">
        <v>1.000910038425264</v>
      </c>
      <c r="E1739" s="1097">
        <v>0.96411279414056383</v>
      </c>
      <c r="F1739" s="1097">
        <v>1.0280139969422328</v>
      </c>
      <c r="G1739" s="1097">
        <v>1.0263321504955292</v>
      </c>
      <c r="H1739" s="1097">
        <v>1.0181178585616706</v>
      </c>
      <c r="I1739" s="1097">
        <v>0.99213039337259412</v>
      </c>
      <c r="K1739">
        <v>5.3674360362350493</v>
      </c>
      <c r="L1739">
        <v>0</v>
      </c>
      <c r="M1739">
        <v>4.2475639193900166E-3</v>
      </c>
      <c r="N1739">
        <v>0.33129885481345606</v>
      </c>
      <c r="O1739">
        <v>0.15984490597552886</v>
      </c>
      <c r="P1739">
        <v>2.0428580824183442E-2</v>
      </c>
      <c r="Q1739">
        <v>1.3152493413312581E-3</v>
      </c>
      <c r="R1739">
        <v>4.2408295185312065E-3</v>
      </c>
      <c r="S1739">
        <v>0.49242320098100667</v>
      </c>
      <c r="T1739">
        <v>4.1119268983084138</v>
      </c>
      <c r="U1739">
        <v>0</v>
      </c>
      <c r="V1739">
        <v>1.1304767209823806E-2</v>
      </c>
      <c r="W1739">
        <v>0.20224631464587572</v>
      </c>
      <c r="X1739">
        <v>2.4669090544904241E-2</v>
      </c>
      <c r="Y1739">
        <v>1.1984907991386511E-2</v>
      </c>
    </row>
    <row r="1740" spans="1:25" x14ac:dyDescent="0.25">
      <c r="A1740" s="1093"/>
      <c r="B1740" s="1452">
        <v>1490</v>
      </c>
      <c r="C1740" s="1097">
        <v>0.99426206570884357</v>
      </c>
      <c r="D1740" s="1097">
        <v>0.98664954994360277</v>
      </c>
      <c r="E1740" s="1097">
        <v>0.97402002210755978</v>
      </c>
      <c r="F1740" s="1097">
        <v>0.9940426165455738</v>
      </c>
      <c r="G1740" s="1097">
        <v>0.99178068847847267</v>
      </c>
      <c r="H1740" s="1097">
        <v>1.0135035340321352</v>
      </c>
      <c r="I1740" s="1097">
        <v>0.98595055028656009</v>
      </c>
      <c r="K1740">
        <v>5.1540302181821822</v>
      </c>
      <c r="L1740">
        <v>0</v>
      </c>
      <c r="M1740">
        <v>3.890758724548346E-3</v>
      </c>
      <c r="N1740">
        <v>0.3125110797336092</v>
      </c>
      <c r="O1740">
        <v>0.14988464443844537</v>
      </c>
      <c r="P1740">
        <v>1.982814203271684E-2</v>
      </c>
      <c r="Q1740">
        <v>1.2889118301744832E-3</v>
      </c>
      <c r="R1740">
        <v>3.8843505225155963E-3</v>
      </c>
      <c r="S1740">
        <v>0.45999448023098116</v>
      </c>
      <c r="T1740">
        <v>3.974791275860071</v>
      </c>
      <c r="U1740">
        <v>0</v>
      </c>
      <c r="V1740">
        <v>1.1304767209823815E-2</v>
      </c>
      <c r="W1740">
        <v>0.18947683357077122</v>
      </c>
      <c r="X1740">
        <v>2.397902034485792E-2</v>
      </c>
      <c r="Y1740">
        <v>1.0977471132762527E-2</v>
      </c>
    </row>
    <row r="1741" spans="1:25" x14ac:dyDescent="0.25">
      <c r="A1741" s="1093"/>
      <c r="B1741" s="1452">
        <v>1491</v>
      </c>
      <c r="C1741" s="1097">
        <v>1.0174020380274693</v>
      </c>
      <c r="D1741" s="1097">
        <v>1.0029952289739055</v>
      </c>
      <c r="E1741" s="1097">
        <v>0.95446310425688785</v>
      </c>
      <c r="F1741" s="1097">
        <v>0.97152522831526333</v>
      </c>
      <c r="G1741" s="1097">
        <v>1.0110739645132871</v>
      </c>
      <c r="H1741" s="1097">
        <v>1.0065343752325246</v>
      </c>
      <c r="I1741" s="1097">
        <v>0.978060321027034</v>
      </c>
      <c r="K1741">
        <v>4.9963908223712572</v>
      </c>
      <c r="L1741">
        <v>0</v>
      </c>
      <c r="M1741">
        <v>3.8198183643995665E-3</v>
      </c>
      <c r="N1741">
        <v>0.28948064128901635</v>
      </c>
      <c r="O1741">
        <v>0.14273843496544128</v>
      </c>
      <c r="P1741">
        <v>1.9036215212259493E-2</v>
      </c>
      <c r="Q1741">
        <v>1.2300697688831523E-3</v>
      </c>
      <c r="R1741">
        <v>3.8133368665319357E-3</v>
      </c>
      <c r="S1741">
        <v>0.43482278638819533</v>
      </c>
      <c r="T1741">
        <v>3.8871783442489565</v>
      </c>
      <c r="U1741">
        <v>0</v>
      </c>
      <c r="V1741">
        <v>1.1304767209823811E-2</v>
      </c>
      <c r="W1741">
        <v>0.17790674493933337</v>
      </c>
      <c r="X1741">
        <v>2.1922518727901914E-2</v>
      </c>
      <c r="Y1741">
        <v>1.0776781119316549E-2</v>
      </c>
    </row>
    <row r="1742" spans="1:25" x14ac:dyDescent="0.25">
      <c r="A1742" s="1093"/>
      <c r="B1742" s="1452">
        <v>1492</v>
      </c>
      <c r="C1742" s="1097">
        <v>1.0134840527674165</v>
      </c>
      <c r="D1742" s="1097">
        <v>1.0207127409927466</v>
      </c>
      <c r="E1742" s="1097">
        <v>0.99197606273016947</v>
      </c>
      <c r="F1742" s="1097">
        <v>0.99466195430724258</v>
      </c>
      <c r="G1742" s="1097">
        <v>0.96909715111156458</v>
      </c>
      <c r="H1742" s="1097">
        <v>0.99405175419434588</v>
      </c>
      <c r="I1742" s="1097">
        <v>1.002207107804685</v>
      </c>
      <c r="K1742">
        <v>5.1213055021435361</v>
      </c>
      <c r="L1742">
        <v>0</v>
      </c>
      <c r="M1742">
        <v>3.5587462185594446E-3</v>
      </c>
      <c r="N1742">
        <v>0.30147375963413642</v>
      </c>
      <c r="O1742">
        <v>0.14466312682106841</v>
      </c>
      <c r="P1742">
        <v>2.0065850870552907E-2</v>
      </c>
      <c r="Q1742">
        <v>1.2669722236534789E-3</v>
      </c>
      <c r="R1742">
        <v>3.5527738701654965E-3</v>
      </c>
      <c r="S1742">
        <v>0.45232687992998749</v>
      </c>
      <c r="T1742">
        <v>3.9750074890647573</v>
      </c>
      <c r="U1742">
        <v>0</v>
      </c>
      <c r="V1742">
        <v>1.1304767209823829E-2</v>
      </c>
      <c r="W1742">
        <v>0.1805544833305035</v>
      </c>
      <c r="X1742">
        <v>2.4607735208899105E-2</v>
      </c>
      <c r="Y1742">
        <v>1.0040410198541282E-2</v>
      </c>
    </row>
    <row r="1743" spans="1:25" x14ac:dyDescent="0.25">
      <c r="A1743" s="1093"/>
      <c r="B1743" s="1452">
        <v>1493</v>
      </c>
      <c r="C1743" s="1097">
        <v>0.9715357909418223</v>
      </c>
      <c r="D1743" s="1097">
        <v>1.0370934125589744</v>
      </c>
      <c r="E1743" s="1097">
        <v>1.0110246163606367</v>
      </c>
      <c r="F1743" s="1097">
        <v>0.98077183643232957</v>
      </c>
      <c r="G1743" s="1097">
        <v>0.95649925422863735</v>
      </c>
      <c r="H1743" s="1097">
        <v>0.97519108020202705</v>
      </c>
      <c r="I1743" s="1097">
        <v>0.98692619240505797</v>
      </c>
      <c r="K1743">
        <v>5.076287529739858</v>
      </c>
      <c r="L1743">
        <v>0</v>
      </c>
      <c r="M1743">
        <v>3.4280501769944132E-3</v>
      </c>
      <c r="N1743">
        <v>0.30724438595358711</v>
      </c>
      <c r="O1743">
        <v>0.14732975529435599</v>
      </c>
      <c r="P1743">
        <v>2.0096429172198171E-2</v>
      </c>
      <c r="Q1743">
        <v>1.3348814883489435E-3</v>
      </c>
      <c r="R1743">
        <v>3.4221029868913341E-3</v>
      </c>
      <c r="S1743">
        <v>0.45433570592920697</v>
      </c>
      <c r="T1743">
        <v>3.9171538976978653</v>
      </c>
      <c r="U1743">
        <v>0</v>
      </c>
      <c r="V1743">
        <v>1.1304767209823825E-2</v>
      </c>
      <c r="W1743">
        <v>0.18165905820398912</v>
      </c>
      <c r="X1743">
        <v>2.6163471674420617E-2</v>
      </c>
      <c r="Y1743">
        <v>9.6711243061584993E-3</v>
      </c>
    </row>
    <row r="1744" spans="1:25" x14ac:dyDescent="0.25">
      <c r="A1744" s="1093"/>
      <c r="B1744" s="1452">
        <v>1494</v>
      </c>
      <c r="C1744" s="1097">
        <v>0.9687849884314822</v>
      </c>
      <c r="D1744" s="1097">
        <v>1.0070639033292625</v>
      </c>
      <c r="E1744" s="1097">
        <v>0.9786243099537526</v>
      </c>
      <c r="F1744" s="1097">
        <v>0.99849900952090798</v>
      </c>
      <c r="G1744" s="1097">
        <v>0.97414152094326478</v>
      </c>
      <c r="H1744" s="1097">
        <v>0.99755781727177684</v>
      </c>
      <c r="I1744" s="1097">
        <v>1.0004696040382985</v>
      </c>
      <c r="K1744">
        <v>5.19601538464324</v>
      </c>
      <c r="L1744">
        <v>0</v>
      </c>
      <c r="M1744">
        <v>3.8779923356696447E-3</v>
      </c>
      <c r="N1744">
        <v>0.31576577548064189</v>
      </c>
      <c r="O1744">
        <v>0.15312369971907194</v>
      </c>
      <c r="P1744">
        <v>2.0045791052033857E-2</v>
      </c>
      <c r="Q1744">
        <v>1.3172822771435045E-3</v>
      </c>
      <c r="R1744">
        <v>3.8715319769422204E-3</v>
      </c>
      <c r="S1744">
        <v>0.47582114544091869</v>
      </c>
      <c r="T1744">
        <v>3.9920270471843442</v>
      </c>
      <c r="U1744">
        <v>0</v>
      </c>
      <c r="V1744">
        <v>1.1304767209823818E-2</v>
      </c>
      <c r="W1744">
        <v>0.19084567065901223</v>
      </c>
      <c r="X1744">
        <v>2.4829421034654794E-2</v>
      </c>
      <c r="Y1744">
        <v>1.094124494432251E-2</v>
      </c>
    </row>
    <row r="1745" spans="1:25" x14ac:dyDescent="0.25">
      <c r="A1745" s="1093"/>
      <c r="B1745" s="1452">
        <v>1495</v>
      </c>
      <c r="C1745" s="1097">
        <v>1.0028541866857144</v>
      </c>
      <c r="D1745" s="1097">
        <v>0.98450422752128153</v>
      </c>
      <c r="E1745" s="1097">
        <v>1.0471561526177875</v>
      </c>
      <c r="F1745" s="1097">
        <v>1.0217167308679242</v>
      </c>
      <c r="G1745" s="1097">
        <v>1.0345259687580104</v>
      </c>
      <c r="H1745" s="1097">
        <v>1.0171031089212592</v>
      </c>
      <c r="I1745" s="1097">
        <v>0.99690987697302613</v>
      </c>
      <c r="K1745">
        <v>5.3093179274973981</v>
      </c>
      <c r="L1745">
        <v>0</v>
      </c>
      <c r="M1745">
        <v>3.4129138650143471E-3</v>
      </c>
      <c r="N1745">
        <v>0.34042090709217443</v>
      </c>
      <c r="O1745">
        <v>0.15078348381571766</v>
      </c>
      <c r="P1745">
        <v>2.1466017830902771E-2</v>
      </c>
      <c r="Q1745">
        <v>1.3611519024182811E-3</v>
      </c>
      <c r="R1745">
        <v>3.4074640514694656E-3</v>
      </c>
      <c r="S1745">
        <v>0.47275676683684786</v>
      </c>
      <c r="T1745">
        <v>4.076114564024409</v>
      </c>
      <c r="U1745">
        <v>0</v>
      </c>
      <c r="V1745">
        <v>1.1304767209823813E-2</v>
      </c>
      <c r="W1745">
        <v>0.19651236061841348</v>
      </c>
      <c r="X1745">
        <v>2.8973604423209901E-2</v>
      </c>
      <c r="Y1745">
        <v>9.6297535570264523E-3</v>
      </c>
    </row>
    <row r="1746" spans="1:25" x14ac:dyDescent="0.25">
      <c r="A1746" s="1093"/>
      <c r="B1746" s="1452">
        <v>1496</v>
      </c>
      <c r="C1746" s="1097">
        <v>0.98509583172440374</v>
      </c>
      <c r="D1746" s="1097">
        <v>0.98866876721974983</v>
      </c>
      <c r="E1746" s="1097">
        <v>1.0132456109046335</v>
      </c>
      <c r="F1746" s="1097">
        <v>1.0154485963989595</v>
      </c>
      <c r="G1746" s="1097">
        <v>0.98806203071500276</v>
      </c>
      <c r="H1746" s="1097">
        <v>0.96653320700650625</v>
      </c>
      <c r="I1746" s="1097">
        <v>1.0004160085217153</v>
      </c>
      <c r="K1746">
        <v>5.2547089284746002</v>
      </c>
      <c r="L1746">
        <v>0</v>
      </c>
      <c r="M1746">
        <v>3.5195824911080972E-3</v>
      </c>
      <c r="N1746">
        <v>0.31754299849705453</v>
      </c>
      <c r="O1746">
        <v>0.15328024813416077</v>
      </c>
      <c r="P1746">
        <v>2.0837331231015232E-2</v>
      </c>
      <c r="Q1746">
        <v>1.344467070327452E-3</v>
      </c>
      <c r="R1746">
        <v>3.5136318484048513E-3</v>
      </c>
      <c r="S1746">
        <v>0.47026418607323472</v>
      </c>
      <c r="T1746">
        <v>4.0553696100825567</v>
      </c>
      <c r="U1746">
        <v>0</v>
      </c>
      <c r="V1746">
        <v>1.1304767209823825E-2</v>
      </c>
      <c r="W1746">
        <v>0.18746882450723845</v>
      </c>
      <c r="X1746">
        <v>2.7372654455194552E-2</v>
      </c>
      <c r="Y1746">
        <v>9.9297918566937007E-3</v>
      </c>
    </row>
    <row r="1747" spans="1:25" x14ac:dyDescent="0.25">
      <c r="A1747" s="1093"/>
      <c r="B1747" s="1452">
        <v>1497</v>
      </c>
      <c r="C1747" s="1097">
        <v>1.0289636101692039</v>
      </c>
      <c r="D1747" s="1097">
        <v>1.0137821234871556</v>
      </c>
      <c r="E1747" s="1097">
        <v>0.98203977504814532</v>
      </c>
      <c r="F1747" s="1097">
        <v>1.0082741706271823</v>
      </c>
      <c r="G1747" s="1097">
        <v>0.97627159508605366</v>
      </c>
      <c r="H1747" s="1097">
        <v>0.99469037812652261</v>
      </c>
      <c r="I1747" s="1097">
        <v>1.0307865671367644</v>
      </c>
      <c r="K1747">
        <v>5.1871641791569125</v>
      </c>
      <c r="L1747">
        <v>0</v>
      </c>
      <c r="M1747">
        <v>3.6403153094987182E-3</v>
      </c>
      <c r="N1747">
        <v>0.29943563664935302</v>
      </c>
      <c r="O1747">
        <v>0.14510042549830537</v>
      </c>
      <c r="P1747">
        <v>2.0219123553711454E-2</v>
      </c>
      <c r="Q1747">
        <v>1.2406191632826241E-3</v>
      </c>
      <c r="R1747">
        <v>3.6342922820454351E-3</v>
      </c>
      <c r="S1747">
        <v>0.46421564605390953</v>
      </c>
      <c r="T1747">
        <v>4.0306720585047335</v>
      </c>
      <c r="U1747">
        <v>0</v>
      </c>
      <c r="V1747">
        <v>1.130476720982382E-2</v>
      </c>
      <c r="W1747">
        <v>0.18055299747908765</v>
      </c>
      <c r="X1747">
        <v>2.4158140618005822E-2</v>
      </c>
      <c r="Y1747">
        <v>1.0270787454150323E-2</v>
      </c>
    </row>
    <row r="1748" spans="1:25" x14ac:dyDescent="0.25">
      <c r="A1748" s="1093"/>
      <c r="B1748" s="1452">
        <v>1498</v>
      </c>
      <c r="C1748" s="1097">
        <v>0.96985298942459985</v>
      </c>
      <c r="D1748" s="1097">
        <v>0.95478031936845242</v>
      </c>
      <c r="E1748" s="1097">
        <v>1.0032433258010454</v>
      </c>
      <c r="F1748" s="1097">
        <v>0.99422237426921323</v>
      </c>
      <c r="G1748" s="1097">
        <v>1.0001154258143072</v>
      </c>
      <c r="H1748" s="1097">
        <v>1.0223660978540221</v>
      </c>
      <c r="I1748" s="1097">
        <v>0.97768099571502143</v>
      </c>
      <c r="K1748">
        <v>5.2049110213081411</v>
      </c>
      <c r="L1748">
        <v>0</v>
      </c>
      <c r="M1748">
        <v>3.8345349510987906E-3</v>
      </c>
      <c r="N1748">
        <v>0.3358817208195099</v>
      </c>
      <c r="O1748">
        <v>0.15486721779060256</v>
      </c>
      <c r="P1748">
        <v>2.031304406999751E-2</v>
      </c>
      <c r="Q1748">
        <v>1.3730243875388235E-3</v>
      </c>
      <c r="R1748">
        <v>3.8282752293856445E-3</v>
      </c>
      <c r="S1748">
        <v>0.47249609058641284</v>
      </c>
      <c r="T1748">
        <v>3.9718427325260248</v>
      </c>
      <c r="U1748">
        <v>0</v>
      </c>
      <c r="V1748">
        <v>1.1304767209823818E-2</v>
      </c>
      <c r="W1748">
        <v>0.19963307027580049</v>
      </c>
      <c r="X1748">
        <v>2.6386615290910801E-2</v>
      </c>
      <c r="Y1748">
        <v>1.0818998073231181E-2</v>
      </c>
    </row>
    <row r="1749" spans="1:25" x14ac:dyDescent="0.25">
      <c r="A1749" s="1093"/>
      <c r="B1749" s="1452">
        <v>1499</v>
      </c>
      <c r="C1749" s="1097">
        <v>0.99968270127462122</v>
      </c>
      <c r="D1749" s="1097">
        <v>0.98796648743302495</v>
      </c>
      <c r="E1749" s="1097">
        <v>0.96440459726698335</v>
      </c>
      <c r="F1749" s="1097">
        <v>1.0136567111763481</v>
      </c>
      <c r="G1749" s="1097">
        <v>1.0128481971883105</v>
      </c>
      <c r="H1749" s="1097">
        <v>1.026760016303903</v>
      </c>
      <c r="I1749" s="1097">
        <v>0.99945433034963727</v>
      </c>
      <c r="K1749">
        <v>5.2607997253217658</v>
      </c>
      <c r="L1749">
        <v>0</v>
      </c>
      <c r="M1749">
        <v>4.07669566734979E-3</v>
      </c>
      <c r="N1749">
        <v>0.31824451454998803</v>
      </c>
      <c r="O1749">
        <v>0.15220472359540299</v>
      </c>
      <c r="P1749">
        <v>2.0096442537176618E-2</v>
      </c>
      <c r="Q1749">
        <v>1.2705163431776677E-3</v>
      </c>
      <c r="R1749">
        <v>4.0701959474994144E-3</v>
      </c>
      <c r="S1749">
        <v>0.47382789254784929</v>
      </c>
      <c r="T1749">
        <v>4.0544618005514392</v>
      </c>
      <c r="U1749">
        <v>0</v>
      </c>
      <c r="V1749">
        <v>1.1304767209823806E-2</v>
      </c>
      <c r="W1749">
        <v>0.19423784184726808</v>
      </c>
      <c r="X1749">
        <v>2.365504136709989E-2</v>
      </c>
      <c r="Y1749">
        <v>1.1502684492393788E-2</v>
      </c>
    </row>
    <row r="1750" spans="1:25" x14ac:dyDescent="0.25">
      <c r="A1750" s="1093"/>
      <c r="B1750" s="1452">
        <v>1500</v>
      </c>
      <c r="C1750" s="1097">
        <v>0.97072317901859984</v>
      </c>
      <c r="D1750" s="1097">
        <v>1.0335604718528371</v>
      </c>
      <c r="E1750" s="1097">
        <v>1.0002799657859265</v>
      </c>
      <c r="F1750" s="1097">
        <v>1.0049700101384353</v>
      </c>
      <c r="G1750" s="1097">
        <v>1.0052739358671765</v>
      </c>
      <c r="H1750" s="1097">
        <v>1.0374804232380721</v>
      </c>
      <c r="I1750" s="1097">
        <v>1.0310149279087153</v>
      </c>
      <c r="K1750">
        <v>5.2647277170018443</v>
      </c>
      <c r="L1750">
        <v>0</v>
      </c>
      <c r="M1750">
        <v>3.830862249811997E-3</v>
      </c>
      <c r="N1750">
        <v>0.33264061246887561</v>
      </c>
      <c r="O1750">
        <v>0.15160310504977159</v>
      </c>
      <c r="P1750">
        <v>2.0578811687198564E-2</v>
      </c>
      <c r="Q1750">
        <v>1.3256047394253402E-3</v>
      </c>
      <c r="R1750">
        <v>3.8247654270102296E-3</v>
      </c>
      <c r="S1750">
        <v>0.49744494288767516</v>
      </c>
      <c r="T1750">
        <v>4.0151523179416388</v>
      </c>
      <c r="U1750">
        <v>0</v>
      </c>
      <c r="V1750">
        <v>1.1304767209823818E-2</v>
      </c>
      <c r="W1750">
        <v>0.19810260205727659</v>
      </c>
      <c r="X1750">
        <v>2.5771970679203168E-2</v>
      </c>
      <c r="Y1750">
        <v>1.0809079103757524E-2</v>
      </c>
    </row>
    <row r="1751" spans="1:25" x14ac:dyDescent="0.25">
      <c r="A1751" s="1093"/>
      <c r="B1751" s="1452">
        <v>1501</v>
      </c>
      <c r="C1751" s="1097">
        <v>1.0284708667028666</v>
      </c>
      <c r="D1751" s="1097">
        <v>0.96720380250409255</v>
      </c>
      <c r="E1751" s="1097">
        <v>0.97727705700588774</v>
      </c>
      <c r="F1751" s="1097">
        <v>0.99585096864565037</v>
      </c>
      <c r="G1751" s="1097">
        <v>0.98448311607408323</v>
      </c>
      <c r="H1751" s="1097">
        <v>1.0311751269002496</v>
      </c>
      <c r="I1751" s="1097">
        <v>0.97622596229383884</v>
      </c>
      <c r="K1751">
        <v>5.1402066571329552</v>
      </c>
      <c r="L1751">
        <v>0</v>
      </c>
      <c r="M1751">
        <v>3.8382112637170328E-3</v>
      </c>
      <c r="N1751">
        <v>0.31129509031842695</v>
      </c>
      <c r="O1751">
        <v>0.14623434475843577</v>
      </c>
      <c r="P1751">
        <v>1.9844963409156331E-2</v>
      </c>
      <c r="Q1751">
        <v>1.2595671206941615E-3</v>
      </c>
      <c r="R1751">
        <v>3.832009209195502E-3</v>
      </c>
      <c r="S1751">
        <v>0.44591880611154927</v>
      </c>
      <c r="T1751">
        <v>3.9816102959605608</v>
      </c>
      <c r="U1751">
        <v>0</v>
      </c>
      <c r="V1751">
        <v>1.1304767209823808E-2</v>
      </c>
      <c r="W1751">
        <v>0.18831762186516876</v>
      </c>
      <c r="X1751">
        <v>2.3597851848413801E-2</v>
      </c>
      <c r="Y1751">
        <v>1.0829550585249707E-2</v>
      </c>
    </row>
    <row r="1752" spans="1:25" x14ac:dyDescent="0.25">
      <c r="A1752" s="1093"/>
      <c r="B1752" s="1452">
        <v>1502</v>
      </c>
      <c r="C1752" s="1097">
        <v>0.98867275389671949</v>
      </c>
      <c r="D1752" s="1097">
        <v>1.020305191356115</v>
      </c>
      <c r="E1752" s="1097">
        <v>0.99897765683985273</v>
      </c>
      <c r="F1752" s="1097">
        <v>0.98940205833222827</v>
      </c>
      <c r="G1752" s="1097">
        <v>1.0162820521577349</v>
      </c>
      <c r="H1752" s="1097">
        <v>1.0096405783895175</v>
      </c>
      <c r="I1752" s="1097">
        <v>0.97280146078235885</v>
      </c>
      <c r="K1752">
        <v>5.1209551647645046</v>
      </c>
      <c r="L1752">
        <v>0</v>
      </c>
      <c r="M1752">
        <v>3.6323741908080155E-3</v>
      </c>
      <c r="N1752">
        <v>0.31416890417696436</v>
      </c>
      <c r="O1752">
        <v>0.14733944824340503</v>
      </c>
      <c r="P1752">
        <v>2.0065482755845927E-2</v>
      </c>
      <c r="Q1752">
        <v>1.306815753560561E-3</v>
      </c>
      <c r="R1752">
        <v>3.6263405459879623E-3</v>
      </c>
      <c r="S1752">
        <v>0.45093303502803744</v>
      </c>
      <c r="T1752">
        <v>3.9531155518769503</v>
      </c>
      <c r="U1752">
        <v>0</v>
      </c>
      <c r="V1752">
        <v>1.1304767209823822E-2</v>
      </c>
      <c r="W1752">
        <v>0.18726666083329271</v>
      </c>
      <c r="X1752">
        <v>2.5212217290480538E-2</v>
      </c>
      <c r="Y1752">
        <v>1.0248315240965575E-2</v>
      </c>
    </row>
    <row r="1753" spans="1:25" x14ac:dyDescent="0.25">
      <c r="A1753" s="1093"/>
      <c r="B1753" s="1452">
        <v>1503</v>
      </c>
      <c r="C1753" s="1097">
        <v>1.0201769878648808</v>
      </c>
      <c r="D1753" s="1097">
        <v>0.96451340892385795</v>
      </c>
      <c r="E1753" s="1097">
        <v>0.97221204275594153</v>
      </c>
      <c r="F1753" s="1097">
        <v>0.96223243643781819</v>
      </c>
      <c r="G1753" s="1097">
        <v>1.0206407936578654</v>
      </c>
      <c r="H1753" s="1097">
        <v>1.0184295871926103</v>
      </c>
      <c r="I1753" s="1097">
        <v>0.9719042779041871</v>
      </c>
      <c r="K1753">
        <v>4.9682092762612209</v>
      </c>
      <c r="L1753">
        <v>0</v>
      </c>
      <c r="M1753">
        <v>3.7363949014352382E-3</v>
      </c>
      <c r="N1753">
        <v>0.29849198722909753</v>
      </c>
      <c r="O1753">
        <v>0.14274002742463401</v>
      </c>
      <c r="P1753">
        <v>1.9114813588816514E-2</v>
      </c>
      <c r="Q1753">
        <v>1.2656273129540085E-3</v>
      </c>
      <c r="R1753">
        <v>3.7300685986871949E-3</v>
      </c>
      <c r="S1753">
        <v>0.43294732127625379</v>
      </c>
      <c r="T1753">
        <v>3.8478158642549953</v>
      </c>
      <c r="U1753">
        <v>0</v>
      </c>
      <c r="V1753">
        <v>1.1304767209823808E-2</v>
      </c>
      <c r="W1753">
        <v>0.18120236938077983</v>
      </c>
      <c r="X1753">
        <v>2.2791366249458361E-2</v>
      </c>
      <c r="Y1753">
        <v>1.0541458637155799E-2</v>
      </c>
    </row>
    <row r="1754" spans="1:25" x14ac:dyDescent="0.25">
      <c r="A1754" s="1093"/>
      <c r="B1754" s="1452">
        <v>1504</v>
      </c>
      <c r="C1754" s="1097">
        <v>1.0060318291195922</v>
      </c>
      <c r="D1754" s="1097">
        <v>0.99765893196761701</v>
      </c>
      <c r="E1754" s="1097">
        <v>1.0124217579827728</v>
      </c>
      <c r="F1754" s="1097">
        <v>0.99526901866154471</v>
      </c>
      <c r="G1754" s="1097">
        <v>1.0334418472408915</v>
      </c>
      <c r="H1754" s="1097">
        <v>1.0255932901715636</v>
      </c>
      <c r="I1754" s="1097">
        <v>1.0045624892215896</v>
      </c>
      <c r="K1754">
        <v>5.1676519497888416</v>
      </c>
      <c r="L1754">
        <v>0</v>
      </c>
      <c r="M1754">
        <v>3.5776322276360683E-3</v>
      </c>
      <c r="N1754">
        <v>0.32201513547397143</v>
      </c>
      <c r="O1754">
        <v>0.1465987522015525</v>
      </c>
      <c r="P1754">
        <v>2.0430635860090977E-2</v>
      </c>
      <c r="Q1754">
        <v>1.31081157320347E-3</v>
      </c>
      <c r="R1754">
        <v>3.571816378961739E-3</v>
      </c>
      <c r="S1754">
        <v>0.46490307788673119</v>
      </c>
      <c r="T1754">
        <v>3.9748813010567261</v>
      </c>
      <c r="U1754">
        <v>0</v>
      </c>
      <c r="V1754">
        <v>1.1304767209823829E-2</v>
      </c>
      <c r="W1754">
        <v>0.1902140229549662</v>
      </c>
      <c r="X1754">
        <v>2.59050356382199E-2</v>
      </c>
      <c r="Y1754">
        <v>1.0094225782226237E-2</v>
      </c>
    </row>
    <row r="1755" spans="1:25" x14ac:dyDescent="0.25">
      <c r="A1755" s="1093"/>
      <c r="B1755" s="1452">
        <v>1505</v>
      </c>
      <c r="C1755" s="1097">
        <v>0.9804632846819239</v>
      </c>
      <c r="D1755" s="1097">
        <v>0.99560659400916862</v>
      </c>
      <c r="E1755" s="1097">
        <v>1.0133152579747082</v>
      </c>
      <c r="F1755" s="1097">
        <v>0.98322262316150388</v>
      </c>
      <c r="G1755" s="1097">
        <v>1.0061325767843476</v>
      </c>
      <c r="H1755" s="1097">
        <v>1.0117883457255177</v>
      </c>
      <c r="I1755" s="1097">
        <v>1.0105925039549513</v>
      </c>
      <c r="K1755">
        <v>5.1301294047861576</v>
      </c>
      <c r="L1755">
        <v>0</v>
      </c>
      <c r="M1755">
        <v>3.5739605860451713E-3</v>
      </c>
      <c r="N1755">
        <v>0.32252292751560202</v>
      </c>
      <c r="O1755">
        <v>0.14869856969334722</v>
      </c>
      <c r="P1755">
        <v>2.0257937130115478E-2</v>
      </c>
      <c r="Q1755">
        <v>1.3471260703610698E-3</v>
      </c>
      <c r="R1755">
        <v>3.5679994036229737E-3</v>
      </c>
      <c r="S1755">
        <v>0.47258905489904962</v>
      </c>
      <c r="T1755">
        <v>3.9266610680213834</v>
      </c>
      <c r="U1755">
        <v>0</v>
      </c>
      <c r="V1755">
        <v>1.1304767209823824E-2</v>
      </c>
      <c r="W1755">
        <v>0.19039995775460214</v>
      </c>
      <c r="X1755">
        <v>2.6270518955784809E-2</v>
      </c>
      <c r="Y1755">
        <v>1.0083438718506603E-2</v>
      </c>
    </row>
    <row r="1756" spans="1:25" x14ac:dyDescent="0.25">
      <c r="A1756" s="1093"/>
      <c r="B1756" s="1452">
        <v>1506</v>
      </c>
      <c r="C1756" s="1097">
        <v>0.99607196921776675</v>
      </c>
      <c r="D1756" s="1097">
        <v>0.99170235288572139</v>
      </c>
      <c r="E1756" s="1097">
        <v>1.0035916789020212</v>
      </c>
      <c r="F1756" s="1097">
        <v>0.99755483165745018</v>
      </c>
      <c r="G1756" s="1097">
        <v>0.96712995304207905</v>
      </c>
      <c r="H1756" s="1097">
        <v>0.98421505651668884</v>
      </c>
      <c r="I1756" s="1097">
        <v>1.0268467729435475</v>
      </c>
      <c r="K1756">
        <v>5.1727145465396953</v>
      </c>
      <c r="L1756">
        <v>0</v>
      </c>
      <c r="M1756">
        <v>3.5493788274567335E-3</v>
      </c>
      <c r="N1756">
        <v>0.31120681783927462</v>
      </c>
      <c r="O1756">
        <v>0.14900758572874478</v>
      </c>
      <c r="P1756">
        <v>2.0383244995548822E-2</v>
      </c>
      <c r="Q1756">
        <v>1.3171391662694383E-3</v>
      </c>
      <c r="R1756">
        <v>3.5433800839562387E-3</v>
      </c>
      <c r="S1756">
        <v>0.47346788082131497</v>
      </c>
      <c r="T1756">
        <v>3.9851120865612426</v>
      </c>
      <c r="U1756">
        <v>0</v>
      </c>
      <c r="V1756">
        <v>1.1304767209823808E-2</v>
      </c>
      <c r="W1756">
        <v>0.1849239683612986</v>
      </c>
      <c r="X1756">
        <v>2.5983191958146818E-2</v>
      </c>
      <c r="Y1756">
        <v>1.0013862641532272E-2</v>
      </c>
    </row>
    <row r="1757" spans="1:25" x14ac:dyDescent="0.25">
      <c r="A1757" s="1093"/>
      <c r="B1757" s="1452">
        <v>1507</v>
      </c>
      <c r="C1757" s="1097">
        <v>1.0078963103900158</v>
      </c>
      <c r="D1757" s="1097">
        <v>0.97299048601203275</v>
      </c>
      <c r="E1757" s="1097">
        <v>0.98226531526954863</v>
      </c>
      <c r="F1757" s="1097">
        <v>0.97991367771733684</v>
      </c>
      <c r="G1757" s="1097">
        <v>0.97097466453601844</v>
      </c>
      <c r="H1757" s="1097">
        <v>0.95856734505472685</v>
      </c>
      <c r="I1757" s="1097">
        <v>0.96542677160029611</v>
      </c>
      <c r="K1757">
        <v>5.0272347144912466</v>
      </c>
      <c r="L1757">
        <v>0</v>
      </c>
      <c r="M1757">
        <v>3.5368484530120363E-3</v>
      </c>
      <c r="N1757">
        <v>0.2910870193009954</v>
      </c>
      <c r="O1757">
        <v>0.14634508270518959</v>
      </c>
      <c r="P1757">
        <v>1.9562385088852496E-2</v>
      </c>
      <c r="Q1757">
        <v>1.2877808640654367E-3</v>
      </c>
      <c r="R1757">
        <v>3.5306006444227518E-3</v>
      </c>
      <c r="S1757">
        <v>0.43051276572435476</v>
      </c>
      <c r="T1757">
        <v>3.9172703053782452</v>
      </c>
      <c r="U1757">
        <v>0</v>
      </c>
      <c r="V1757">
        <v>1.1304767209823811E-2</v>
      </c>
      <c r="W1757">
        <v>0.17549188761201853</v>
      </c>
      <c r="X1757">
        <v>2.440122144654357E-2</v>
      </c>
      <c r="Y1757">
        <v>9.9777469697465808E-3</v>
      </c>
    </row>
    <row r="1758" spans="1:25" x14ac:dyDescent="0.25">
      <c r="A1758" s="1093"/>
      <c r="B1758" s="1452">
        <v>1508</v>
      </c>
      <c r="C1758" s="1097">
        <v>0.98266889725541451</v>
      </c>
      <c r="D1758" s="1097">
        <v>1.0159485504540484</v>
      </c>
      <c r="E1758" s="1097">
        <v>0.96287471849522377</v>
      </c>
      <c r="F1758" s="1097">
        <v>1.0014089363548859</v>
      </c>
      <c r="G1758" s="1097">
        <v>0.97875810695624665</v>
      </c>
      <c r="H1758" s="1097">
        <v>0.963575575059478</v>
      </c>
      <c r="I1758" s="1097">
        <v>1.0063103040925978</v>
      </c>
      <c r="K1758">
        <v>5.1672963036164887</v>
      </c>
      <c r="L1758">
        <v>0</v>
      </c>
      <c r="M1758">
        <v>3.8145974020419833E-3</v>
      </c>
      <c r="N1758">
        <v>0.29639636815743164</v>
      </c>
      <c r="O1758">
        <v>0.15131274372583658</v>
      </c>
      <c r="P1758">
        <v>1.9821041526641697E-2</v>
      </c>
      <c r="Q1758">
        <v>1.2764406254878709E-3</v>
      </c>
      <c r="R1758">
        <v>3.8080376267513628E-3</v>
      </c>
      <c r="S1758">
        <v>0.46569357170289688</v>
      </c>
      <c r="T1758">
        <v>4.00566831592994</v>
      </c>
      <c r="U1758">
        <v>0</v>
      </c>
      <c r="V1758">
        <v>1.1304767209823806E-2</v>
      </c>
      <c r="W1758">
        <v>0.18109486089614621</v>
      </c>
      <c r="X1758">
        <v>2.3972948554454584E-2</v>
      </c>
      <c r="Y1758">
        <v>1.0761805063118831E-2</v>
      </c>
    </row>
    <row r="1759" spans="1:25" x14ac:dyDescent="0.25">
      <c r="A1759" s="1093"/>
      <c r="B1759" s="1452">
        <v>1509</v>
      </c>
      <c r="C1759" s="1097">
        <v>0.99189477916572233</v>
      </c>
      <c r="D1759" s="1097">
        <v>0.97448704290466093</v>
      </c>
      <c r="E1759" s="1097">
        <v>1.0048940157571284</v>
      </c>
      <c r="F1759" s="1097">
        <v>0.99481918560389615</v>
      </c>
      <c r="G1759" s="1097">
        <v>0.96926358233864163</v>
      </c>
      <c r="H1759" s="1097">
        <v>0.98891586379824448</v>
      </c>
      <c r="I1759" s="1097">
        <v>1.0174484773207213</v>
      </c>
      <c r="K1759">
        <v>5.1692323144336614</v>
      </c>
      <c r="L1759">
        <v>0</v>
      </c>
      <c r="M1759">
        <v>3.5867936306000041E-3</v>
      </c>
      <c r="N1759">
        <v>0.31570389714118263</v>
      </c>
      <c r="O1759">
        <v>0.15023696167401324</v>
      </c>
      <c r="P1759">
        <v>2.0348251246873342E-2</v>
      </c>
      <c r="Q1759">
        <v>1.3334671356997013E-3</v>
      </c>
      <c r="R1759">
        <v>3.5807439056991155E-3</v>
      </c>
      <c r="S1759">
        <v>0.47257054778434399</v>
      </c>
      <c r="T1759">
        <v>3.9740211678959674</v>
      </c>
      <c r="U1759">
        <v>0</v>
      </c>
      <c r="V1759">
        <v>1.1304767209823824E-2</v>
      </c>
      <c r="W1759">
        <v>0.18743162485882522</v>
      </c>
      <c r="X1759">
        <v>2.6168223557458355E-2</v>
      </c>
      <c r="Y1759">
        <v>1.0119455654370481E-2</v>
      </c>
    </row>
    <row r="1760" spans="1:25" x14ac:dyDescent="0.25">
      <c r="A1760" s="1093"/>
      <c r="B1760" s="1452">
        <v>1510</v>
      </c>
      <c r="C1760" s="1097">
        <v>1.0068818730306808</v>
      </c>
      <c r="D1760" s="1097">
        <v>0.97316358628706545</v>
      </c>
      <c r="E1760" s="1097">
        <v>0.99325602213100272</v>
      </c>
      <c r="F1760" s="1097">
        <v>0.96089363449249909</v>
      </c>
      <c r="G1760" s="1097">
        <v>1.0349490573847764</v>
      </c>
      <c r="H1760" s="1097">
        <v>1.0115788286943905</v>
      </c>
      <c r="I1760" s="1097">
        <v>0.99830408046824126</v>
      </c>
      <c r="K1760">
        <v>4.9841453528027211</v>
      </c>
      <c r="L1760">
        <v>0</v>
      </c>
      <c r="M1760">
        <v>3.5798859895353548E-3</v>
      </c>
      <c r="N1760">
        <v>0.30440874601305584</v>
      </c>
      <c r="O1760">
        <v>0.14334383495810687</v>
      </c>
      <c r="P1760">
        <v>1.9454198217577327E-2</v>
      </c>
      <c r="Q1760">
        <v>1.3012813827381724E-3</v>
      </c>
      <c r="R1760">
        <v>3.5737751440069027E-3</v>
      </c>
      <c r="S1760">
        <v>0.4479961627794033</v>
      </c>
      <c r="T1760">
        <v>3.8399028433221338</v>
      </c>
      <c r="U1760">
        <v>0</v>
      </c>
      <c r="V1760">
        <v>1.1304767209823817E-2</v>
      </c>
      <c r="W1760">
        <v>0.18215382384062992</v>
      </c>
      <c r="X1760">
        <v>2.418604452298935E-2</v>
      </c>
      <c r="Y1760">
        <v>1.0099761401788507E-2</v>
      </c>
    </row>
    <row r="1761" spans="1:25" x14ac:dyDescent="0.25">
      <c r="A1761" s="1093"/>
      <c r="B1761" s="1452">
        <v>1511</v>
      </c>
      <c r="C1761" s="1097">
        <v>0.98460476581942546</v>
      </c>
      <c r="D1761" s="1097">
        <v>1.013604969407685</v>
      </c>
      <c r="E1761" s="1097">
        <v>0.9937424333271061</v>
      </c>
      <c r="F1761" s="1097">
        <v>1.0035086689013246</v>
      </c>
      <c r="G1761" s="1097">
        <v>0.99689315795073263</v>
      </c>
      <c r="H1761" s="1097">
        <v>0.98209962973233111</v>
      </c>
      <c r="I1761" s="1097">
        <v>0.98309734910386082</v>
      </c>
      <c r="K1761">
        <v>5.1844989267974526</v>
      </c>
      <c r="L1761">
        <v>0</v>
      </c>
      <c r="M1761">
        <v>3.6478585778524403E-3</v>
      </c>
      <c r="N1761">
        <v>0.31064350376075112</v>
      </c>
      <c r="O1761">
        <v>0.15060129156140517</v>
      </c>
      <c r="P1761">
        <v>2.0279500831271571E-2</v>
      </c>
      <c r="Q1761">
        <v>1.3097742496197406E-3</v>
      </c>
      <c r="R1761">
        <v>3.6417167120595031E-3</v>
      </c>
      <c r="S1761">
        <v>0.45851327197068709</v>
      </c>
      <c r="T1761">
        <v>4.0101386717126681</v>
      </c>
      <c r="U1761">
        <v>0</v>
      </c>
      <c r="V1761">
        <v>1.1304767209823815E-2</v>
      </c>
      <c r="W1761">
        <v>0.1858232430564967</v>
      </c>
      <c r="X1761">
        <v>2.5599274850324177E-2</v>
      </c>
      <c r="Y1761">
        <v>1.0291769460198497E-2</v>
      </c>
    </row>
    <row r="1762" spans="1:25" x14ac:dyDescent="0.25">
      <c r="A1762" s="1093"/>
      <c r="B1762" s="1452">
        <v>1512</v>
      </c>
      <c r="C1762" s="1097">
        <v>1.0189027484993232</v>
      </c>
      <c r="D1762" s="1097">
        <v>0.97728424942090919</v>
      </c>
      <c r="E1762" s="1097">
        <v>1.0145831161294188</v>
      </c>
      <c r="F1762" s="1097">
        <v>0.97137981120477357</v>
      </c>
      <c r="G1762" s="1097">
        <v>0.998321112454302</v>
      </c>
      <c r="H1762" s="1097">
        <v>0.97141917190938398</v>
      </c>
      <c r="I1762" s="1097">
        <v>1.038233041343734</v>
      </c>
      <c r="K1762">
        <v>5.0178054930482991</v>
      </c>
      <c r="L1762">
        <v>0</v>
      </c>
      <c r="M1762">
        <v>3.2777527712887391E-3</v>
      </c>
      <c r="N1762">
        <v>0.29687762593417605</v>
      </c>
      <c r="O1762">
        <v>0.14238550238002926</v>
      </c>
      <c r="P1762">
        <v>1.9985541914658095E-2</v>
      </c>
      <c r="Q1762">
        <v>1.3073784613757185E-3</v>
      </c>
      <c r="R1762">
        <v>3.2719891464652339E-3</v>
      </c>
      <c r="S1762">
        <v>0.45667555290222517</v>
      </c>
      <c r="T1762">
        <v>3.879211242263469</v>
      </c>
      <c r="U1762">
        <v>0</v>
      </c>
      <c r="V1762">
        <v>1.1304767209823815E-2</v>
      </c>
      <c r="W1762">
        <v>0.17511166203368644</v>
      </c>
      <c r="X1762">
        <v>2.5705092441212024E-2</v>
      </c>
      <c r="Y1762">
        <v>9.2468911324647823E-3</v>
      </c>
    </row>
    <row r="1763" spans="1:25" x14ac:dyDescent="0.25">
      <c r="A1763" s="1093"/>
      <c r="B1763" s="1452">
        <v>1513</v>
      </c>
      <c r="C1763" s="1097">
        <v>1.0289661450800303</v>
      </c>
      <c r="D1763" s="1097">
        <v>1.0166480472678174</v>
      </c>
      <c r="E1763" s="1097">
        <v>0.97151292584910864</v>
      </c>
      <c r="F1763" s="1097">
        <v>0.99589527240164366</v>
      </c>
      <c r="G1763" s="1097">
        <v>0.98677886703027173</v>
      </c>
      <c r="H1763" s="1097">
        <v>1.0105348879084441</v>
      </c>
      <c r="I1763" s="1097">
        <v>0.99249227493462888</v>
      </c>
      <c r="K1763">
        <v>5.1148533121661419</v>
      </c>
      <c r="L1763">
        <v>0</v>
      </c>
      <c r="M1763">
        <v>3.7303321604005429E-3</v>
      </c>
      <c r="N1763">
        <v>0.2974029039240822</v>
      </c>
      <c r="O1763">
        <v>0.14343844072050274</v>
      </c>
      <c r="P1763">
        <v>1.9757588890559841E-2</v>
      </c>
      <c r="Q1763">
        <v>1.2279209323470298E-3</v>
      </c>
      <c r="R1763">
        <v>3.7241815808887807E-3</v>
      </c>
      <c r="S1763">
        <v>0.44495003974725422</v>
      </c>
      <c r="T1763">
        <v>3.9825168073247927</v>
      </c>
      <c r="U1763">
        <v>0</v>
      </c>
      <c r="V1763">
        <v>1.1304767209823825E-2</v>
      </c>
      <c r="W1763">
        <v>0.18062821067063239</v>
      </c>
      <c r="X1763">
        <v>2.3107961850249475E-2</v>
      </c>
      <c r="Y1763">
        <v>1.0524821475404933E-2</v>
      </c>
    </row>
    <row r="1764" spans="1:25" x14ac:dyDescent="0.25">
      <c r="A1764" s="1093"/>
      <c r="B1764" s="1452">
        <v>1514</v>
      </c>
      <c r="C1764" s="1097">
        <v>1.010553832219111</v>
      </c>
      <c r="D1764" s="1097">
        <v>1.0024985269722955</v>
      </c>
      <c r="E1764" s="1097">
        <v>1.022528049171608</v>
      </c>
      <c r="F1764" s="1097">
        <v>1.0255567045847958</v>
      </c>
      <c r="G1764" s="1097">
        <v>0.99158598966126643</v>
      </c>
      <c r="H1764" s="1097">
        <v>0.99914000658160151</v>
      </c>
      <c r="I1764" s="1097">
        <v>1.0191265391974353</v>
      </c>
      <c r="K1764">
        <v>5.3053025263731843</v>
      </c>
      <c r="L1764">
        <v>0</v>
      </c>
      <c r="M1764">
        <v>3.4929182938057807E-3</v>
      </c>
      <c r="N1764">
        <v>0.32393632145831464</v>
      </c>
      <c r="O1764">
        <v>0.14980795460218072</v>
      </c>
      <c r="P1764">
        <v>2.118717836087311E-2</v>
      </c>
      <c r="Q1764">
        <v>1.3136266836444727E-3</v>
      </c>
      <c r="R1764">
        <v>3.4872616759005193E-3</v>
      </c>
      <c r="S1764">
        <v>0.47593830030608719</v>
      </c>
      <c r="T1764">
        <v>4.0945529509357987</v>
      </c>
      <c r="U1764">
        <v>0</v>
      </c>
      <c r="V1764">
        <v>1.1304767209823824E-2</v>
      </c>
      <c r="W1764">
        <v>0.19006156018322479</v>
      </c>
      <c r="X1764">
        <v>2.7350255515208199E-2</v>
      </c>
      <c r="Y1764">
        <v>9.8552677359290339E-3</v>
      </c>
    </row>
    <row r="1765" spans="1:25" x14ac:dyDescent="0.25">
      <c r="A1765" s="1093"/>
      <c r="B1765" s="1452">
        <v>1515</v>
      </c>
      <c r="C1765" s="1097">
        <v>1.0188276623363879</v>
      </c>
      <c r="D1765" s="1097">
        <v>1.0071342633506821</v>
      </c>
      <c r="E1765" s="1097">
        <v>1.0233490844877204</v>
      </c>
      <c r="F1765" s="1097">
        <v>1.0379974636700739</v>
      </c>
      <c r="G1765" s="1097">
        <v>1.0133246331613466</v>
      </c>
      <c r="H1765" s="1097">
        <v>0.99769994241039617</v>
      </c>
      <c r="I1765" s="1097">
        <v>1.03732457170739</v>
      </c>
      <c r="K1765">
        <v>5.3649228301491538</v>
      </c>
      <c r="L1765">
        <v>0</v>
      </c>
      <c r="M1765">
        <v>3.4889436131268349E-3</v>
      </c>
      <c r="N1765">
        <v>0.32436001352999522</v>
      </c>
      <c r="O1765">
        <v>0.15009339132350089</v>
      </c>
      <c r="P1765">
        <v>2.146973069569369E-2</v>
      </c>
      <c r="Q1765">
        <v>1.3014587582390919E-3</v>
      </c>
      <c r="R1765">
        <v>3.483352985353098E-3</v>
      </c>
      <c r="S1765">
        <v>0.4846923419516927</v>
      </c>
      <c r="T1765">
        <v>4.1441170558891383</v>
      </c>
      <c r="U1765">
        <v>0</v>
      </c>
      <c r="V1765">
        <v>1.1304767209823804E-2</v>
      </c>
      <c r="W1765">
        <v>0.19020619937167374</v>
      </c>
      <c r="X1765">
        <v>2.7539240569144027E-2</v>
      </c>
      <c r="Y1765">
        <v>9.8442214780276108E-3</v>
      </c>
    </row>
    <row r="1766" spans="1:25" x14ac:dyDescent="0.25">
      <c r="A1766" s="1093"/>
      <c r="B1766" s="1452">
        <v>1516</v>
      </c>
      <c r="C1766" s="1097">
        <v>1.0337079687551614</v>
      </c>
      <c r="D1766" s="1097">
        <v>1.0276285572449702</v>
      </c>
      <c r="E1766" s="1097">
        <v>0.98664313566548234</v>
      </c>
      <c r="F1766" s="1097">
        <v>0.99992135502676793</v>
      </c>
      <c r="G1766" s="1097">
        <v>1.0200758410444044</v>
      </c>
      <c r="H1766" s="1097">
        <v>0.99671042649503161</v>
      </c>
      <c r="I1766" s="1097">
        <v>0.9875519924553926</v>
      </c>
      <c r="K1766">
        <v>5.1179763343037274</v>
      </c>
      <c r="L1766">
        <v>0</v>
      </c>
      <c r="M1766">
        <v>3.5469812623614826E-3</v>
      </c>
      <c r="N1766">
        <v>0.29576673174917534</v>
      </c>
      <c r="O1766">
        <v>0.14234022776110919</v>
      </c>
      <c r="P1766">
        <v>2.0022329149436791E-2</v>
      </c>
      <c r="Q1766">
        <v>1.2331462788948515E-3</v>
      </c>
      <c r="R1766">
        <v>3.5410757106315422E-3</v>
      </c>
      <c r="S1766">
        <v>0.43882988002982765</v>
      </c>
      <c r="T1766">
        <v>3.9966987163958123</v>
      </c>
      <c r="U1766">
        <v>0</v>
      </c>
      <c r="V1766">
        <v>1.1304767209823804E-2</v>
      </c>
      <c r="W1766">
        <v>0.17778080172805849</v>
      </c>
      <c r="X1766">
        <v>2.3998289246734698E-2</v>
      </c>
      <c r="Y1766">
        <v>1.00073503065861E-2</v>
      </c>
    </row>
    <row r="1767" spans="1:25" x14ac:dyDescent="0.25">
      <c r="A1767" s="1093"/>
      <c r="B1767" s="1452">
        <v>1517</v>
      </c>
      <c r="C1767" s="1097">
        <v>0.99117538011808759</v>
      </c>
      <c r="D1767" s="1097">
        <v>1.0115928318148621</v>
      </c>
      <c r="E1767" s="1097">
        <v>1.028465814567503</v>
      </c>
      <c r="F1767" s="1097">
        <v>0.98996133845121814</v>
      </c>
      <c r="G1767" s="1097">
        <v>1.038481750705651</v>
      </c>
      <c r="H1767" s="1097">
        <v>0.9608952349530494</v>
      </c>
      <c r="I1767" s="1097">
        <v>0.96397039941946971</v>
      </c>
      <c r="K1767">
        <v>5.0923404524513192</v>
      </c>
      <c r="L1767">
        <v>0</v>
      </c>
      <c r="M1767">
        <v>3.2531970373895353E-3</v>
      </c>
      <c r="N1767">
        <v>0.30701073116216715</v>
      </c>
      <c r="O1767">
        <v>0.14673962399646875</v>
      </c>
      <c r="P1767">
        <v>2.0439072245106413E-2</v>
      </c>
      <c r="Q1767">
        <v>1.341178843238739E-3</v>
      </c>
      <c r="R1767">
        <v>3.2475223064849625E-3</v>
      </c>
      <c r="S1767">
        <v>0.43792011073724402</v>
      </c>
      <c r="T1767">
        <v>3.9517086994237172</v>
      </c>
      <c r="U1767">
        <v>0</v>
      </c>
      <c r="V1767">
        <v>1.1304767209823824E-2</v>
      </c>
      <c r="W1767">
        <v>0.17942175208891015</v>
      </c>
      <c r="X1767">
        <v>2.7282445500817046E-2</v>
      </c>
      <c r="Y1767">
        <v>9.1777459747256693E-3</v>
      </c>
    </row>
    <row r="1768" spans="1:25" x14ac:dyDescent="0.25">
      <c r="A1768" s="1093"/>
      <c r="B1768" s="1452">
        <v>1518</v>
      </c>
      <c r="C1768" s="1097">
        <v>1.006750117714293</v>
      </c>
      <c r="D1768" s="1097">
        <v>1.012127972174832</v>
      </c>
      <c r="E1768" s="1097">
        <v>1.0186745002515261</v>
      </c>
      <c r="F1768" s="1097">
        <v>1.0067581182517507</v>
      </c>
      <c r="G1768" s="1097">
        <v>0.96323763075603364</v>
      </c>
      <c r="H1768" s="1097">
        <v>1.0156862536002358</v>
      </c>
      <c r="I1768" s="1097">
        <v>0.99097022692811232</v>
      </c>
      <c r="K1768">
        <v>5.2081928929409607</v>
      </c>
      <c r="L1768">
        <v>0</v>
      </c>
      <c r="M1768">
        <v>3.5140897275443808E-3</v>
      </c>
      <c r="N1768">
        <v>0.32220437888340975</v>
      </c>
      <c r="O1768">
        <v>0.14716097355453478</v>
      </c>
      <c r="P1768">
        <v>2.0708187757623123E-2</v>
      </c>
      <c r="Q1768">
        <v>1.309282571903173E-3</v>
      </c>
      <c r="R1768">
        <v>3.5083871729150421E-3</v>
      </c>
      <c r="S1768">
        <v>0.45957899057195956</v>
      </c>
      <c r="T1768">
        <v>4.0199816275148601</v>
      </c>
      <c r="U1768">
        <v>0</v>
      </c>
      <c r="V1768">
        <v>1.130476720982382E-2</v>
      </c>
      <c r="W1768">
        <v>0.18953156466430199</v>
      </c>
      <c r="X1768">
        <v>2.6503852763829008E-2</v>
      </c>
      <c r="Y1768">
        <v>9.9149700033474755E-3</v>
      </c>
    </row>
    <row r="1769" spans="1:25" x14ac:dyDescent="0.25">
      <c r="A1769" s="1093"/>
      <c r="B1769" s="1452">
        <v>1519</v>
      </c>
      <c r="C1769" s="1097">
        <v>0.9950793326371391</v>
      </c>
      <c r="D1769" s="1097">
        <v>1.0346939680180915</v>
      </c>
      <c r="E1769" s="1097">
        <v>1.0278225815451056</v>
      </c>
      <c r="F1769" s="1097">
        <v>1.0054258157552687</v>
      </c>
      <c r="G1769" s="1097">
        <v>1.0249924954133363</v>
      </c>
      <c r="H1769" s="1097">
        <v>1.0385863772940522</v>
      </c>
      <c r="I1769" s="1097">
        <v>1.0009002489824597</v>
      </c>
      <c r="K1769">
        <v>5.2294035199290949</v>
      </c>
      <c r="L1769">
        <v>0</v>
      </c>
      <c r="M1769">
        <v>3.5298698652832514E-3</v>
      </c>
      <c r="N1769">
        <v>0.33253965187424295</v>
      </c>
      <c r="O1769">
        <v>0.14713033498645889</v>
      </c>
      <c r="P1769">
        <v>2.0871811791146236E-2</v>
      </c>
      <c r="Q1769">
        <v>1.3231888959777654E-3</v>
      </c>
      <c r="R1769">
        <v>3.5242605943782866E-3</v>
      </c>
      <c r="S1769">
        <v>0.47138157100800709</v>
      </c>
      <c r="T1769">
        <v>4.0135196220176983</v>
      </c>
      <c r="U1769">
        <v>0</v>
      </c>
      <c r="V1769">
        <v>1.1304767209823822E-2</v>
      </c>
      <c r="W1769">
        <v>0.19442415655199438</v>
      </c>
      <c r="X1769">
        <v>2.6954195360366369E-2</v>
      </c>
      <c r="Y1769">
        <v>9.9598295042810023E-3</v>
      </c>
    </row>
    <row r="1770" spans="1:25" x14ac:dyDescent="0.25">
      <c r="A1770" s="1093"/>
      <c r="B1770" s="1452">
        <v>1520</v>
      </c>
      <c r="C1770" s="1097">
        <v>1.0029866864649288</v>
      </c>
      <c r="D1770" s="1097">
        <v>1.0094264326696929</v>
      </c>
      <c r="E1770" s="1097">
        <v>1.0152866948160941</v>
      </c>
      <c r="F1770" s="1097">
        <v>1.0313256417689352</v>
      </c>
      <c r="G1770" s="1097">
        <v>1.0178725519488125</v>
      </c>
      <c r="H1770" s="1097">
        <v>0.99691719389262246</v>
      </c>
      <c r="I1770" s="1097">
        <v>0.99649628030518844</v>
      </c>
      <c r="K1770">
        <v>5.3271085929686937</v>
      </c>
      <c r="L1770">
        <v>0</v>
      </c>
      <c r="M1770">
        <v>3.5757185236618633E-3</v>
      </c>
      <c r="N1770">
        <v>0.32458749504773693</v>
      </c>
      <c r="O1770">
        <v>0.15157622297461276</v>
      </c>
      <c r="P1770">
        <v>2.1158117599040516E-2</v>
      </c>
      <c r="Q1770">
        <v>1.3118276588183612E-3</v>
      </c>
      <c r="R1770">
        <v>3.5699473147281411E-3</v>
      </c>
      <c r="S1770">
        <v>0.47004974918105669</v>
      </c>
      <c r="T1770">
        <v>4.1185148227373505</v>
      </c>
      <c r="U1770">
        <v>0</v>
      </c>
      <c r="V1770">
        <v>1.1304767209823817E-2</v>
      </c>
      <c r="W1770">
        <v>0.19136607261262933</v>
      </c>
      <c r="X1770">
        <v>2.7156345492552251E-2</v>
      </c>
      <c r="Y1770">
        <v>1.0088943664005786E-2</v>
      </c>
    </row>
    <row r="1771" spans="1:25" x14ac:dyDescent="0.25">
      <c r="A1771" s="1093"/>
      <c r="B1771" s="1452">
        <v>1521</v>
      </c>
      <c r="C1771" s="1097">
        <v>0.99384596287107019</v>
      </c>
      <c r="D1771" s="1097">
        <v>0.9657773867997147</v>
      </c>
      <c r="E1771" s="1097">
        <v>1.0069069117961837</v>
      </c>
      <c r="F1771" s="1097">
        <v>1.0091913279497986</v>
      </c>
      <c r="G1771" s="1097">
        <v>1.0294399015805029</v>
      </c>
      <c r="H1771" s="1097">
        <v>0.97379739467435489</v>
      </c>
      <c r="I1771" s="1097">
        <v>1.0069912244778361</v>
      </c>
      <c r="K1771">
        <v>5.2282619543424866</v>
      </c>
      <c r="L1771">
        <v>0</v>
      </c>
      <c r="M1771">
        <v>3.5735361399114544E-3</v>
      </c>
      <c r="N1771">
        <v>0.31641713525455117</v>
      </c>
      <c r="O1771">
        <v>0.15259774425608447</v>
      </c>
      <c r="P1771">
        <v>2.062967515031737E-2</v>
      </c>
      <c r="Q1771">
        <v>1.337934520930256E-3</v>
      </c>
      <c r="R1771">
        <v>3.5675022260049562E-3</v>
      </c>
      <c r="S1771">
        <v>0.47032725713490298</v>
      </c>
      <c r="T1771">
        <v>4.0311794706130897</v>
      </c>
      <c r="U1771">
        <v>0</v>
      </c>
      <c r="V1771">
        <v>1.1304767209823824E-2</v>
      </c>
      <c r="W1771">
        <v>0.18760069289658673</v>
      </c>
      <c r="X1771">
        <v>2.6791277563500717E-2</v>
      </c>
      <c r="Y1771">
        <v>1.008203365660037E-2</v>
      </c>
    </row>
    <row r="1772" spans="1:25" x14ac:dyDescent="0.25">
      <c r="A1772" s="1093"/>
      <c r="B1772" s="1452">
        <v>1522</v>
      </c>
      <c r="C1772" s="1097">
        <v>0.99398508586213208</v>
      </c>
      <c r="D1772" s="1097">
        <v>0.98441652374257393</v>
      </c>
      <c r="E1772" s="1097">
        <v>1.0225395126694163</v>
      </c>
      <c r="F1772" s="1097">
        <v>1.0451608262663012</v>
      </c>
      <c r="G1772" s="1097">
        <v>0.96003427034142708</v>
      </c>
      <c r="H1772" s="1097">
        <v>1.003248111652838</v>
      </c>
      <c r="I1772" s="1097">
        <v>0.98069401368751363</v>
      </c>
      <c r="K1772">
        <v>5.416243445683989</v>
      </c>
      <c r="L1772">
        <v>0</v>
      </c>
      <c r="M1772">
        <v>3.6602579888727754E-3</v>
      </c>
      <c r="N1772">
        <v>0.33947958776256509</v>
      </c>
      <c r="O1772">
        <v>0.15635036745649708</v>
      </c>
      <c r="P1772">
        <v>2.1547621242615979E-2</v>
      </c>
      <c r="Q1772">
        <v>1.3452955089031831E-3</v>
      </c>
      <c r="R1772">
        <v>3.6544651980298807E-3</v>
      </c>
      <c r="S1772">
        <v>0.47558066789949827</v>
      </c>
      <c r="T1772">
        <v>4.1728212588823705</v>
      </c>
      <c r="U1772">
        <v>0</v>
      </c>
      <c r="V1772">
        <v>1.1304767209823817E-2</v>
      </c>
      <c r="W1772">
        <v>0.19917966428353651</v>
      </c>
      <c r="X1772">
        <v>2.8312210574167003E-2</v>
      </c>
      <c r="Y1772">
        <v>1.0327797654851638E-2</v>
      </c>
    </row>
    <row r="1773" spans="1:25" x14ac:dyDescent="0.25">
      <c r="A1773" s="1093"/>
      <c r="B1773" s="1452">
        <v>1523</v>
      </c>
      <c r="C1773" s="1097">
        <v>0.98147653575850358</v>
      </c>
      <c r="D1773" s="1097">
        <v>1.0045713351815724</v>
      </c>
      <c r="E1773" s="1097">
        <v>0.98265549017486742</v>
      </c>
      <c r="F1773" s="1097">
        <v>1.0013222636936201</v>
      </c>
      <c r="G1773" s="1097">
        <v>0.97330531758006611</v>
      </c>
      <c r="H1773" s="1097">
        <v>0.9721507140245369</v>
      </c>
      <c r="I1773" s="1097">
        <v>0.98223579792135451</v>
      </c>
      <c r="K1773">
        <v>5.1707051767756802</v>
      </c>
      <c r="L1773">
        <v>0</v>
      </c>
      <c r="M1773">
        <v>3.7130340963905913E-3</v>
      </c>
      <c r="N1773">
        <v>0.30596022172955412</v>
      </c>
      <c r="O1773">
        <v>0.1516071134126899</v>
      </c>
      <c r="P1773">
        <v>2.0074033951161051E-2</v>
      </c>
      <c r="Q1773">
        <v>1.3060983584541794E-3</v>
      </c>
      <c r="R1773">
        <v>3.70670474944326E-3</v>
      </c>
      <c r="S1773">
        <v>0.45766349124085659</v>
      </c>
      <c r="T1773">
        <v>4.0028031002437885</v>
      </c>
      <c r="U1773">
        <v>0</v>
      </c>
      <c r="V1773">
        <v>1.1304767209823827E-2</v>
      </c>
      <c r="W1773">
        <v>0.18440949210685392</v>
      </c>
      <c r="X1773">
        <v>2.5107757253995389E-2</v>
      </c>
      <c r="Y1773">
        <v>1.0475430615446929E-2</v>
      </c>
    </row>
    <row r="1774" spans="1:25" x14ac:dyDescent="0.25">
      <c r="A1774" s="1093"/>
      <c r="B1774" s="1452">
        <v>1524</v>
      </c>
      <c r="C1774" s="1097">
        <v>0.98956062283398072</v>
      </c>
      <c r="D1774" s="1097">
        <v>1.0005276848237152</v>
      </c>
      <c r="E1774" s="1097">
        <v>0.98154112807629101</v>
      </c>
      <c r="F1774" s="1097">
        <v>1.0061743149731444</v>
      </c>
      <c r="G1774" s="1097">
        <v>1.0402651296133634</v>
      </c>
      <c r="H1774" s="1097">
        <v>1.0103706480835095</v>
      </c>
      <c r="I1774" s="1097">
        <v>0.97468704099724457</v>
      </c>
      <c r="K1774">
        <v>5.2102237896525185</v>
      </c>
      <c r="L1774">
        <v>0</v>
      </c>
      <c r="M1774">
        <v>3.8612370125357259E-3</v>
      </c>
      <c r="N1774">
        <v>0.31714517811949733</v>
      </c>
      <c r="O1774">
        <v>0.15137269887817592</v>
      </c>
      <c r="P1774">
        <v>2.0153903880020654E-2</v>
      </c>
      <c r="Q1774">
        <v>1.2962672178942656E-3</v>
      </c>
      <c r="R1774">
        <v>3.8549345043220281E-3</v>
      </c>
      <c r="S1774">
        <v>0.45971013307988873</v>
      </c>
      <c r="T1774">
        <v>4.0223412165832864</v>
      </c>
      <c r="U1774">
        <v>0</v>
      </c>
      <c r="V1774">
        <v>1.1304767209823811E-2</v>
      </c>
      <c r="W1774">
        <v>0.19129671877620916</v>
      </c>
      <c r="X1774">
        <v>2.4714869196395286E-2</v>
      </c>
      <c r="Y1774">
        <v>1.0894339219540757E-2</v>
      </c>
    </row>
    <row r="1775" spans="1:25" x14ac:dyDescent="0.25">
      <c r="A1775" s="1093"/>
      <c r="B1775" s="1452">
        <v>1525</v>
      </c>
      <c r="C1775" s="1097">
        <v>1.0131172865499896</v>
      </c>
      <c r="D1775" s="1097">
        <v>1.0064573270219044</v>
      </c>
      <c r="E1775" s="1097">
        <v>0.96067963193234784</v>
      </c>
      <c r="F1775" s="1097">
        <v>0.99998199708323887</v>
      </c>
      <c r="G1775" s="1097">
        <v>0.99586526391135965</v>
      </c>
      <c r="H1775" s="1097">
        <v>1.0052043355998008</v>
      </c>
      <c r="I1775" s="1097">
        <v>0.99427082451685234</v>
      </c>
      <c r="K1775">
        <v>5.1514504027457892</v>
      </c>
      <c r="L1775">
        <v>0</v>
      </c>
      <c r="M1775">
        <v>3.8866236656451138E-3</v>
      </c>
      <c r="N1775">
        <v>0.30005023080022819</v>
      </c>
      <c r="O1775">
        <v>0.14716738852623942</v>
      </c>
      <c r="P1775">
        <v>1.9712772228111478E-2</v>
      </c>
      <c r="Q1775">
        <v>1.2403419437450667E-3</v>
      </c>
      <c r="R1775">
        <v>3.8802076941051415E-3</v>
      </c>
      <c r="S1775">
        <v>0.45419944470439733</v>
      </c>
      <c r="T1775">
        <v>4.0002410289939681</v>
      </c>
      <c r="U1775">
        <v>0</v>
      </c>
      <c r="V1775">
        <v>1.130476720982382E-2</v>
      </c>
      <c r="W1775">
        <v>0.18360670809894014</v>
      </c>
      <c r="X1775">
        <v>2.2968373028490245E-2</v>
      </c>
      <c r="Y1775">
        <v>1.0965763183384601E-2</v>
      </c>
    </row>
    <row r="1776" spans="1:25" x14ac:dyDescent="0.25">
      <c r="A1776" s="1093"/>
      <c r="B1776" s="1452">
        <v>1526</v>
      </c>
      <c r="C1776" s="1097">
        <v>0.97556763499338028</v>
      </c>
      <c r="D1776" s="1097">
        <v>0.98980201957496139</v>
      </c>
      <c r="E1776" s="1097">
        <v>1.0076703414701955</v>
      </c>
      <c r="F1776" s="1097">
        <v>1.0457246432316119</v>
      </c>
      <c r="G1776" s="1097">
        <v>0.98554395401888573</v>
      </c>
      <c r="H1776" s="1097">
        <v>1.0165057817704435</v>
      </c>
      <c r="I1776" s="1097">
        <v>1.0095099791510695</v>
      </c>
      <c r="K1776">
        <v>5.4606736128944435</v>
      </c>
      <c r="L1776">
        <v>0</v>
      </c>
      <c r="M1776">
        <v>3.892713742276678E-3</v>
      </c>
      <c r="N1776">
        <v>0.34550277283227693</v>
      </c>
      <c r="O1776">
        <v>0.1594860986016228</v>
      </c>
      <c r="P1776">
        <v>2.1449564515551921E-2</v>
      </c>
      <c r="Q1776">
        <v>1.3505506295599093E-3</v>
      </c>
      <c r="R1776">
        <v>3.886636685841033E-3</v>
      </c>
      <c r="S1776">
        <v>0.5011930693629757</v>
      </c>
      <c r="T1776">
        <v>4.1770106314531406</v>
      </c>
      <c r="U1776">
        <v>0</v>
      </c>
      <c r="V1776">
        <v>1.1304767209823824E-2</v>
      </c>
      <c r="W1776">
        <v>0.20474014058291157</v>
      </c>
      <c r="X1776">
        <v>2.7658162758151417E-2</v>
      </c>
      <c r="Y1776">
        <v>1.0983932004860529E-2</v>
      </c>
    </row>
    <row r="1777" spans="1:25" x14ac:dyDescent="0.25">
      <c r="A1777" s="1093"/>
      <c r="B1777" s="1452">
        <v>1527</v>
      </c>
      <c r="C1777" s="1097">
        <v>0.96481581686469453</v>
      </c>
      <c r="D1777" s="1097">
        <v>0.9951098819928762</v>
      </c>
      <c r="E1777" s="1097">
        <v>1.0266775903614629</v>
      </c>
      <c r="F1777" s="1097">
        <v>0.9585565330661866</v>
      </c>
      <c r="G1777" s="1097">
        <v>1.0212139476155726</v>
      </c>
      <c r="H1777" s="1097">
        <v>1.0127454602274861</v>
      </c>
      <c r="I1777" s="1097">
        <v>0.9911679236091504</v>
      </c>
      <c r="K1777">
        <v>5.0168213883832262</v>
      </c>
      <c r="L1777">
        <v>0</v>
      </c>
      <c r="M1777">
        <v>3.4463573408104677E-3</v>
      </c>
      <c r="N1777">
        <v>0.32353584462493967</v>
      </c>
      <c r="O1777">
        <v>0.14697834329793788</v>
      </c>
      <c r="P1777">
        <v>1.9940837216431962E-2</v>
      </c>
      <c r="Q1777">
        <v>1.3848177656583483E-3</v>
      </c>
      <c r="R1777">
        <v>3.4404669026804791E-3</v>
      </c>
      <c r="S1777">
        <v>0.46136801061230109</v>
      </c>
      <c r="T1777">
        <v>3.8265600083354872</v>
      </c>
      <c r="U1777">
        <v>0</v>
      </c>
      <c r="V1777">
        <v>1.1304767209823815E-2</v>
      </c>
      <c r="W1777">
        <v>0.18930371653396036</v>
      </c>
      <c r="X1777">
        <v>2.6727911090620074E-2</v>
      </c>
      <c r="Y1777">
        <v>9.7230221341972727E-3</v>
      </c>
    </row>
    <row r="1778" spans="1:25" x14ac:dyDescent="0.25">
      <c r="A1778" s="1093"/>
      <c r="B1778" s="1452">
        <v>1528</v>
      </c>
      <c r="C1778" s="1097">
        <v>0.97804943902844765</v>
      </c>
      <c r="D1778" s="1097">
        <v>1.0197213240016365</v>
      </c>
      <c r="E1778" s="1097">
        <v>0.98853162570074304</v>
      </c>
      <c r="F1778" s="1097">
        <v>1.0340973281146897</v>
      </c>
      <c r="G1778" s="1097">
        <v>0.98650027157509523</v>
      </c>
      <c r="H1778" s="1097">
        <v>0.98126949283436726</v>
      </c>
      <c r="I1778" s="1097">
        <v>0.96857202636373896</v>
      </c>
      <c r="K1778">
        <v>5.3367790297549487</v>
      </c>
      <c r="L1778">
        <v>0</v>
      </c>
      <c r="M1778">
        <v>3.8133354089286845E-3</v>
      </c>
      <c r="N1778">
        <v>0.31977216261926156</v>
      </c>
      <c r="O1778">
        <v>0.15600866028167709</v>
      </c>
      <c r="P1778">
        <v>2.0786852835964112E-2</v>
      </c>
      <c r="Q1778">
        <v>1.3094894450613257E-3</v>
      </c>
      <c r="R1778">
        <v>3.8070992734576554E-3</v>
      </c>
      <c r="S1778">
        <v>0.46569828270467795</v>
      </c>
      <c r="T1778">
        <v>4.1330539082442801</v>
      </c>
      <c r="U1778">
        <v>0</v>
      </c>
      <c r="V1778">
        <v>1.1304767209823804E-2</v>
      </c>
      <c r="W1778">
        <v>0.19196284191111113</v>
      </c>
      <c r="X1778">
        <v>2.6129147433493184E-2</v>
      </c>
      <c r="Y1778">
        <v>1.0759153205070931E-2</v>
      </c>
    </row>
    <row r="1779" spans="1:25" x14ac:dyDescent="0.25">
      <c r="A1779" s="1093"/>
      <c r="B1779" s="1452">
        <v>1529</v>
      </c>
      <c r="C1779" s="1097">
        <v>0.9835409353497675</v>
      </c>
      <c r="D1779" s="1097">
        <v>1.0040378243253494</v>
      </c>
      <c r="E1779" s="1097">
        <v>1.0391024549878891</v>
      </c>
      <c r="F1779" s="1097">
        <v>0.98677669742582519</v>
      </c>
      <c r="G1779" s="1097">
        <v>1.0233275258982091</v>
      </c>
      <c r="H1779" s="1097">
        <v>1.0119176549461446</v>
      </c>
      <c r="I1779" s="1097">
        <v>0.99736393774101884</v>
      </c>
      <c r="K1779">
        <v>5.1409286850957221</v>
      </c>
      <c r="L1779">
        <v>0</v>
      </c>
      <c r="M1779">
        <v>3.3749308940704344E-3</v>
      </c>
      <c r="N1779">
        <v>0.32869799841996672</v>
      </c>
      <c r="O1779">
        <v>0.14754894477967889</v>
      </c>
      <c r="P1779">
        <v>2.0660973458831281E-2</v>
      </c>
      <c r="Q1779">
        <v>1.3677984990414342E-3</v>
      </c>
      <c r="R1779">
        <v>3.369322640327025E-3</v>
      </c>
      <c r="S1779">
        <v>0.4655920140615572</v>
      </c>
      <c r="T1779">
        <v>3.9376995566540196</v>
      </c>
      <c r="U1779">
        <v>0</v>
      </c>
      <c r="V1779">
        <v>1.1304767209823825E-2</v>
      </c>
      <c r="W1779">
        <v>0.19075102893035414</v>
      </c>
      <c r="X1779">
        <v>2.7789248319007233E-2</v>
      </c>
      <c r="Y1779">
        <v>9.5219630171789246E-3</v>
      </c>
    </row>
    <row r="1780" spans="1:25" x14ac:dyDescent="0.25">
      <c r="A1780" s="1093"/>
      <c r="B1780" s="1452">
        <v>1530</v>
      </c>
      <c r="C1780" s="1097">
        <v>0.97274997502616256</v>
      </c>
      <c r="D1780" s="1097">
        <v>1.0221785838817967</v>
      </c>
      <c r="E1780" s="1097">
        <v>1.0038760785513836</v>
      </c>
      <c r="F1780" s="1097">
        <v>0.99154800866744219</v>
      </c>
      <c r="G1780" s="1097">
        <v>1.0019811714183571</v>
      </c>
      <c r="H1780" s="1097">
        <v>0.97247955014076393</v>
      </c>
      <c r="I1780" s="1097">
        <v>0.99242210995573577</v>
      </c>
      <c r="K1780">
        <v>5.134118907563189</v>
      </c>
      <c r="L1780">
        <v>0</v>
      </c>
      <c r="M1780">
        <v>3.5244814588422319E-3</v>
      </c>
      <c r="N1780">
        <v>0.30927475356415829</v>
      </c>
      <c r="O1780">
        <v>0.14982817134730031</v>
      </c>
      <c r="P1780">
        <v>2.0222244473776178E-2</v>
      </c>
      <c r="Q1780">
        <v>1.3328110488363969E-3</v>
      </c>
      <c r="R1780">
        <v>3.5184164512506409E-3</v>
      </c>
      <c r="S1780">
        <v>0.46125927837701547</v>
      </c>
      <c r="T1780">
        <v>3.9610802048771179</v>
      </c>
      <c r="U1780">
        <v>0</v>
      </c>
      <c r="V1780">
        <v>1.1304767209823817E-2</v>
      </c>
      <c r="W1780">
        <v>0.18374067309952433</v>
      </c>
      <c r="X1780">
        <v>2.6138755063603764E-2</v>
      </c>
      <c r="Y1780">
        <v>9.9433135096230526E-3</v>
      </c>
    </row>
    <row r="1781" spans="1:25" x14ac:dyDescent="0.25">
      <c r="A1781" s="1093"/>
      <c r="B1781" s="1452">
        <v>1531</v>
      </c>
      <c r="C1781" s="1097">
        <v>1.0133698006242045</v>
      </c>
      <c r="D1781" s="1097">
        <v>1.0052988257664832</v>
      </c>
      <c r="E1781" s="1097">
        <v>0.98871126475274118</v>
      </c>
      <c r="F1781" s="1097">
        <v>0.99226127264409147</v>
      </c>
      <c r="G1781" s="1097">
        <v>1.0353733495589925</v>
      </c>
      <c r="H1781" s="1097">
        <v>1.0322924598502463</v>
      </c>
      <c r="I1781" s="1097">
        <v>1.0311516788087614</v>
      </c>
      <c r="K1781">
        <v>5.1531086853877213</v>
      </c>
      <c r="L1781">
        <v>0</v>
      </c>
      <c r="M1781">
        <v>3.7352256897915468E-3</v>
      </c>
      <c r="N1781">
        <v>0.31339390658087957</v>
      </c>
      <c r="O1781">
        <v>0.145300167368628</v>
      </c>
      <c r="P1781">
        <v>2.0068925984683794E-2</v>
      </c>
      <c r="Q1781">
        <v>1.2712668780771991E-3</v>
      </c>
      <c r="R1781">
        <v>3.7291748045483659E-3</v>
      </c>
      <c r="S1781">
        <v>0.47309965946643551</v>
      </c>
      <c r="T1781">
        <v>3.9658221262107154</v>
      </c>
      <c r="U1781">
        <v>0</v>
      </c>
      <c r="V1781">
        <v>1.1304767209823803E-2</v>
      </c>
      <c r="W1781">
        <v>0.18811088489300987</v>
      </c>
      <c r="X1781">
        <v>2.4204098974033198E-2</v>
      </c>
      <c r="Y1781">
        <v>1.0538932706681511E-2</v>
      </c>
    </row>
    <row r="1782" spans="1:25" x14ac:dyDescent="0.25">
      <c r="A1782" s="1093"/>
      <c r="B1782" s="1452">
        <v>1532</v>
      </c>
      <c r="C1782" s="1097">
        <v>0.97577111099789882</v>
      </c>
      <c r="D1782" s="1097">
        <v>1.012852268857531</v>
      </c>
      <c r="E1782" s="1097">
        <v>1.0153992160456025</v>
      </c>
      <c r="F1782" s="1097">
        <v>1.0095274318788972</v>
      </c>
      <c r="G1782" s="1097">
        <v>1.0294194044767353</v>
      </c>
      <c r="H1782" s="1097">
        <v>1.0212982783272384</v>
      </c>
      <c r="I1782" s="1097">
        <v>1.0102030319043633</v>
      </c>
      <c r="K1782">
        <v>5.2712766463165188</v>
      </c>
      <c r="L1782">
        <v>0</v>
      </c>
      <c r="M1782">
        <v>3.6800161188310656E-3</v>
      </c>
      <c r="N1782">
        <v>0.33416795104132868</v>
      </c>
      <c r="O1782">
        <v>0.15230102777867988</v>
      </c>
      <c r="P1782">
        <v>2.0830549050944884E-2</v>
      </c>
      <c r="Q1782">
        <v>1.34671872046756E-3</v>
      </c>
      <c r="R1782">
        <v>3.6740933840796724E-3</v>
      </c>
      <c r="S1782">
        <v>0.48551622047482446</v>
      </c>
      <c r="T1782">
        <v>4.0314512908783415</v>
      </c>
      <c r="U1782">
        <v>0</v>
      </c>
      <c r="V1782">
        <v>1.1304767209823827E-2</v>
      </c>
      <c r="W1782">
        <v>0.19699956566882196</v>
      </c>
      <c r="X1782">
        <v>2.6981209820862721E-2</v>
      </c>
      <c r="Y1782">
        <v>1.0383268407169468E-2</v>
      </c>
    </row>
    <row r="1783" spans="1:25" x14ac:dyDescent="0.25">
      <c r="A1783" s="1093"/>
      <c r="B1783" s="1452">
        <v>1533</v>
      </c>
      <c r="C1783" s="1097">
        <v>1.034267181765461</v>
      </c>
      <c r="D1783" s="1097">
        <v>1.0448274769441221</v>
      </c>
      <c r="E1783" s="1097">
        <v>0.97388724211198641</v>
      </c>
      <c r="F1783" s="1097">
        <v>1.036677571785859</v>
      </c>
      <c r="G1783" s="1097">
        <v>0.95920547163628</v>
      </c>
      <c r="H1783" s="1097">
        <v>1.0182503912561029</v>
      </c>
      <c r="I1783" s="1097">
        <v>1.0305049197912854</v>
      </c>
      <c r="K1783">
        <v>5.3285383826344264</v>
      </c>
      <c r="L1783">
        <v>0</v>
      </c>
      <c r="M1783">
        <v>3.8309713465336033E-3</v>
      </c>
      <c r="N1783">
        <v>0.30761071025298137</v>
      </c>
      <c r="O1783">
        <v>0.14686626755459034</v>
      </c>
      <c r="P1783">
        <v>2.0650767912838153E-2</v>
      </c>
      <c r="Q1783">
        <v>1.2108446324977458E-3</v>
      </c>
      <c r="R1783">
        <v>3.8249489049257688E-3</v>
      </c>
      <c r="S1783">
        <v>0.47442599598306412</v>
      </c>
      <c r="T1783">
        <v>4.14528943587956</v>
      </c>
      <c r="U1783">
        <v>0</v>
      </c>
      <c r="V1783">
        <v>1.1304767209823818E-2</v>
      </c>
      <c r="W1783">
        <v>0.18652275582469605</v>
      </c>
      <c r="X1783">
        <v>2.3853262199624345E-2</v>
      </c>
      <c r="Y1783">
        <v>1.0809597626354717E-2</v>
      </c>
    </row>
    <row r="1784" spans="1:25" x14ac:dyDescent="0.25">
      <c r="A1784" s="1093"/>
      <c r="B1784" s="1452">
        <v>1534</v>
      </c>
      <c r="C1784" s="1097">
        <v>0.95938483711554989</v>
      </c>
      <c r="D1784" s="1097">
        <v>0.9784430877898066</v>
      </c>
      <c r="E1784" s="1097">
        <v>0.99075648682136042</v>
      </c>
      <c r="F1784" s="1097">
        <v>1.027222687996945</v>
      </c>
      <c r="G1784" s="1097">
        <v>1.0208776627521243</v>
      </c>
      <c r="H1784" s="1097">
        <v>0.97321866287683612</v>
      </c>
      <c r="I1784" s="1097">
        <v>1.0031531276878556</v>
      </c>
      <c r="K1784">
        <v>5.3516057920527862</v>
      </c>
      <c r="L1784">
        <v>0</v>
      </c>
      <c r="M1784">
        <v>3.875696461437551E-3</v>
      </c>
      <c r="N1784">
        <v>0.32714468781244582</v>
      </c>
      <c r="O1784">
        <v>0.16055261084866612</v>
      </c>
      <c r="P1784">
        <v>2.0811628184703185E-2</v>
      </c>
      <c r="Q1784">
        <v>1.3598215383357601E-3</v>
      </c>
      <c r="R1784">
        <v>3.869263213213348E-3</v>
      </c>
      <c r="S1784">
        <v>0.49122727128666815</v>
      </c>
      <c r="T1784">
        <v>4.1052891836438983</v>
      </c>
      <c r="U1784">
        <v>0</v>
      </c>
      <c r="V1784">
        <v>1.1304767209823806E-2</v>
      </c>
      <c r="W1784">
        <v>0.1960914772158629</v>
      </c>
      <c r="X1784">
        <v>2.6895944315793618E-2</v>
      </c>
      <c r="Y1784">
        <v>1.0934833244812802E-2</v>
      </c>
    </row>
    <row r="1785" spans="1:25" x14ac:dyDescent="0.25">
      <c r="A1785" s="1093"/>
      <c r="B1785" s="1452">
        <v>1535</v>
      </c>
      <c r="C1785" s="1097">
        <v>1.0008466533044402</v>
      </c>
      <c r="D1785" s="1097">
        <v>0.9875315324452566</v>
      </c>
      <c r="E1785" s="1097">
        <v>1.029303400041337</v>
      </c>
      <c r="F1785" s="1097">
        <v>1.018434022810403</v>
      </c>
      <c r="G1785" s="1097">
        <v>1.0417979561562891</v>
      </c>
      <c r="H1785" s="1097">
        <v>0.95128080925675895</v>
      </c>
      <c r="I1785" s="1097">
        <v>1.0148573316393665</v>
      </c>
      <c r="K1785">
        <v>5.2509188136807516</v>
      </c>
      <c r="L1785">
        <v>0</v>
      </c>
      <c r="M1785">
        <v>3.3069896800889771E-3</v>
      </c>
      <c r="N1785">
        <v>0.31287096077741627</v>
      </c>
      <c r="O1785">
        <v>0.1509240030527001</v>
      </c>
      <c r="P1785">
        <v>2.1118257206100385E-2</v>
      </c>
      <c r="Q1785">
        <v>1.3420158918952764E-3</v>
      </c>
      <c r="R1785">
        <v>3.3013254519869174E-3</v>
      </c>
      <c r="S1785">
        <v>0.46783911951678547</v>
      </c>
      <c r="T1785">
        <v>4.0652597768552692</v>
      </c>
      <c r="U1785">
        <v>0</v>
      </c>
      <c r="V1785">
        <v>1.1304767209823804E-2</v>
      </c>
      <c r="W1785">
        <v>0.18274507959412498</v>
      </c>
      <c r="X1785">
        <v>2.8190700033148604E-2</v>
      </c>
      <c r="Y1785">
        <v>9.3297977715900357E-3</v>
      </c>
    </row>
    <row r="1786" spans="1:25" x14ac:dyDescent="0.25">
      <c r="A1786" s="1093"/>
      <c r="B1786" s="1452">
        <v>1536</v>
      </c>
      <c r="C1786" s="1097">
        <v>1.0047038804154982</v>
      </c>
      <c r="D1786" s="1097">
        <v>1.0316568854427077</v>
      </c>
      <c r="E1786" s="1097">
        <v>1.0064431732640831</v>
      </c>
      <c r="F1786" s="1097">
        <v>0.99313682009933613</v>
      </c>
      <c r="G1786" s="1097">
        <v>0.9982302349414548</v>
      </c>
      <c r="H1786" s="1097">
        <v>1.0261600355726357</v>
      </c>
      <c r="I1786" s="1097">
        <v>1.0064322171818361</v>
      </c>
      <c r="K1786">
        <v>5.1460686004972436</v>
      </c>
      <c r="L1786">
        <v>0</v>
      </c>
      <c r="M1786">
        <v>3.5738313304531735E-3</v>
      </c>
      <c r="N1786">
        <v>0.31602806810352269</v>
      </c>
      <c r="O1786">
        <v>0.1446902329295866</v>
      </c>
      <c r="P1786">
        <v>2.0294404852048961E-2</v>
      </c>
      <c r="Q1786">
        <v>1.2884889073385588E-3</v>
      </c>
      <c r="R1786">
        <v>3.568012423978023E-3</v>
      </c>
      <c r="S1786">
        <v>0.4625833812934978</v>
      </c>
      <c r="T1786">
        <v>3.9671079427957787</v>
      </c>
      <c r="U1786">
        <v>0</v>
      </c>
      <c r="V1786">
        <v>1.1304767209823824E-2</v>
      </c>
      <c r="W1786">
        <v>0.18742848984777735</v>
      </c>
      <c r="X1786">
        <v>2.5265167949316693E-2</v>
      </c>
      <c r="Y1786">
        <v>1.0083475515024028E-2</v>
      </c>
    </row>
    <row r="1787" spans="1:25" x14ac:dyDescent="0.25">
      <c r="A1787" s="1093"/>
      <c r="B1787" s="1452">
        <v>1537</v>
      </c>
      <c r="C1787" s="1097">
        <v>0.99794946843691457</v>
      </c>
      <c r="D1787" s="1097">
        <v>0.96852094073037909</v>
      </c>
      <c r="E1787" s="1097">
        <v>1.0182722675820965</v>
      </c>
      <c r="F1787" s="1097">
        <v>0.97500153564226955</v>
      </c>
      <c r="G1787" s="1097">
        <v>1.0226412975332806</v>
      </c>
      <c r="H1787" s="1097">
        <v>1.0310512780157755</v>
      </c>
      <c r="I1787" s="1097">
        <v>1.0025662512547049</v>
      </c>
      <c r="K1787">
        <v>5.0884268760377145</v>
      </c>
      <c r="L1787">
        <v>0</v>
      </c>
      <c r="M1787">
        <v>3.5503374353127405E-3</v>
      </c>
      <c r="N1787">
        <v>0.32513164946078071</v>
      </c>
      <c r="O1787">
        <v>0.14634214083010694</v>
      </c>
      <c r="P1787">
        <v>2.0136044044827328E-2</v>
      </c>
      <c r="Q1787">
        <v>1.3438448260834081E-3</v>
      </c>
      <c r="R1787">
        <v>3.5444773751314071E-3</v>
      </c>
      <c r="S1787">
        <v>0.46353955406834502</v>
      </c>
      <c r="T1787">
        <v>3.8932265147235663</v>
      </c>
      <c r="U1787">
        <v>0</v>
      </c>
      <c r="V1787">
        <v>1.1304767209823811E-2</v>
      </c>
      <c r="W1787">
        <v>0.19130483934682085</v>
      </c>
      <c r="X1787">
        <v>2.6086417917372956E-2</v>
      </c>
      <c r="Y1787">
        <v>1.0016963670167517E-2</v>
      </c>
    </row>
    <row r="1788" spans="1:25" x14ac:dyDescent="0.25">
      <c r="A1788" s="1093"/>
      <c r="B1788" s="1452">
        <v>1538</v>
      </c>
      <c r="C1788" s="1097">
        <v>0.97693544687182388</v>
      </c>
      <c r="D1788" s="1097">
        <v>1.0118050036366</v>
      </c>
      <c r="E1788" s="1097">
        <v>1.0052070228252641</v>
      </c>
      <c r="F1788" s="1097">
        <v>0.99548279108287474</v>
      </c>
      <c r="G1788" s="1097">
        <v>0.98279913930370644</v>
      </c>
      <c r="H1788" s="1097">
        <v>1.0089500657897459</v>
      </c>
      <c r="I1788" s="1097">
        <v>0.97307680642613936</v>
      </c>
      <c r="K1788">
        <v>5.1696130084325809</v>
      </c>
      <c r="L1788">
        <v>0</v>
      </c>
      <c r="M1788">
        <v>3.660081687418229E-3</v>
      </c>
      <c r="N1788">
        <v>0.32246457091882608</v>
      </c>
      <c r="O1788">
        <v>0.15035307214263535</v>
      </c>
      <c r="P1788">
        <v>2.0305013629137086E-2</v>
      </c>
      <c r="Q1788">
        <v>1.3340431604244424E-3</v>
      </c>
      <c r="R1788">
        <v>3.6540349575970342E-3</v>
      </c>
      <c r="S1788">
        <v>0.45945678133710804</v>
      </c>
      <c r="T1788">
        <v>3.9766330555845233</v>
      </c>
      <c r="U1788">
        <v>0</v>
      </c>
      <c r="V1788">
        <v>1.1304767209823806E-2</v>
      </c>
      <c r="W1788">
        <v>0.19140504058063218</v>
      </c>
      <c r="X1788">
        <v>2.6036128836752707E-2</v>
      </c>
      <c r="Y1788">
        <v>1.0326581762541113E-2</v>
      </c>
    </row>
    <row r="1789" spans="1:25" x14ac:dyDescent="0.25">
      <c r="A1789" s="1093"/>
      <c r="B1789" s="1452">
        <v>1539</v>
      </c>
      <c r="C1789" s="1097">
        <v>1.0158131687641936</v>
      </c>
      <c r="D1789" s="1097">
        <v>0.99528245171970198</v>
      </c>
      <c r="E1789" s="1097">
        <v>0.99045784319749319</v>
      </c>
      <c r="F1789" s="1097">
        <v>1.0056042524245499</v>
      </c>
      <c r="G1789" s="1097">
        <v>0.97928398625837865</v>
      </c>
      <c r="H1789" s="1097">
        <v>0.98228611612672878</v>
      </c>
      <c r="I1789" s="1097">
        <v>1.0289143961103473</v>
      </c>
      <c r="K1789">
        <v>5.1869468788172455</v>
      </c>
      <c r="L1789">
        <v>0</v>
      </c>
      <c r="M1789">
        <v>3.5945319902201548E-3</v>
      </c>
      <c r="N1789">
        <v>0.30313718847329285</v>
      </c>
      <c r="O1789">
        <v>0.14744119837088565</v>
      </c>
      <c r="P1789">
        <v>2.0310462113816305E-2</v>
      </c>
      <c r="Q1789">
        <v>1.2752190536217823E-3</v>
      </c>
      <c r="R1789">
        <v>3.5884936476514549E-3</v>
      </c>
      <c r="S1789">
        <v>0.46763994949238324</v>
      </c>
      <c r="T1789">
        <v>4.0189291103152422</v>
      </c>
      <c r="U1789">
        <v>0</v>
      </c>
      <c r="V1789">
        <v>1.1304767209823798E-2</v>
      </c>
      <c r="W1789">
        <v>0.18173822641000995</v>
      </c>
      <c r="X1789">
        <v>2.5035438703950402E-2</v>
      </c>
      <c r="Y1789">
        <v>1.0141357016792604E-2</v>
      </c>
    </row>
    <row r="1790" spans="1:25" x14ac:dyDescent="0.25">
      <c r="A1790" s="1093"/>
      <c r="B1790" s="1452">
        <v>1540</v>
      </c>
      <c r="C1790" s="1097">
        <v>0.96125694129574335</v>
      </c>
      <c r="D1790" s="1097">
        <v>0.99642435693079745</v>
      </c>
      <c r="E1790" s="1097">
        <v>0.97587471353096167</v>
      </c>
      <c r="F1790" s="1097">
        <v>1.0284883664100615</v>
      </c>
      <c r="G1790" s="1097">
        <v>1.0210850301206764</v>
      </c>
      <c r="H1790" s="1097">
        <v>1.0072360423893763</v>
      </c>
      <c r="I1790" s="1097">
        <v>1.0270431364490122</v>
      </c>
      <c r="K1790">
        <v>5.3825500269927655</v>
      </c>
      <c r="L1790">
        <v>0</v>
      </c>
      <c r="M1790">
        <v>4.1055334863860761E-3</v>
      </c>
      <c r="N1790">
        <v>0.33159762937471327</v>
      </c>
      <c r="O1790">
        <v>0.15971659984102157</v>
      </c>
      <c r="P1790">
        <v>2.068339818904175E-2</v>
      </c>
      <c r="Q1790">
        <v>1.3300668524527763E-3</v>
      </c>
      <c r="R1790">
        <v>4.0989569776024408E-3</v>
      </c>
      <c r="S1790">
        <v>0.50771118421620087</v>
      </c>
      <c r="T1790">
        <v>4.112284177095213</v>
      </c>
      <c r="U1790">
        <v>0</v>
      </c>
      <c r="V1790">
        <v>1.1304767209823817E-2</v>
      </c>
      <c r="W1790">
        <v>0.20079289841706055</v>
      </c>
      <c r="X1790">
        <v>2.5551916946751952E-2</v>
      </c>
      <c r="Y1790">
        <v>1.1583965359265714E-2</v>
      </c>
    </row>
    <row r="1791" spans="1:25" x14ac:dyDescent="0.25">
      <c r="A1791" s="1093"/>
      <c r="B1791" s="1452">
        <v>1541</v>
      </c>
      <c r="C1791" s="1097">
        <v>1.007284077969163</v>
      </c>
      <c r="D1791" s="1097">
        <v>0.98284728206190297</v>
      </c>
      <c r="E1791" s="1097">
        <v>1.0157903934060983</v>
      </c>
      <c r="F1791" s="1097">
        <v>0.97285094793139559</v>
      </c>
      <c r="G1791" s="1097">
        <v>1.0280916568029641</v>
      </c>
      <c r="H1791" s="1097">
        <v>1.0290255184717692</v>
      </c>
      <c r="I1791" s="1097">
        <v>0.98149138218110288</v>
      </c>
      <c r="K1791">
        <v>5.0497252089135021</v>
      </c>
      <c r="L1791">
        <v>0</v>
      </c>
      <c r="M1791">
        <v>3.5005779160386234E-3</v>
      </c>
      <c r="N1791">
        <v>0.31822677322955328</v>
      </c>
      <c r="O1791">
        <v>0.14388617285807018</v>
      </c>
      <c r="P1791">
        <v>1.9985370498415766E-2</v>
      </c>
      <c r="Q1791">
        <v>1.3208122012543448E-3</v>
      </c>
      <c r="R1791">
        <v>3.4947758365734042E-3</v>
      </c>
      <c r="S1791">
        <v>0.4470540667053382</v>
      </c>
      <c r="T1791">
        <v>3.8849398296706372</v>
      </c>
      <c r="U1791">
        <v>0</v>
      </c>
      <c r="V1791">
        <v>1.1304767209823815E-2</v>
      </c>
      <c r="W1791">
        <v>0.18755280880135342</v>
      </c>
      <c r="X1791">
        <v>2.5583906490849875E-2</v>
      </c>
      <c r="Y1791">
        <v>9.8765033276696328E-3</v>
      </c>
    </row>
    <row r="1792" spans="1:25" x14ac:dyDescent="0.25">
      <c r="A1792" s="1093"/>
      <c r="B1792" s="1452">
        <v>1542</v>
      </c>
      <c r="C1792" s="1097">
        <v>1.0229405136258802</v>
      </c>
      <c r="D1792" s="1097">
        <v>1.0126545413514851</v>
      </c>
      <c r="E1792" s="1097">
        <v>1.0256017645812459</v>
      </c>
      <c r="F1792" s="1097">
        <v>1.0152713275406182</v>
      </c>
      <c r="G1792" s="1097">
        <v>1.0175410687255417</v>
      </c>
      <c r="H1792" s="1097">
        <v>1.0112094820469599</v>
      </c>
      <c r="I1792" s="1097">
        <v>0.98673887324677334</v>
      </c>
      <c r="K1792">
        <v>5.2293201518310584</v>
      </c>
      <c r="L1792">
        <v>0</v>
      </c>
      <c r="M1792">
        <v>3.4211278959188599E-3</v>
      </c>
      <c r="N1792">
        <v>0.32017698604724804</v>
      </c>
      <c r="O1792">
        <v>0.14583566984632093</v>
      </c>
      <c r="P1792">
        <v>2.0934981270921343E-2</v>
      </c>
      <c r="Q1792">
        <v>1.2958559073902112E-3</v>
      </c>
      <c r="R1792">
        <v>3.4155983001921721E-3</v>
      </c>
      <c r="S1792">
        <v>0.45271289282211896</v>
      </c>
      <c r="T1792">
        <v>4.0531010485774042</v>
      </c>
      <c r="U1792">
        <v>0</v>
      </c>
      <c r="V1792">
        <v>1.1304767209823817E-2</v>
      </c>
      <c r="W1792">
        <v>0.18747229731374246</v>
      </c>
      <c r="X1792">
        <v>2.6838440866878793E-2</v>
      </c>
      <c r="Y1792">
        <v>9.6527415649373342E-3</v>
      </c>
    </row>
    <row r="1793" spans="1:25" x14ac:dyDescent="0.25">
      <c r="A1793" s="1093"/>
      <c r="B1793" s="1452">
        <v>1543</v>
      </c>
      <c r="C1793" s="1097">
        <v>0.99268766385743312</v>
      </c>
      <c r="D1793" s="1097">
        <v>1.016462202304121</v>
      </c>
      <c r="E1793" s="1097">
        <v>1.0120135506842416</v>
      </c>
      <c r="F1793" s="1097">
        <v>1.0123867488715603</v>
      </c>
      <c r="G1793" s="1097">
        <v>1.0013062658212584</v>
      </c>
      <c r="H1793" s="1097">
        <v>1.0214371577452688</v>
      </c>
      <c r="I1793" s="1097">
        <v>0.95979758665036152</v>
      </c>
      <c r="K1793">
        <v>5.2394195546769495</v>
      </c>
      <c r="L1793">
        <v>0</v>
      </c>
      <c r="M1793">
        <v>3.6488447448776045E-3</v>
      </c>
      <c r="N1793">
        <v>0.32803507166204643</v>
      </c>
      <c r="O1793">
        <v>0.15001166043678785</v>
      </c>
      <c r="P1793">
        <v>2.0689379100292546E-2</v>
      </c>
      <c r="Q1793">
        <v>1.3180896409331088E-3</v>
      </c>
      <c r="R1793">
        <v>3.6429895334312017E-3</v>
      </c>
      <c r="S1793">
        <v>0.45422048245460656</v>
      </c>
      <c r="T1793">
        <v>4.0432972650887553</v>
      </c>
      <c r="U1793">
        <v>0</v>
      </c>
      <c r="V1793">
        <v>1.1304767209823813E-2</v>
      </c>
      <c r="W1793">
        <v>0.1938230204201937</v>
      </c>
      <c r="X1793">
        <v>2.6430307324382375E-2</v>
      </c>
      <c r="Y1793">
        <v>1.0295366550570227E-2</v>
      </c>
    </row>
    <row r="1794" spans="1:25" x14ac:dyDescent="0.25">
      <c r="A1794" s="1093"/>
      <c r="B1794" s="1452">
        <v>1544</v>
      </c>
      <c r="C1794" s="1097">
        <v>1.0036071917884801</v>
      </c>
      <c r="D1794" s="1097">
        <v>1.0251137020448162</v>
      </c>
      <c r="E1794" s="1097">
        <v>1.012595646129739</v>
      </c>
      <c r="F1794" s="1097">
        <v>0.98940112227691279</v>
      </c>
      <c r="G1794" s="1097">
        <v>0.97200315583311259</v>
      </c>
      <c r="H1794" s="1097">
        <v>0.97256536216576395</v>
      </c>
      <c r="I1794" s="1097">
        <v>0.99965708166333067</v>
      </c>
      <c r="K1794">
        <v>5.0922799961236596</v>
      </c>
      <c r="L1794">
        <v>0</v>
      </c>
      <c r="M1794">
        <v>3.3430907472182378E-3</v>
      </c>
      <c r="N1794">
        <v>0.30102969247341804</v>
      </c>
      <c r="O1794">
        <v>0.14450403183826507</v>
      </c>
      <c r="P1794">
        <v>2.0253879155251973E-2</v>
      </c>
      <c r="Q1794">
        <v>1.2999793559227389E-3</v>
      </c>
      <c r="R1794">
        <v>3.3373259274437953E-3</v>
      </c>
      <c r="S1794">
        <v>0.44928882369044382</v>
      </c>
      <c r="T1794">
        <v>3.9514247651679573</v>
      </c>
      <c r="U1794">
        <v>0</v>
      </c>
      <c r="V1794">
        <v>1.1304767209823813E-2</v>
      </c>
      <c r="W1794">
        <v>0.17779722170031295</v>
      </c>
      <c r="X1794">
        <v>2.5951062488299762E-2</v>
      </c>
      <c r="Y1794">
        <v>9.4315378637374516E-3</v>
      </c>
    </row>
    <row r="1795" spans="1:25" x14ac:dyDescent="0.25">
      <c r="A1795" s="1093"/>
      <c r="B1795" s="1452">
        <v>1545</v>
      </c>
      <c r="C1795" s="1097">
        <v>0.98814370357052184</v>
      </c>
      <c r="D1795" s="1097">
        <v>0.97904004147105494</v>
      </c>
      <c r="E1795" s="1097">
        <v>0.98087646935202255</v>
      </c>
      <c r="F1795" s="1097">
        <v>0.98886751676894613</v>
      </c>
      <c r="G1795" s="1097">
        <v>0.9784407810564435</v>
      </c>
      <c r="H1795" s="1097">
        <v>1.00262545190305</v>
      </c>
      <c r="I1795" s="1097">
        <v>0.9886489545666538</v>
      </c>
      <c r="K1795">
        <v>5.1327199580085221</v>
      </c>
      <c r="L1795">
        <v>0</v>
      </c>
      <c r="M1795">
        <v>3.8094453502534333E-3</v>
      </c>
      <c r="N1795">
        <v>0.31226185745589985</v>
      </c>
      <c r="O1795">
        <v>0.15030039729871311</v>
      </c>
      <c r="P1795">
        <v>1.9838735750227442E-2</v>
      </c>
      <c r="Q1795">
        <v>1.308693447437172E-3</v>
      </c>
      <c r="R1795">
        <v>3.8030698644322971E-3</v>
      </c>
      <c r="S1795">
        <v>0.4607733041958158</v>
      </c>
      <c r="T1795">
        <v>3.9532377971419552</v>
      </c>
      <c r="U1795">
        <v>0</v>
      </c>
      <c r="V1795">
        <v>1.1304767209823813E-2</v>
      </c>
      <c r="W1795">
        <v>0.18843690061458426</v>
      </c>
      <c r="X1795">
        <v>2.4516114592353026E-2</v>
      </c>
      <c r="Y1795">
        <v>1.0747765787534442E-2</v>
      </c>
    </row>
    <row r="1796" spans="1:25" x14ac:dyDescent="0.25">
      <c r="A1796" s="1093"/>
      <c r="B1796" s="1452">
        <v>1546</v>
      </c>
      <c r="C1796" s="1097">
        <v>0.99749342896772597</v>
      </c>
      <c r="D1796" s="1097">
        <v>1.01116942078161</v>
      </c>
      <c r="E1796" s="1097">
        <v>0.99646265951647373</v>
      </c>
      <c r="F1796" s="1097">
        <v>1.0025455234152472</v>
      </c>
      <c r="G1796" s="1097">
        <v>1.0337654028292858</v>
      </c>
      <c r="H1796" s="1097">
        <v>0.99806740432062713</v>
      </c>
      <c r="I1796" s="1097">
        <v>0.99558214095013475</v>
      </c>
      <c r="K1796">
        <v>5.1831091414999859</v>
      </c>
      <c r="L1796">
        <v>0</v>
      </c>
      <c r="M1796">
        <v>3.6383944497938863E-3</v>
      </c>
      <c r="N1796">
        <v>0.31235376384930957</v>
      </c>
      <c r="O1796">
        <v>0.14857991541992768</v>
      </c>
      <c r="P1796">
        <v>2.0313852362139125E-2</v>
      </c>
      <c r="Q1796">
        <v>1.2971252101740005E-3</v>
      </c>
      <c r="R1796">
        <v>3.6323607441191676E-3</v>
      </c>
      <c r="S1796">
        <v>0.46116071411914261</v>
      </c>
      <c r="T1796">
        <v>4.0059466389333931</v>
      </c>
      <c r="U1796">
        <v>0</v>
      </c>
      <c r="V1796">
        <v>1.1304767209823824E-2</v>
      </c>
      <c r="W1796">
        <v>0.18650195108432979</v>
      </c>
      <c r="X1796">
        <v>2.5391118236908008E-2</v>
      </c>
      <c r="Y1796">
        <v>1.0265328780504743E-2</v>
      </c>
    </row>
    <row r="1797" spans="1:25" x14ac:dyDescent="0.25">
      <c r="A1797" s="1093"/>
      <c r="B1797" s="1452">
        <v>1547</v>
      </c>
      <c r="C1797" s="1097">
        <v>0.9587983230794187</v>
      </c>
      <c r="D1797" s="1097">
        <v>1.0305242143608002</v>
      </c>
      <c r="E1797" s="1097">
        <v>1.0012188998649703</v>
      </c>
      <c r="F1797" s="1097">
        <v>0.98979001397448674</v>
      </c>
      <c r="G1797" s="1097">
        <v>0.99816052679096368</v>
      </c>
      <c r="H1797" s="1097">
        <v>0.99153229574752466</v>
      </c>
      <c r="I1797" s="1097">
        <v>0.9751577837476173</v>
      </c>
      <c r="K1797">
        <v>5.1434254689959769</v>
      </c>
      <c r="L1797">
        <v>0</v>
      </c>
      <c r="M1797">
        <v>3.6479159215859649E-3</v>
      </c>
      <c r="N1797">
        <v>0.31760587997334949</v>
      </c>
      <c r="O1797">
        <v>0.15132154661909475</v>
      </c>
      <c r="P1797">
        <v>2.0155145140154793E-2</v>
      </c>
      <c r="Q1797">
        <v>1.3447531391594994E-3</v>
      </c>
      <c r="R1797">
        <v>3.6417482116681502E-3</v>
      </c>
      <c r="S1797">
        <v>0.46198387733348667</v>
      </c>
      <c r="T1797">
        <v>3.9543871039380294</v>
      </c>
      <c r="U1797">
        <v>0</v>
      </c>
      <c r="V1797">
        <v>1.1304767209823827E-2</v>
      </c>
      <c r="W1797">
        <v>0.18902880059129024</v>
      </c>
      <c r="X1797">
        <v>2.6007904281003743E-2</v>
      </c>
      <c r="Y1797">
        <v>1.0291858480497412E-2</v>
      </c>
    </row>
    <row r="1798" spans="1:25" x14ac:dyDescent="0.25">
      <c r="A1798" s="1093"/>
      <c r="B1798" s="1452">
        <v>1548</v>
      </c>
      <c r="C1798" s="1097">
        <v>1.0229263215222235</v>
      </c>
      <c r="D1798" s="1097">
        <v>0.99435419884319831</v>
      </c>
      <c r="E1798" s="1097">
        <v>1.0090316432097592</v>
      </c>
      <c r="F1798" s="1097">
        <v>0.97679364925780388</v>
      </c>
      <c r="G1798" s="1097">
        <v>0.97110630138727527</v>
      </c>
      <c r="H1798" s="1097">
        <v>1.0299930364804504</v>
      </c>
      <c r="I1798" s="1097">
        <v>0.99273041195274658</v>
      </c>
      <c r="K1798">
        <v>5.0526809761961209</v>
      </c>
      <c r="L1798">
        <v>0</v>
      </c>
      <c r="M1798">
        <v>3.4976818268459544E-3</v>
      </c>
      <c r="N1798">
        <v>0.31166762075950538</v>
      </c>
      <c r="O1798">
        <v>0.14177940591138438</v>
      </c>
      <c r="P1798">
        <v>1.9956522390137402E-2</v>
      </c>
      <c r="Q1798">
        <v>1.2871548216917149E-3</v>
      </c>
      <c r="R1798">
        <v>3.4919133314590244E-3</v>
      </c>
      <c r="S1798">
        <v>0.4458852054582032</v>
      </c>
      <c r="T1798">
        <v>3.9015084782966687</v>
      </c>
      <c r="U1798">
        <v>0</v>
      </c>
      <c r="V1798">
        <v>1.1304767209823815E-2</v>
      </c>
      <c r="W1798">
        <v>0.18452100877482883</v>
      </c>
      <c r="X1798">
        <v>2.4908167399587716E-2</v>
      </c>
      <c r="Y1798">
        <v>9.8684136696744681E-3</v>
      </c>
    </row>
    <row r="1799" spans="1:25" x14ac:dyDescent="0.25">
      <c r="A1799" s="1093"/>
      <c r="B1799" s="1452">
        <v>1549</v>
      </c>
      <c r="C1799" s="1097">
        <v>0.99209977178622799</v>
      </c>
      <c r="D1799" s="1097">
        <v>1.013034296274326</v>
      </c>
      <c r="E1799" s="1097">
        <v>0.97514377423711174</v>
      </c>
      <c r="F1799" s="1097">
        <v>1.0259303394527437</v>
      </c>
      <c r="G1799" s="1097">
        <v>0.97942601381698124</v>
      </c>
      <c r="H1799" s="1097">
        <v>1.0092442571801561</v>
      </c>
      <c r="I1799" s="1097">
        <v>1.0220659784464881</v>
      </c>
      <c r="K1799">
        <v>5.3238125773318448</v>
      </c>
      <c r="L1799">
        <v>0</v>
      </c>
      <c r="M1799">
        <v>3.9557880773185301E-3</v>
      </c>
      <c r="N1799">
        <v>0.31881020157504686</v>
      </c>
      <c r="O1799">
        <v>0.15336985014072343</v>
      </c>
      <c r="P1799">
        <v>2.0535732498177774E-2</v>
      </c>
      <c r="Q1799">
        <v>1.2794088248093182E-3</v>
      </c>
      <c r="R1799">
        <v>3.9494483065188185E-3</v>
      </c>
      <c r="S1799">
        <v>0.48734820566069476</v>
      </c>
      <c r="T1799">
        <v>4.1021514525022189</v>
      </c>
      <c r="U1799">
        <v>0</v>
      </c>
      <c r="V1799">
        <v>1.1304767209823825E-2</v>
      </c>
      <c r="W1799">
        <v>0.19314670300800252</v>
      </c>
      <c r="X1799">
        <v>2.4711153242807784E-2</v>
      </c>
      <c r="Y1799">
        <v>1.1161442440336337E-2</v>
      </c>
    </row>
    <row r="1800" spans="1:25" x14ac:dyDescent="0.25">
      <c r="A1800" s="1093"/>
      <c r="B1800" s="1452">
        <v>1550</v>
      </c>
      <c r="C1800" s="1097">
        <v>1.0132974677505462</v>
      </c>
      <c r="D1800" s="1097">
        <v>1.0253581266907468</v>
      </c>
      <c r="E1800" s="1097">
        <v>0.99449646148996518</v>
      </c>
      <c r="F1800" s="1097">
        <v>0.9868652020208748</v>
      </c>
      <c r="G1800" s="1097">
        <v>1.0305783999532228</v>
      </c>
      <c r="H1800" s="1097">
        <v>0.96258860807534741</v>
      </c>
      <c r="I1800" s="1097">
        <v>0.9912310441793406</v>
      </c>
      <c r="K1800">
        <v>5.0550885873797426</v>
      </c>
      <c r="L1800">
        <v>0</v>
      </c>
      <c r="M1800">
        <v>3.3955116025420132E-3</v>
      </c>
      <c r="N1800">
        <v>0.28978291565865527</v>
      </c>
      <c r="O1800">
        <v>0.14322745993256297</v>
      </c>
      <c r="P1800">
        <v>1.9898586643864114E-2</v>
      </c>
      <c r="Q1800">
        <v>1.2676530053460646E-3</v>
      </c>
      <c r="R1800">
        <v>3.3895805255765637E-3</v>
      </c>
      <c r="S1800">
        <v>0.43848822944629157</v>
      </c>
      <c r="T1800">
        <v>3.9435357352665736</v>
      </c>
      <c r="U1800">
        <v>0</v>
      </c>
      <c r="V1800">
        <v>1.1304767209823818E-2</v>
      </c>
      <c r="W1800">
        <v>0.17325601566846804</v>
      </c>
      <c r="X1800">
        <v>2.4753942277611008E-2</v>
      </c>
      <c r="Y1800">
        <v>9.5792133475104974E-3</v>
      </c>
    </row>
    <row r="1801" spans="1:25" x14ac:dyDescent="0.25">
      <c r="A1801" s="1093"/>
      <c r="B1801" s="1452">
        <v>1551</v>
      </c>
      <c r="C1801" s="1097">
        <v>1.0100257763890197</v>
      </c>
      <c r="D1801" s="1097">
        <v>0.9875946672615441</v>
      </c>
      <c r="E1801" s="1097">
        <v>0.9862487605935587</v>
      </c>
      <c r="F1801" s="1097">
        <v>0.99872350678842259</v>
      </c>
      <c r="G1801" s="1097">
        <v>0.98890705382790589</v>
      </c>
      <c r="H1801" s="1097">
        <v>0.98914499836512859</v>
      </c>
      <c r="I1801" s="1097">
        <v>0.96320421537553735</v>
      </c>
      <c r="K1801">
        <v>5.1350263035694956</v>
      </c>
      <c r="L1801">
        <v>0</v>
      </c>
      <c r="M1801">
        <v>3.6589666677796281E-3</v>
      </c>
      <c r="N1801">
        <v>0.30474351777775921</v>
      </c>
      <c r="O1801">
        <v>0.14784529177580749</v>
      </c>
      <c r="P1801">
        <v>1.9998774054263393E-2</v>
      </c>
      <c r="Q1801">
        <v>1.2818432293716583E-3</v>
      </c>
      <c r="R1801">
        <v>3.6528207211243861E-3</v>
      </c>
      <c r="S1801">
        <v>0.43965833506602864</v>
      </c>
      <c r="T1801">
        <v>3.9919606676997792</v>
      </c>
      <c r="U1801">
        <v>0</v>
      </c>
      <c r="V1801">
        <v>1.1304767209823815E-2</v>
      </c>
      <c r="W1801">
        <v>0.18322589262974057</v>
      </c>
      <c r="X1801">
        <v>2.4690209836008871E-2</v>
      </c>
      <c r="Y1801">
        <v>1.0323150237566843E-2</v>
      </c>
    </row>
    <row r="1802" spans="1:25" x14ac:dyDescent="0.25">
      <c r="A1802" s="1093"/>
      <c r="B1802" s="1452">
        <v>1552</v>
      </c>
      <c r="C1802" s="1097">
        <v>1.0153451456692688</v>
      </c>
      <c r="D1802" s="1097">
        <v>0.9967716831649196</v>
      </c>
      <c r="E1802" s="1097">
        <v>0.97761047361449327</v>
      </c>
      <c r="F1802" s="1097">
        <v>0.96244259968079959</v>
      </c>
      <c r="G1802" s="1097">
        <v>0.98086336595359058</v>
      </c>
      <c r="H1802" s="1097">
        <v>1.0196477121117737</v>
      </c>
      <c r="I1802" s="1097">
        <v>0.98714667083825369</v>
      </c>
      <c r="K1802">
        <v>4.9716132732781455</v>
      </c>
      <c r="L1802">
        <v>0</v>
      </c>
      <c r="M1802">
        <v>3.6685594327850366E-3</v>
      </c>
      <c r="N1802">
        <v>0.29780784417112915</v>
      </c>
      <c r="O1802">
        <v>0.14143277366985937</v>
      </c>
      <c r="P1802">
        <v>1.9222309896043836E-2</v>
      </c>
      <c r="Q1802">
        <v>1.2609400270746716E-3</v>
      </c>
      <c r="R1802">
        <v>3.6623567590525572E-3</v>
      </c>
      <c r="S1802">
        <v>0.4391670453466241</v>
      </c>
      <c r="T1802">
        <v>3.8479962751850318</v>
      </c>
      <c r="U1802">
        <v>0</v>
      </c>
      <c r="V1802">
        <v>1.1304767209823827E-2</v>
      </c>
      <c r="W1802">
        <v>0.18011730567491133</v>
      </c>
      <c r="X1802">
        <v>2.2960114962581532E-2</v>
      </c>
      <c r="Y1802">
        <v>1.0350099808793908E-2</v>
      </c>
    </row>
    <row r="1803" spans="1:25" x14ac:dyDescent="0.25">
      <c r="A1803" s="1093"/>
      <c r="B1803" s="1452">
        <v>1553</v>
      </c>
      <c r="C1803" s="1097">
        <v>1.0229579272149234</v>
      </c>
      <c r="D1803" s="1097">
        <v>0.96252916464961247</v>
      </c>
      <c r="E1803" s="1097">
        <v>1.0132328896331833</v>
      </c>
      <c r="F1803" s="1097">
        <v>1.0346174886666313</v>
      </c>
      <c r="G1803" s="1097">
        <v>1.0152606046651078</v>
      </c>
      <c r="H1803" s="1097">
        <v>1.010751647447546</v>
      </c>
      <c r="I1803" s="1097">
        <v>1.0211820014166868</v>
      </c>
      <c r="K1803">
        <v>5.3595837447245529</v>
      </c>
      <c r="L1803">
        <v>0</v>
      </c>
      <c r="M1803">
        <v>3.6501833842226142E-3</v>
      </c>
      <c r="N1803">
        <v>0.3293479073407023</v>
      </c>
      <c r="O1803">
        <v>0.15201434817538162</v>
      </c>
      <c r="P1803">
        <v>2.1236647345513605E-2</v>
      </c>
      <c r="Q1803">
        <v>1.308642289083229E-3</v>
      </c>
      <c r="R1803">
        <v>3.644391084730028E-3</v>
      </c>
      <c r="S1803">
        <v>0.48069481242805151</v>
      </c>
      <c r="T1803">
        <v>4.1319255391350875</v>
      </c>
      <c r="U1803">
        <v>0</v>
      </c>
      <c r="V1803">
        <v>1.1304767209823822E-2</v>
      </c>
      <c r="W1803">
        <v>0.19443978125303987</v>
      </c>
      <c r="X1803">
        <v>2.7017764405812453E-2</v>
      </c>
      <c r="Y1803">
        <v>1.0299327441544092E-2</v>
      </c>
    </row>
    <row r="1804" spans="1:25" x14ac:dyDescent="0.25">
      <c r="A1804" s="1093"/>
      <c r="B1804" s="1452">
        <v>1554</v>
      </c>
      <c r="C1804" s="1097">
        <v>0.99063457440539804</v>
      </c>
      <c r="D1804" s="1097">
        <v>1.0052843388248509</v>
      </c>
      <c r="E1804" s="1097">
        <v>1.0115255362343503</v>
      </c>
      <c r="F1804" s="1097">
        <v>1.0055385591484762</v>
      </c>
      <c r="G1804" s="1097">
        <v>1.0016299213546749</v>
      </c>
      <c r="H1804" s="1097">
        <v>1.0042195909355314</v>
      </c>
      <c r="I1804" s="1097">
        <v>1.0061598499897619</v>
      </c>
      <c r="K1804">
        <v>5.2208075292115828</v>
      </c>
      <c r="L1804">
        <v>0</v>
      </c>
      <c r="M1804">
        <v>3.5900191017474853E-3</v>
      </c>
      <c r="N1804">
        <v>0.3222681813919786</v>
      </c>
      <c r="O1804">
        <v>0.14998133547109388</v>
      </c>
      <c r="P1804">
        <v>2.0639130406098861E-2</v>
      </c>
      <c r="Q1804">
        <v>1.3261258172619702E-3</v>
      </c>
      <c r="R1804">
        <v>3.5841196752351245E-3</v>
      </c>
      <c r="S1804">
        <v>0.47217260328438759</v>
      </c>
      <c r="T1804">
        <v>4.0160080511744525</v>
      </c>
      <c r="U1804">
        <v>0</v>
      </c>
      <c r="V1804">
        <v>1.130476720982383E-2</v>
      </c>
      <c r="W1804">
        <v>0.19047790916080523</v>
      </c>
      <c r="X1804">
        <v>2.6506328885380886E-2</v>
      </c>
      <c r="Y1804">
        <v>1.0128995836807058E-2</v>
      </c>
    </row>
    <row r="1805" spans="1:25" x14ac:dyDescent="0.25">
      <c r="A1805" s="1093"/>
      <c r="B1805" s="1452">
        <v>1555</v>
      </c>
      <c r="C1805" s="1097">
        <v>1.0007669525271075</v>
      </c>
      <c r="D1805" s="1097">
        <v>0.9967966028274925</v>
      </c>
      <c r="E1805" s="1097">
        <v>0.96502856493098244</v>
      </c>
      <c r="F1805" s="1097">
        <v>0.98845682302836335</v>
      </c>
      <c r="G1805" s="1097">
        <v>0.99463576784805607</v>
      </c>
      <c r="H1805" s="1097">
        <v>0.96646157522747678</v>
      </c>
      <c r="I1805" s="1097">
        <v>1.0140196708222291</v>
      </c>
      <c r="K1805">
        <v>5.0938883686569696</v>
      </c>
      <c r="L1805">
        <v>0</v>
      </c>
      <c r="M1805">
        <v>3.7198451488991246E-3</v>
      </c>
      <c r="N1805">
        <v>0.29088444229418753</v>
      </c>
      <c r="O1805">
        <v>0.14771614967133501</v>
      </c>
      <c r="P1805">
        <v>1.9589263407351849E-2</v>
      </c>
      <c r="Q1805">
        <v>1.2653226379751332E-3</v>
      </c>
      <c r="R1805">
        <v>3.7133839868170875E-3</v>
      </c>
      <c r="S1805">
        <v>0.45801112837554148</v>
      </c>
      <c r="T1805">
        <v>3.9535876370037757</v>
      </c>
      <c r="U1805">
        <v>0</v>
      </c>
      <c r="V1805">
        <v>1.1304767209823817E-2</v>
      </c>
      <c r="W1805">
        <v>0.17746217574286086</v>
      </c>
      <c r="X1805">
        <v>2.3579636825996172E-2</v>
      </c>
      <c r="Y1805">
        <v>1.0494306650201018E-2</v>
      </c>
    </row>
    <row r="1806" spans="1:25" x14ac:dyDescent="0.25">
      <c r="A1806" s="1093"/>
      <c r="B1806" s="1452">
        <v>1556</v>
      </c>
      <c r="C1806" s="1097">
        <v>1.0262712757105357</v>
      </c>
      <c r="D1806" s="1097">
        <v>0.98782563375400878</v>
      </c>
      <c r="E1806" s="1097">
        <v>1.0139517004384622</v>
      </c>
      <c r="F1806" s="1097">
        <v>0.96632038256187713</v>
      </c>
      <c r="G1806" s="1097">
        <v>1.0229595698962715</v>
      </c>
      <c r="H1806" s="1097">
        <v>0.98264358869306323</v>
      </c>
      <c r="I1806" s="1097">
        <v>1.0241778510277029</v>
      </c>
      <c r="K1806">
        <v>4.9817699632070536</v>
      </c>
      <c r="L1806">
        <v>0</v>
      </c>
      <c r="M1806">
        <v>3.2650290879863595E-3</v>
      </c>
      <c r="N1806">
        <v>0.29517628905324439</v>
      </c>
      <c r="O1806">
        <v>0.14004133065491817</v>
      </c>
      <c r="P1806">
        <v>1.9836579872682912E-2</v>
      </c>
      <c r="Q1806">
        <v>1.2917403762040796E-3</v>
      </c>
      <c r="R1806">
        <v>3.2593237515550245E-3</v>
      </c>
      <c r="S1806">
        <v>0.4464108893222864</v>
      </c>
      <c r="T1806">
        <v>3.8590824737601861</v>
      </c>
      <c r="U1806">
        <v>0</v>
      </c>
      <c r="V1806">
        <v>1.130476720982381E-2</v>
      </c>
      <c r="W1806">
        <v>0.17418174064794767</v>
      </c>
      <c r="X1806">
        <v>2.5238759886700032E-2</v>
      </c>
      <c r="Y1806">
        <v>9.2110977594913723E-3</v>
      </c>
    </row>
    <row r="1807" spans="1:25" x14ac:dyDescent="0.25">
      <c r="A1807" s="1093"/>
      <c r="B1807" s="1452">
        <v>1557</v>
      </c>
      <c r="C1807" s="1097">
        <v>1.0391234793824515</v>
      </c>
      <c r="D1807" s="1097">
        <v>1.0068209874934602</v>
      </c>
      <c r="E1807" s="1097">
        <v>1.0057683091814236</v>
      </c>
      <c r="F1807" s="1097">
        <v>0.96431654215073159</v>
      </c>
      <c r="G1807" s="1097">
        <v>1.0294839938894251</v>
      </c>
      <c r="H1807" s="1097">
        <v>1.0122902525707382</v>
      </c>
      <c r="I1807" s="1097">
        <v>1.003233269261286</v>
      </c>
      <c r="K1807">
        <v>4.9603315820730165</v>
      </c>
      <c r="L1807">
        <v>0</v>
      </c>
      <c r="M1807">
        <v>3.3471730578889872E-3</v>
      </c>
      <c r="N1807">
        <v>0.29537288418598884</v>
      </c>
      <c r="O1807">
        <v>0.13718572576603469</v>
      </c>
      <c r="P1807">
        <v>1.9631230146234545E-2</v>
      </c>
      <c r="Q1807">
        <v>1.2572875079276534E-3</v>
      </c>
      <c r="R1807">
        <v>3.3414836991998496E-3</v>
      </c>
      <c r="S1807">
        <v>0.43465805669257723</v>
      </c>
      <c r="T1807">
        <v>3.8520661503545055</v>
      </c>
      <c r="U1807">
        <v>0</v>
      </c>
      <c r="V1807">
        <v>1.130476720982381E-2</v>
      </c>
      <c r="W1807">
        <v>0.17525799820510904</v>
      </c>
      <c r="X1807">
        <v>2.4159883319356007E-2</v>
      </c>
      <c r="Y1807">
        <v>9.4432880441509201E-3</v>
      </c>
    </row>
    <row r="1808" spans="1:25" x14ac:dyDescent="0.25">
      <c r="A1808" s="1093"/>
      <c r="B1808" s="1452">
        <v>1558</v>
      </c>
      <c r="C1808" s="1097">
        <v>0.9624209601979018</v>
      </c>
      <c r="D1808" s="1097">
        <v>1.0229965980895381</v>
      </c>
      <c r="E1808" s="1097">
        <v>1.0091655013044951</v>
      </c>
      <c r="F1808" s="1097">
        <v>0.99052755694573502</v>
      </c>
      <c r="G1808" s="1097">
        <v>1.0020080240983233</v>
      </c>
      <c r="H1808" s="1097">
        <v>0.97157405764772176</v>
      </c>
      <c r="I1808" s="1097">
        <v>1.0184056102307939</v>
      </c>
      <c r="K1808">
        <v>5.1535218019299469</v>
      </c>
      <c r="L1808">
        <v>0</v>
      </c>
      <c r="M1808">
        <v>3.5147859429040854E-3</v>
      </c>
      <c r="N1808">
        <v>0.31329234743380563</v>
      </c>
      <c r="O1808">
        <v>0.15108175199293525</v>
      </c>
      <c r="P1808">
        <v>2.0355570419127288E-2</v>
      </c>
      <c r="Q1808">
        <v>1.3527775056994781E-3</v>
      </c>
      <c r="R1808">
        <v>3.5087257562246878E-3</v>
      </c>
      <c r="S1808">
        <v>0.47775422784894034</v>
      </c>
      <c r="T1808">
        <v>3.9563478665862024</v>
      </c>
      <c r="U1808">
        <v>0</v>
      </c>
      <c r="V1808">
        <v>1.1304767209823813E-2</v>
      </c>
      <c r="W1808">
        <v>0.18546624182916802</v>
      </c>
      <c r="X1808">
        <v>2.6656384425294152E-2</v>
      </c>
      <c r="Y1808">
        <v>9.9159268656301425E-3</v>
      </c>
    </row>
    <row r="1809" spans="1:25" x14ac:dyDescent="0.25">
      <c r="A1809" s="1093"/>
      <c r="B1809" s="1452">
        <v>1559</v>
      </c>
      <c r="C1809" s="1097">
        <v>0.99089259525754692</v>
      </c>
      <c r="D1809" s="1097">
        <v>0.96424707724547998</v>
      </c>
      <c r="E1809" s="1097">
        <v>0.96560513195887265</v>
      </c>
      <c r="F1809" s="1097">
        <v>0.97829738191714988</v>
      </c>
      <c r="G1809" s="1097">
        <v>1.0035453482028394</v>
      </c>
      <c r="H1809" s="1097">
        <v>1.0017008758407617</v>
      </c>
      <c r="I1809" s="1097">
        <v>0.99364119391960593</v>
      </c>
      <c r="K1809">
        <v>5.079812719085564</v>
      </c>
      <c r="L1809">
        <v>0</v>
      </c>
      <c r="M1809">
        <v>3.9007517383257847E-3</v>
      </c>
      <c r="N1809">
        <v>0.30556724932456342</v>
      </c>
      <c r="O1809">
        <v>0.1496126135470244</v>
      </c>
      <c r="P1809">
        <v>1.9421689746359789E-2</v>
      </c>
      <c r="Q1809">
        <v>1.2956698229765662E-3</v>
      </c>
      <c r="R1809">
        <v>3.8941469353810146E-3</v>
      </c>
      <c r="S1809">
        <v>0.45893648412656513</v>
      </c>
      <c r="T1809">
        <v>3.9128803686782052</v>
      </c>
      <c r="U1809">
        <v>0</v>
      </c>
      <c r="V1809">
        <v>1.1304767209823817E-2</v>
      </c>
      <c r="W1809">
        <v>0.18634546423038345</v>
      </c>
      <c r="X1809">
        <v>2.34498606591634E-2</v>
      </c>
      <c r="Y1809">
        <v>1.1005156543440945E-2</v>
      </c>
    </row>
    <row r="1810" spans="1:25" x14ac:dyDescent="0.25">
      <c r="A1810" s="1093"/>
      <c r="B1810" s="1452">
        <v>1560</v>
      </c>
      <c r="C1810" s="1097">
        <v>1.0251837705784117</v>
      </c>
      <c r="D1810" s="1097">
        <v>0.9967286234488949</v>
      </c>
      <c r="E1810" s="1097">
        <v>1.0261850693528178</v>
      </c>
      <c r="F1810" s="1097">
        <v>1.0233067047094841</v>
      </c>
      <c r="G1810" s="1097">
        <v>0.993122306158576</v>
      </c>
      <c r="H1810" s="1097">
        <v>0.98324408514053985</v>
      </c>
      <c r="I1810" s="1097">
        <v>1.0492649326042534</v>
      </c>
      <c r="K1810">
        <v>5.2826597005005587</v>
      </c>
      <c r="L1810">
        <v>0</v>
      </c>
      <c r="M1810">
        <v>3.3625942452093407E-3</v>
      </c>
      <c r="N1810">
        <v>0.31523185476534388</v>
      </c>
      <c r="O1810">
        <v>0.14758496132699411</v>
      </c>
      <c r="P1810">
        <v>2.1216717854843487E-2</v>
      </c>
      <c r="Q1810">
        <v>1.3018852097213143E-3</v>
      </c>
      <c r="R1810">
        <v>3.3570484963015654E-3</v>
      </c>
      <c r="S1810">
        <v>0.47954674798538838</v>
      </c>
      <c r="T1810">
        <v>4.085105339599588</v>
      </c>
      <c r="U1810">
        <v>0</v>
      </c>
      <c r="V1810">
        <v>1.1304767209823808E-2</v>
      </c>
      <c r="W1810">
        <v>0.18450529839495111</v>
      </c>
      <c r="X1810">
        <v>2.7380398553738319E-2</v>
      </c>
      <c r="Y1810">
        <v>9.4872753490764083E-3</v>
      </c>
    </row>
    <row r="1811" spans="1:25" x14ac:dyDescent="0.25">
      <c r="A1811" s="1093"/>
      <c r="B1811" s="1452">
        <v>1561</v>
      </c>
      <c r="C1811" s="1097">
        <v>1.0340970218555137</v>
      </c>
      <c r="D1811" s="1097">
        <v>0.99937822360864437</v>
      </c>
      <c r="E1811" s="1097">
        <v>1.0026148384849352</v>
      </c>
      <c r="F1811" s="1097">
        <v>0.97413866282511796</v>
      </c>
      <c r="G1811" s="1097">
        <v>1.0029586478361703</v>
      </c>
      <c r="H1811" s="1097">
        <v>0.98754043691766435</v>
      </c>
      <c r="I1811" s="1097">
        <v>1.0151151174574273</v>
      </c>
      <c r="K1811">
        <v>5.0062387362717828</v>
      </c>
      <c r="L1811">
        <v>0</v>
      </c>
      <c r="M1811">
        <v>3.3465896484535405E-3</v>
      </c>
      <c r="N1811">
        <v>0.29256838579951316</v>
      </c>
      <c r="O1811">
        <v>0.13975328540590332</v>
      </c>
      <c r="P1811">
        <v>1.9798955333645975E-2</v>
      </c>
      <c r="Q1811">
        <v>1.2637431462312887E-3</v>
      </c>
      <c r="R1811">
        <v>3.3408174115181267E-3</v>
      </c>
      <c r="S1811">
        <v>0.44192374517117788</v>
      </c>
      <c r="T1811">
        <v>3.891686595352629</v>
      </c>
      <c r="U1811">
        <v>0</v>
      </c>
      <c r="V1811">
        <v>1.130476720982383E-2</v>
      </c>
      <c r="W1811">
        <v>0.17396329497519386</v>
      </c>
      <c r="X1811">
        <v>2.4540331050299669E-2</v>
      </c>
      <c r="Y1811">
        <v>9.4414050642937092E-3</v>
      </c>
    </row>
    <row r="1812" spans="1:25" x14ac:dyDescent="0.25">
      <c r="A1812" s="1093"/>
      <c r="B1812" s="1452">
        <v>1562</v>
      </c>
      <c r="C1812" s="1097">
        <v>0.98455706205444837</v>
      </c>
      <c r="D1812" s="1097">
        <v>1.0015405284961973</v>
      </c>
      <c r="E1812" s="1097">
        <v>1.0066403420363934</v>
      </c>
      <c r="F1812" s="1097">
        <v>1.0083813869838822</v>
      </c>
      <c r="G1812" s="1097">
        <v>0.99065604786768124</v>
      </c>
      <c r="H1812" s="1097">
        <v>0.99809243280052751</v>
      </c>
      <c r="I1812" s="1097">
        <v>0.99237483445803254</v>
      </c>
      <c r="K1812">
        <v>5.2319892054028383</v>
      </c>
      <c r="L1812">
        <v>0</v>
      </c>
      <c r="M1812">
        <v>3.6429890276047892E-3</v>
      </c>
      <c r="N1812">
        <v>0.32232510605683101</v>
      </c>
      <c r="O1812">
        <v>0.15169901417016438</v>
      </c>
      <c r="P1812">
        <v>2.0604292196121313E-2</v>
      </c>
      <c r="Q1812">
        <v>1.3307536176663966E-3</v>
      </c>
      <c r="R1812">
        <v>3.6369827589364198E-3</v>
      </c>
      <c r="S1812">
        <v>0.46886709452479536</v>
      </c>
      <c r="T1812">
        <v>4.0279778312411567</v>
      </c>
      <c r="U1812">
        <v>0</v>
      </c>
      <c r="V1812">
        <v>1.1304767209823806E-2</v>
      </c>
      <c r="W1812">
        <v>0.19113774825969404</v>
      </c>
      <c r="X1812">
        <v>2.6470213447999404E-2</v>
      </c>
      <c r="Y1812">
        <v>1.0278390947252436E-2</v>
      </c>
    </row>
    <row r="1813" spans="1:25" x14ac:dyDescent="0.25">
      <c r="A1813" s="1093"/>
      <c r="B1813" s="1452">
        <v>1563</v>
      </c>
      <c r="C1813" s="1097">
        <v>0.99957273325522433</v>
      </c>
      <c r="D1813" s="1097">
        <v>1.04620638824571</v>
      </c>
      <c r="E1813" s="1097">
        <v>0.98133412877792658</v>
      </c>
      <c r="F1813" s="1097">
        <v>0.99391774670578925</v>
      </c>
      <c r="G1813" s="1097">
        <v>1.0200002961145478</v>
      </c>
      <c r="H1813" s="1097">
        <v>1.0192776000047072</v>
      </c>
      <c r="I1813" s="1097">
        <v>0.98916086365094036</v>
      </c>
      <c r="K1813">
        <v>5.1331323361451835</v>
      </c>
      <c r="L1813">
        <v>0</v>
      </c>
      <c r="M1813">
        <v>3.7435681321895797E-3</v>
      </c>
      <c r="N1813">
        <v>0.30728983941137139</v>
      </c>
      <c r="O1813">
        <v>0.14541669532500448</v>
      </c>
      <c r="P1813">
        <v>1.9909082150785667E-2</v>
      </c>
      <c r="Q1813">
        <v>1.2603445173382667E-3</v>
      </c>
      <c r="R1813">
        <v>3.7374365169925215E-3</v>
      </c>
      <c r="S1813">
        <v>0.45479456410797692</v>
      </c>
      <c r="T1813">
        <v>3.9733696994769869</v>
      </c>
      <c r="U1813">
        <v>0</v>
      </c>
      <c r="V1813">
        <v>1.1304767209823822E-2</v>
      </c>
      <c r="W1813">
        <v>0.18537840477846332</v>
      </c>
      <c r="X1813">
        <v>2.3852789845829621E-2</v>
      </c>
      <c r="Y1813">
        <v>1.0562280936800601E-2</v>
      </c>
    </row>
    <row r="1814" spans="1:25" x14ac:dyDescent="0.25">
      <c r="A1814" s="1093"/>
      <c r="B1814" s="1452">
        <v>1564</v>
      </c>
      <c r="C1814" s="1097">
        <v>0.96774646238959217</v>
      </c>
      <c r="D1814" s="1097">
        <v>1.0147344085364189</v>
      </c>
      <c r="E1814" s="1097">
        <v>0.97155838250589832</v>
      </c>
      <c r="F1814" s="1097">
        <v>0.99112074951528528</v>
      </c>
      <c r="G1814" s="1097">
        <v>1.0308611666435883</v>
      </c>
      <c r="H1814" s="1097">
        <v>0.98746647630135065</v>
      </c>
      <c r="I1814" s="1097">
        <v>0.98134237555811266</v>
      </c>
      <c r="K1814">
        <v>5.1392398148504963</v>
      </c>
      <c r="L1814">
        <v>0</v>
      </c>
      <c r="M1814">
        <v>3.8597603443795538E-3</v>
      </c>
      <c r="N1814">
        <v>0.30774880202105992</v>
      </c>
      <c r="O1814">
        <v>0.15189433036650901</v>
      </c>
      <c r="P1814">
        <v>1.9748085861852633E-2</v>
      </c>
      <c r="Q1814">
        <v>1.306635408854753E-3</v>
      </c>
      <c r="R1814">
        <v>3.8532163722608511E-3</v>
      </c>
      <c r="S1814">
        <v>0.46175354220107945</v>
      </c>
      <c r="T1814">
        <v>3.963418086251564</v>
      </c>
      <c r="U1814">
        <v>0</v>
      </c>
      <c r="V1814">
        <v>1.1304767209823813E-2</v>
      </c>
      <c r="W1814">
        <v>0.18690595647241737</v>
      </c>
      <c r="X1814">
        <v>2.4276669382293701E-2</v>
      </c>
      <c r="Y1814">
        <v>1.0889483647162695E-2</v>
      </c>
    </row>
    <row r="1815" spans="1:25" x14ac:dyDescent="0.25">
      <c r="A1815" s="1093"/>
      <c r="B1815" s="1452">
        <v>1565</v>
      </c>
      <c r="C1815" s="1097">
        <v>1.0069290181498558</v>
      </c>
      <c r="D1815" s="1097">
        <v>0.99448858254744743</v>
      </c>
      <c r="E1815" s="1097">
        <v>0.9973029881222083</v>
      </c>
      <c r="F1815" s="1097">
        <v>0.95318126706537953</v>
      </c>
      <c r="G1815" s="1097">
        <v>0.99674650184231428</v>
      </c>
      <c r="H1815" s="1097">
        <v>1.0135148885114822</v>
      </c>
      <c r="I1815" s="1097">
        <v>0.98646939912486808</v>
      </c>
      <c r="K1815">
        <v>4.9339597966821476</v>
      </c>
      <c r="L1815">
        <v>0</v>
      </c>
      <c r="M1815">
        <v>3.4972067766567898E-3</v>
      </c>
      <c r="N1815">
        <v>0.30096370512219334</v>
      </c>
      <c r="O1815">
        <v>0.14085229513074171</v>
      </c>
      <c r="P1815">
        <v>1.9326281662946119E-2</v>
      </c>
      <c r="Q1815">
        <v>1.2944823460447337E-3</v>
      </c>
      <c r="R1815">
        <v>3.4912003418182042E-3</v>
      </c>
      <c r="S1815">
        <v>0.43811290754391735</v>
      </c>
      <c r="T1815">
        <v>3.8085974492147998</v>
      </c>
      <c r="U1815">
        <v>0</v>
      </c>
      <c r="V1815">
        <v>1.130476720982381E-2</v>
      </c>
      <c r="W1815">
        <v>0.17959886094130714</v>
      </c>
      <c r="X1815">
        <v>2.404865523869797E-2</v>
      </c>
      <c r="Y1815">
        <v>9.8663987065153291E-3</v>
      </c>
    </row>
    <row r="1816" spans="1:25" x14ac:dyDescent="0.25">
      <c r="A1816" s="1093"/>
      <c r="B1816" s="1452">
        <v>1566</v>
      </c>
      <c r="C1816" s="1097">
        <v>0.97454053254291861</v>
      </c>
      <c r="D1816" s="1097">
        <v>0.97715376831489986</v>
      </c>
      <c r="E1816" s="1097">
        <v>1.0256242605254411</v>
      </c>
      <c r="F1816" s="1097">
        <v>1.0215168490748268</v>
      </c>
      <c r="G1816" s="1097">
        <v>1.0053202822213001</v>
      </c>
      <c r="H1816" s="1097">
        <v>0.99676971079654597</v>
      </c>
      <c r="I1816" s="1097">
        <v>1.0043160857053175</v>
      </c>
      <c r="K1816">
        <v>5.3295543796454385</v>
      </c>
      <c r="L1816">
        <v>0</v>
      </c>
      <c r="M1816">
        <v>3.6125283291340063E-3</v>
      </c>
      <c r="N1816">
        <v>0.3381077493217432</v>
      </c>
      <c r="O1816">
        <v>0.15623386100885014</v>
      </c>
      <c r="P1816">
        <v>2.1208463014458043E-2</v>
      </c>
      <c r="Q1816">
        <v>1.3797956924186435E-3</v>
      </c>
      <c r="R1816">
        <v>3.6066409424692493E-3</v>
      </c>
      <c r="S1816">
        <v>0.48670770710950761</v>
      </c>
      <c r="T1816">
        <v>4.0780311685920596</v>
      </c>
      <c r="U1816">
        <v>0</v>
      </c>
      <c r="V1816">
        <v>1.1304767209823822E-2</v>
      </c>
      <c r="W1816">
        <v>0.19796828654122442</v>
      </c>
      <c r="X1816">
        <v>2.8425825884587211E-2</v>
      </c>
      <c r="Y1816">
        <v>1.019264265742811E-2</v>
      </c>
    </row>
    <row r="1817" spans="1:25" x14ac:dyDescent="0.25">
      <c r="A1817" s="1093"/>
      <c r="B1817" s="1452">
        <v>1567</v>
      </c>
      <c r="C1817" s="1097">
        <v>1.0373297181379753</v>
      </c>
      <c r="D1817" s="1097">
        <v>0.97271703378003826</v>
      </c>
      <c r="E1817" s="1097">
        <v>1.001687405259664</v>
      </c>
      <c r="F1817" s="1097">
        <v>1.0137910612478984</v>
      </c>
      <c r="G1817" s="1097">
        <v>1.0346734522337249</v>
      </c>
      <c r="H1817" s="1097">
        <v>0.99117171486447853</v>
      </c>
      <c r="I1817" s="1097">
        <v>1.0186915650861961</v>
      </c>
      <c r="K1817">
        <v>5.216520193879215</v>
      </c>
      <c r="L1817">
        <v>0</v>
      </c>
      <c r="M1817">
        <v>3.529275305457723E-3</v>
      </c>
      <c r="N1817">
        <v>0.30771536468854094</v>
      </c>
      <c r="O1817">
        <v>0.14659093034635426</v>
      </c>
      <c r="P1817">
        <v>2.0590462604533552E-2</v>
      </c>
      <c r="Q1817">
        <v>1.2724944674735018E-3</v>
      </c>
      <c r="R1817">
        <v>3.5234471051632152E-3</v>
      </c>
      <c r="S1817">
        <v>0.46021164985654905</v>
      </c>
      <c r="T1817">
        <v>4.0502159627990482</v>
      </c>
      <c r="U1817">
        <v>0</v>
      </c>
      <c r="V1817">
        <v>1.130476720982382E-2</v>
      </c>
      <c r="W1817">
        <v>0.18308435829361933</v>
      </c>
      <c r="X1817">
        <v>2.558250129190659E-2</v>
      </c>
      <c r="Y1817">
        <v>9.9575305216522431E-3</v>
      </c>
    </row>
    <row r="1818" spans="1:25" x14ac:dyDescent="0.25">
      <c r="A1818" s="1093"/>
      <c r="B1818" s="1452">
        <v>1568</v>
      </c>
      <c r="C1818" s="1097">
        <v>1.0130952081656965</v>
      </c>
      <c r="D1818" s="1097">
        <v>0.97031397160740429</v>
      </c>
      <c r="E1818" s="1097">
        <v>0.96554827076594141</v>
      </c>
      <c r="F1818" s="1097">
        <v>1.0209927114749755</v>
      </c>
      <c r="G1818" s="1097">
        <v>0.97766811109275542</v>
      </c>
      <c r="H1818" s="1097">
        <v>1.0032545202311229</v>
      </c>
      <c r="I1818" s="1097">
        <v>0.99441708401588536</v>
      </c>
      <c r="K1818">
        <v>5.2708568113726715</v>
      </c>
      <c r="L1818">
        <v>0</v>
      </c>
      <c r="M1818">
        <v>3.9781466686651954E-3</v>
      </c>
      <c r="N1818">
        <v>0.31160023290340616</v>
      </c>
      <c r="O1818">
        <v>0.15233906934166178</v>
      </c>
      <c r="P1818">
        <v>2.020546201706571E-2</v>
      </c>
      <c r="Q1818">
        <v>1.2640360204602703E-3</v>
      </c>
      <c r="R1818">
        <v>3.9717020336451454E-3</v>
      </c>
      <c r="S1818">
        <v>0.46524832682826706</v>
      </c>
      <c r="T1818">
        <v>4.0836556007236915</v>
      </c>
      <c r="U1818">
        <v>0</v>
      </c>
      <c r="V1818">
        <v>1.1304767209823811E-2</v>
      </c>
      <c r="W1818">
        <v>0.19003206233165154</v>
      </c>
      <c r="X1818">
        <v>2.3989365459476313E-2</v>
      </c>
      <c r="Y1818">
        <v>1.1224333172187026E-2</v>
      </c>
    </row>
    <row r="1819" spans="1:25" x14ac:dyDescent="0.25">
      <c r="A1819" s="1093"/>
      <c r="B1819" s="1452">
        <v>1569</v>
      </c>
      <c r="C1819" s="1097">
        <v>1.0090574738389688</v>
      </c>
      <c r="D1819" s="1097">
        <v>0.9949556532865641</v>
      </c>
      <c r="E1819" s="1097">
        <v>1.0066862384506832</v>
      </c>
      <c r="F1819" s="1097">
        <v>1.0310170038872266</v>
      </c>
      <c r="G1819" s="1097">
        <v>1.0180355223839797</v>
      </c>
      <c r="H1819" s="1097">
        <v>1.0392379144436128</v>
      </c>
      <c r="I1819" s="1097">
        <v>0.96643947103033434</v>
      </c>
      <c r="K1819">
        <v>5.3376550141998536</v>
      </c>
      <c r="L1819">
        <v>0</v>
      </c>
      <c r="M1819">
        <v>3.793641519219436E-3</v>
      </c>
      <c r="N1819">
        <v>0.33573381324648549</v>
      </c>
      <c r="O1819">
        <v>0.15173680369260628</v>
      </c>
      <c r="P1819">
        <v>2.0987396422779685E-2</v>
      </c>
      <c r="Q1819">
        <v>1.3019238290375805E-3</v>
      </c>
      <c r="R1819">
        <v>3.787766170545354E-3</v>
      </c>
      <c r="S1819">
        <v>0.46212595252657357</v>
      </c>
      <c r="T1819">
        <v>4.1183898440936169</v>
      </c>
      <c r="U1819">
        <v>0</v>
      </c>
      <c r="V1819">
        <v>1.1304767209823803E-2</v>
      </c>
      <c r="W1819">
        <v>0.19908292052158238</v>
      </c>
      <c r="X1819">
        <v>2.6292951625792479E-2</v>
      </c>
      <c r="Y1819">
        <v>1.0704516380228183E-2</v>
      </c>
    </row>
    <row r="1820" spans="1:25" x14ac:dyDescent="0.25">
      <c r="A1820" s="1093"/>
      <c r="B1820" s="1452">
        <v>1570</v>
      </c>
      <c r="C1820" s="1097">
        <v>1.0047180434577296</v>
      </c>
      <c r="D1820" s="1097">
        <v>0.96182198318447443</v>
      </c>
      <c r="E1820" s="1097">
        <v>0.98431390714103939</v>
      </c>
      <c r="F1820" s="1097">
        <v>0.99424509683078921</v>
      </c>
      <c r="G1820" s="1097">
        <v>0.99913368113349976</v>
      </c>
      <c r="H1820" s="1097">
        <v>0.96836528730702753</v>
      </c>
      <c r="I1820" s="1097">
        <v>0.95531355798961015</v>
      </c>
      <c r="K1820">
        <v>5.1094202672199476</v>
      </c>
      <c r="L1820">
        <v>0</v>
      </c>
      <c r="M1820">
        <v>3.6377810042481193E-3</v>
      </c>
      <c r="N1820">
        <v>0.30123196403672897</v>
      </c>
      <c r="O1820">
        <v>0.14958728752308992</v>
      </c>
      <c r="P1820">
        <v>1.9870555891848676E-2</v>
      </c>
      <c r="Q1820">
        <v>1.3001391547870118E-3</v>
      </c>
      <c r="R1820">
        <v>3.631511456790062E-3</v>
      </c>
      <c r="S1820">
        <v>0.43528951392849202</v>
      </c>
      <c r="T1820">
        <v>3.9743033782585653</v>
      </c>
      <c r="U1820">
        <v>0</v>
      </c>
      <c r="V1820">
        <v>1.1304767209823827E-2</v>
      </c>
      <c r="W1820">
        <v>0.18135397059064257</v>
      </c>
      <c r="X1820">
        <v>2.4922031543750545E-2</v>
      </c>
      <c r="Y1820">
        <v>1.0262928629672673E-2</v>
      </c>
    </row>
    <row r="1821" spans="1:25" x14ac:dyDescent="0.25">
      <c r="A1821" s="1093"/>
      <c r="B1821" s="1452">
        <v>1571</v>
      </c>
      <c r="C1821" s="1097">
        <v>1.0179960756594384</v>
      </c>
      <c r="D1821" s="1097">
        <v>1.007046199031062</v>
      </c>
      <c r="E1821" s="1097">
        <v>0.98484352443951206</v>
      </c>
      <c r="F1821" s="1097">
        <v>0.99712516870667844</v>
      </c>
      <c r="G1821" s="1097">
        <v>1.0262908177725685</v>
      </c>
      <c r="H1821" s="1097">
        <v>0.97870853166334704</v>
      </c>
      <c r="I1821" s="1097">
        <v>0.97081160599161365</v>
      </c>
      <c r="K1821">
        <v>5.1077220624465873</v>
      </c>
      <c r="L1821">
        <v>0</v>
      </c>
      <c r="M1821">
        <v>3.5689284489698212E-3</v>
      </c>
      <c r="N1821">
        <v>0.2960020349830797</v>
      </c>
      <c r="O1821">
        <v>0.14535304125441831</v>
      </c>
      <c r="P1821">
        <v>1.9931113144655142E-2</v>
      </c>
      <c r="Q1821">
        <v>1.2603905253595203E-3</v>
      </c>
      <c r="R1821">
        <v>3.5628601188824596E-3</v>
      </c>
      <c r="S1821">
        <v>0.43554195663926543</v>
      </c>
      <c r="T1821">
        <v>3.9857491275304553</v>
      </c>
      <c r="U1821">
        <v>0</v>
      </c>
      <c r="V1821">
        <v>1.130476720982381E-2</v>
      </c>
      <c r="W1821">
        <v>0.17814088920712506</v>
      </c>
      <c r="X1821">
        <v>2.4375895575031458E-2</v>
      </c>
      <c r="Y1821">
        <v>1.0068914707464082E-2</v>
      </c>
    </row>
    <row r="1822" spans="1:25" x14ac:dyDescent="0.25">
      <c r="A1822" s="1093"/>
      <c r="B1822" s="1452">
        <v>1572</v>
      </c>
      <c r="C1822" s="1097">
        <v>0.97390075200154269</v>
      </c>
      <c r="D1822" s="1097">
        <v>0.98991436359048179</v>
      </c>
      <c r="E1822" s="1097">
        <v>0.96376268778615004</v>
      </c>
      <c r="F1822" s="1097">
        <v>1.0174319671667329</v>
      </c>
      <c r="G1822" s="1097">
        <v>1.0066676848831833</v>
      </c>
      <c r="H1822" s="1097">
        <v>0.99622178978157117</v>
      </c>
      <c r="I1822" s="1097">
        <v>0.98724646957160622</v>
      </c>
      <c r="K1822">
        <v>5.2825471238936874</v>
      </c>
      <c r="L1822">
        <v>0</v>
      </c>
      <c r="M1822">
        <v>4.0775216799798916E-3</v>
      </c>
      <c r="N1822">
        <v>0.31768893607876425</v>
      </c>
      <c r="O1822">
        <v>0.1567111167959587</v>
      </c>
      <c r="P1822">
        <v>2.0162510592796293E-2</v>
      </c>
      <c r="Q1822">
        <v>1.302390148105315E-3</v>
      </c>
      <c r="R1822">
        <v>4.070846181579749E-3</v>
      </c>
      <c r="S1822">
        <v>0.47582088137485951</v>
      </c>
      <c r="T1822">
        <v>4.069645585042295</v>
      </c>
      <c r="U1822">
        <v>0</v>
      </c>
      <c r="V1822">
        <v>1.1304767209823806E-2</v>
      </c>
      <c r="W1822">
        <v>0.19398497601017375</v>
      </c>
      <c r="X1822">
        <v>2.4428114035765808E-2</v>
      </c>
      <c r="Y1822">
        <v>1.1504522103547838E-2</v>
      </c>
    </row>
    <row r="1823" spans="1:25" x14ac:dyDescent="0.25">
      <c r="A1823" s="1093"/>
      <c r="B1823" s="1452">
        <v>1573</v>
      </c>
      <c r="C1823" s="1097">
        <v>1.0092749528061096</v>
      </c>
      <c r="D1823" s="1097">
        <v>1.0058796676285788</v>
      </c>
      <c r="E1823" s="1097">
        <v>1.0186926639742961</v>
      </c>
      <c r="F1823" s="1097">
        <v>0.99528859772405343</v>
      </c>
      <c r="G1823" s="1097">
        <v>1.0017152104260991</v>
      </c>
      <c r="H1823" s="1097">
        <v>1.0146823154479938</v>
      </c>
      <c r="I1823" s="1097">
        <v>1.0168782420998912</v>
      </c>
      <c r="K1823">
        <v>5.1605086715858439</v>
      </c>
      <c r="L1823">
        <v>0</v>
      </c>
      <c r="M1823">
        <v>3.4704580015972671E-3</v>
      </c>
      <c r="N1823">
        <v>0.31821445082859284</v>
      </c>
      <c r="O1823">
        <v>0.14547990478979497</v>
      </c>
      <c r="P1823">
        <v>2.0528224418394386E-2</v>
      </c>
      <c r="Q1823">
        <v>1.3092663938068169E-3</v>
      </c>
      <c r="R1823">
        <v>3.4647558238977143E-3</v>
      </c>
      <c r="S1823">
        <v>0.46628860275782669</v>
      </c>
      <c r="T1823">
        <v>3.9741816226029769</v>
      </c>
      <c r="U1823">
        <v>0</v>
      </c>
      <c r="V1823">
        <v>1.1304767209823822E-2</v>
      </c>
      <c r="W1823">
        <v>0.18718228434148579</v>
      </c>
      <c r="X1823">
        <v>2.6233585940910197E-2</v>
      </c>
      <c r="Y1823">
        <v>9.7916644799285885E-3</v>
      </c>
    </row>
    <row r="1824" spans="1:25" x14ac:dyDescent="0.25">
      <c r="A1824" s="1093"/>
      <c r="B1824" s="1452">
        <v>1574</v>
      </c>
      <c r="C1824" s="1097">
        <v>0.98800423988947228</v>
      </c>
      <c r="D1824" s="1097">
        <v>1.0093671710363803</v>
      </c>
      <c r="E1824" s="1097">
        <v>1.0119424588499479</v>
      </c>
      <c r="F1824" s="1097">
        <v>1.0241721006051232</v>
      </c>
      <c r="G1824" s="1097">
        <v>1.0083245666590608</v>
      </c>
      <c r="H1824" s="1097">
        <v>1.0324465028082308</v>
      </c>
      <c r="I1824" s="1097">
        <v>1.003176685312053</v>
      </c>
      <c r="K1824">
        <v>5.3365095979041408</v>
      </c>
      <c r="L1824">
        <v>0</v>
      </c>
      <c r="M1824">
        <v>3.7598053999865371E-3</v>
      </c>
      <c r="N1824">
        <v>0.33795139063582796</v>
      </c>
      <c r="O1824">
        <v>0.15290720598074539</v>
      </c>
      <c r="P1824">
        <v>2.1043139385475189E-2</v>
      </c>
      <c r="Q1824">
        <v>1.3279732496861093E-3</v>
      </c>
      <c r="R1824">
        <v>3.7539050419874271E-3</v>
      </c>
      <c r="S1824">
        <v>0.48447070972066597</v>
      </c>
      <c r="T1824">
        <v>4.0903750078816463</v>
      </c>
      <c r="U1824">
        <v>0</v>
      </c>
      <c r="V1824">
        <v>1.1304767209823832E-2</v>
      </c>
      <c r="W1824">
        <v>0.19969170047624915</v>
      </c>
      <c r="X1824">
        <v>2.6834781476265827E-2</v>
      </c>
      <c r="Y1824">
        <v>1.0608822245748613E-2</v>
      </c>
    </row>
    <row r="1825" spans="1:25" x14ac:dyDescent="0.25">
      <c r="A1825" s="1093"/>
      <c r="B1825" s="1452">
        <v>1575</v>
      </c>
      <c r="C1825" s="1097">
        <v>0.99974386690163941</v>
      </c>
      <c r="D1825" s="1097">
        <v>0.97626881032697688</v>
      </c>
      <c r="E1825" s="1097">
        <v>1.0006449710846277</v>
      </c>
      <c r="F1825" s="1097">
        <v>1.0219275792953046</v>
      </c>
      <c r="G1825" s="1097">
        <v>0.96763742823380539</v>
      </c>
      <c r="H1825" s="1097">
        <v>0.99046893750316067</v>
      </c>
      <c r="I1825" s="1097">
        <v>1.0090994828216737</v>
      </c>
      <c r="K1825">
        <v>5.2938446873013305</v>
      </c>
      <c r="L1825">
        <v>0</v>
      </c>
      <c r="M1825">
        <v>3.6914075000101911E-3</v>
      </c>
      <c r="N1825">
        <v>0.32086293554655387</v>
      </c>
      <c r="O1825">
        <v>0.15312941332844413</v>
      </c>
      <c r="P1825">
        <v>2.0793553254422715E-2</v>
      </c>
      <c r="Q1825">
        <v>1.3172345293378722E-3</v>
      </c>
      <c r="R1825">
        <v>3.6853557224158853E-3</v>
      </c>
      <c r="S1825">
        <v>0.47571420376860724</v>
      </c>
      <c r="T1825">
        <v>4.0828559981547619</v>
      </c>
      <c r="U1825">
        <v>0</v>
      </c>
      <c r="V1825">
        <v>1.1304767209823822E-2</v>
      </c>
      <c r="W1825">
        <v>0.19104133971700554</v>
      </c>
      <c r="X1825">
        <v>2.6416196934817768E-2</v>
      </c>
      <c r="Y1825">
        <v>1.041509663514646E-2</v>
      </c>
    </row>
    <row r="1826" spans="1:25" x14ac:dyDescent="0.25">
      <c r="A1826" s="1093"/>
      <c r="B1826" s="1452">
        <v>1576</v>
      </c>
      <c r="C1826" s="1097">
        <v>1.0008025743658331</v>
      </c>
      <c r="D1826" s="1097">
        <v>0.98971136375688917</v>
      </c>
      <c r="E1826" s="1097">
        <v>0.95783528255056893</v>
      </c>
      <c r="F1826" s="1097">
        <v>0.98848989511993057</v>
      </c>
      <c r="G1826" s="1097">
        <v>1.0429929917046066</v>
      </c>
      <c r="H1826" s="1097">
        <v>1.0043798298901285</v>
      </c>
      <c r="I1826" s="1097">
        <v>1.0307771351002417</v>
      </c>
      <c r="K1826">
        <v>5.1285587766283802</v>
      </c>
      <c r="L1826">
        <v>0</v>
      </c>
      <c r="M1826">
        <v>3.9356382554879077E-3</v>
      </c>
      <c r="N1826">
        <v>0.30127044761817556</v>
      </c>
      <c r="O1826">
        <v>0.14833625959777394</v>
      </c>
      <c r="P1826">
        <v>1.9553534072217542E-2</v>
      </c>
      <c r="Q1826">
        <v>1.2609006495710898E-3</v>
      </c>
      <c r="R1826">
        <v>3.9290605707994926E-3</v>
      </c>
      <c r="S1826">
        <v>0.47348982503140374</v>
      </c>
      <c r="T1826">
        <v>3.9546287463246124</v>
      </c>
      <c r="U1826">
        <v>0</v>
      </c>
      <c r="V1826">
        <v>1.1304767209823822E-2</v>
      </c>
      <c r="W1826">
        <v>0.18471813349125546</v>
      </c>
      <c r="X1826">
        <v>2.2898915175568663E-2</v>
      </c>
      <c r="Y1826">
        <v>1.1103825142663533E-2</v>
      </c>
    </row>
    <row r="1827" spans="1:25" x14ac:dyDescent="0.25">
      <c r="A1827" s="1093"/>
      <c r="B1827" s="1452">
        <v>1577</v>
      </c>
      <c r="C1827" s="1097">
        <v>1.0253422073426992</v>
      </c>
      <c r="D1827" s="1097">
        <v>1.0277006621870866</v>
      </c>
      <c r="E1827" s="1097">
        <v>0.97289863829276646</v>
      </c>
      <c r="F1827" s="1097">
        <v>1.0321330476878299</v>
      </c>
      <c r="G1827" s="1097">
        <v>0.97391771920216363</v>
      </c>
      <c r="H1827" s="1097">
        <v>0.99945736050429046</v>
      </c>
      <c r="I1827" s="1097">
        <v>0.98486912510153912</v>
      </c>
      <c r="K1827">
        <v>5.2872288216483438</v>
      </c>
      <c r="L1827">
        <v>0</v>
      </c>
      <c r="M1827">
        <v>3.8093344448153119E-3</v>
      </c>
      <c r="N1827">
        <v>0.30496576292456945</v>
      </c>
      <c r="O1827">
        <v>0.14850094060155875</v>
      </c>
      <c r="P1827">
        <v>2.0462175231184442E-2</v>
      </c>
      <c r="Q1827">
        <v>1.2284267013700865E-3</v>
      </c>
      <c r="R1827">
        <v>3.8032065955930904E-3</v>
      </c>
      <c r="S1827">
        <v>0.45364741616296883</v>
      </c>
      <c r="T1827">
        <v>4.1272472748460727</v>
      </c>
      <c r="U1827">
        <v>0</v>
      </c>
      <c r="V1827">
        <v>1.1304767209823808E-2</v>
      </c>
      <c r="W1827">
        <v>0.18504482507755418</v>
      </c>
      <c r="X1827">
        <v>2.4085208542237731E-2</v>
      </c>
      <c r="Y1827">
        <v>1.0748152200233778E-2</v>
      </c>
    </row>
    <row r="1828" spans="1:25" x14ac:dyDescent="0.25">
      <c r="A1828" s="1093"/>
      <c r="B1828" s="1452">
        <v>1578</v>
      </c>
      <c r="C1828" s="1097">
        <v>1.0296486313897335</v>
      </c>
      <c r="D1828" s="1097">
        <v>1.0200563130592193</v>
      </c>
      <c r="E1828" s="1097">
        <v>1.0202095711037396</v>
      </c>
      <c r="F1828" s="1097">
        <v>1.0191534629089878</v>
      </c>
      <c r="G1828" s="1097">
        <v>0.97718858109206153</v>
      </c>
      <c r="H1828" s="1097">
        <v>1.0146799636106045</v>
      </c>
      <c r="I1828" s="1097">
        <v>1.0111013476340072</v>
      </c>
      <c r="K1828">
        <v>5.2514059785685081</v>
      </c>
      <c r="L1828">
        <v>0</v>
      </c>
      <c r="M1828">
        <v>3.4526862135666864E-3</v>
      </c>
      <c r="N1828">
        <v>0.31802119753097718</v>
      </c>
      <c r="O1828">
        <v>0.14516392701078679</v>
      </c>
      <c r="P1828">
        <v>2.0971850209784433E-2</v>
      </c>
      <c r="Q1828">
        <v>1.2778353237280799E-3</v>
      </c>
      <c r="R1828">
        <v>3.4471458473722153E-3</v>
      </c>
      <c r="S1828">
        <v>0.46234578570524915</v>
      </c>
      <c r="T1828">
        <v>4.0692815727388485</v>
      </c>
      <c r="U1828">
        <v>0</v>
      </c>
      <c r="V1828">
        <v>1.1304767209823818E-2</v>
      </c>
      <c r="W1828">
        <v>0.18687942185889608</v>
      </c>
      <c r="X1828">
        <v>2.6423264004794996E-2</v>
      </c>
      <c r="Y1828">
        <v>9.7418973418094221E-3</v>
      </c>
    </row>
    <row r="1829" spans="1:25" x14ac:dyDescent="0.25">
      <c r="A1829" s="1093"/>
      <c r="B1829" s="1452">
        <v>1579</v>
      </c>
      <c r="C1829" s="1097">
        <v>1.0149770787435033</v>
      </c>
      <c r="D1829" s="1097">
        <v>1.0101039900464013</v>
      </c>
      <c r="E1829" s="1097">
        <v>0.99531727897860844</v>
      </c>
      <c r="F1829" s="1097">
        <v>1.0002569182980054</v>
      </c>
      <c r="G1829" s="1097">
        <v>1.0159199316802645</v>
      </c>
      <c r="H1829" s="1097">
        <v>1.0085499913764953</v>
      </c>
      <c r="I1829" s="1097">
        <v>0.9887575147639398</v>
      </c>
      <c r="K1829">
        <v>5.1559770678627164</v>
      </c>
      <c r="L1829">
        <v>0</v>
      </c>
      <c r="M1829">
        <v>3.6152661974330081E-3</v>
      </c>
      <c r="N1829">
        <v>0.30932056027107413</v>
      </c>
      <c r="O1829">
        <v>0.14577993130925052</v>
      </c>
      <c r="P1829">
        <v>2.0210712224709028E-2</v>
      </c>
      <c r="Q1829">
        <v>1.2740644951971681E-3</v>
      </c>
      <c r="R1829">
        <v>3.6093196079656957E-3</v>
      </c>
      <c r="S1829">
        <v>0.45124637255317218</v>
      </c>
      <c r="T1829">
        <v>3.9969460079693988</v>
      </c>
      <c r="U1829">
        <v>0</v>
      </c>
      <c r="V1829">
        <v>1.130476720982381E-2</v>
      </c>
      <c r="W1829">
        <v>0.18483429923184264</v>
      </c>
      <c r="X1829">
        <v>2.4866086417088505E-2</v>
      </c>
      <c r="Y1829">
        <v>1.0200212770627503E-2</v>
      </c>
    </row>
    <row r="1830" spans="1:25" x14ac:dyDescent="0.25">
      <c r="A1830" s="1093"/>
      <c r="B1830" s="1452">
        <v>1580</v>
      </c>
      <c r="C1830" s="1097">
        <v>0.99202299794841842</v>
      </c>
      <c r="D1830" s="1097">
        <v>1.002068937989659</v>
      </c>
      <c r="E1830" s="1097">
        <v>0.98643239792014092</v>
      </c>
      <c r="F1830" s="1097">
        <v>0.98843807810105799</v>
      </c>
      <c r="G1830" s="1097">
        <v>1.0106861232974609</v>
      </c>
      <c r="H1830" s="1097">
        <v>0.99735155452397584</v>
      </c>
      <c r="I1830" s="1097">
        <v>1.0346149180017641</v>
      </c>
      <c r="K1830">
        <v>5.1364782530717923</v>
      </c>
      <c r="L1830">
        <v>0</v>
      </c>
      <c r="M1830">
        <v>3.6946562895247741E-3</v>
      </c>
      <c r="N1830">
        <v>0.3078825632782099</v>
      </c>
      <c r="O1830">
        <v>0.1481084881736518</v>
      </c>
      <c r="P1830">
        <v>1.9984089816482902E-2</v>
      </c>
      <c r="Q1830">
        <v>1.2977380341686435E-3</v>
      </c>
      <c r="R1830">
        <v>3.6884375214240529E-3</v>
      </c>
      <c r="S1830">
        <v>0.47690233916046226</v>
      </c>
      <c r="T1830">
        <v>3.9508262266267948</v>
      </c>
      <c r="U1830">
        <v>0</v>
      </c>
      <c r="V1830">
        <v>1.1304767209823818E-2</v>
      </c>
      <c r="W1830">
        <v>0.18509004360708783</v>
      </c>
      <c r="X1830">
        <v>2.4664409898780455E-2</v>
      </c>
      <c r="Y1830">
        <v>1.0423806034427763E-2</v>
      </c>
    </row>
    <row r="1831" spans="1:25" x14ac:dyDescent="0.25">
      <c r="A1831" s="1093"/>
      <c r="B1831" s="1452">
        <v>1581</v>
      </c>
      <c r="C1831" s="1097">
        <v>1.0438826679740716</v>
      </c>
      <c r="D1831" s="1097">
        <v>1.0132642552381699</v>
      </c>
      <c r="E1831" s="1097">
        <v>1.0019084955590156</v>
      </c>
      <c r="F1831" s="1097">
        <v>0.99606524519980622</v>
      </c>
      <c r="G1831" s="1097">
        <v>0.98454923978118891</v>
      </c>
      <c r="H1831" s="1097">
        <v>1.0112291744084092</v>
      </c>
      <c r="I1831" s="1097">
        <v>0.99995153449825169</v>
      </c>
      <c r="K1831">
        <v>5.1106590009519124</v>
      </c>
      <c r="L1831">
        <v>0</v>
      </c>
      <c r="M1831">
        <v>3.4570574425490004E-3</v>
      </c>
      <c r="N1831">
        <v>0.30161743349714842</v>
      </c>
      <c r="O1831">
        <v>0.14079883632313298</v>
      </c>
      <c r="P1831">
        <v>2.0189895825798696E-2</v>
      </c>
      <c r="Q1831">
        <v>1.2442531590206637E-3</v>
      </c>
      <c r="R1831">
        <v>3.4513623228427819E-3</v>
      </c>
      <c r="S1831">
        <v>0.44236348335401288</v>
      </c>
      <c r="T1831">
        <v>3.9793715918188592</v>
      </c>
      <c r="U1831">
        <v>0</v>
      </c>
      <c r="V1831">
        <v>1.1304767209823803E-2</v>
      </c>
      <c r="W1831">
        <v>0.17942943243760318</v>
      </c>
      <c r="X1831">
        <v>2.4591189022815867E-2</v>
      </c>
      <c r="Y1831">
        <v>9.7538134234019143E-3</v>
      </c>
    </row>
    <row r="1832" spans="1:25" x14ac:dyDescent="0.25">
      <c r="A1832" s="1093"/>
      <c r="B1832" s="1452">
        <v>1582</v>
      </c>
      <c r="C1832" s="1097">
        <v>1.009284009238723</v>
      </c>
      <c r="D1832" s="1097">
        <v>1.0433194097204319</v>
      </c>
      <c r="E1832" s="1097">
        <v>0.98314420727467899</v>
      </c>
      <c r="F1832" s="1097">
        <v>1.0047390799429381</v>
      </c>
      <c r="G1832" s="1097">
        <v>1.0059880063548468</v>
      </c>
      <c r="H1832" s="1097">
        <v>1.0274683859369127</v>
      </c>
      <c r="I1832" s="1097">
        <v>1.0093914742175416</v>
      </c>
      <c r="K1832">
        <v>5.1933813826565469</v>
      </c>
      <c r="L1832">
        <v>0</v>
      </c>
      <c r="M1832">
        <v>3.7677920487262299E-3</v>
      </c>
      <c r="N1832">
        <v>0.31095313420746407</v>
      </c>
      <c r="O1832">
        <v>0.14569721789853965</v>
      </c>
      <c r="P1832">
        <v>2.0178206231889845E-2</v>
      </c>
      <c r="Q1832">
        <v>1.2515600914348942E-3</v>
      </c>
      <c r="R1832">
        <v>3.7617357812564159E-3</v>
      </c>
      <c r="S1832">
        <v>0.46560768683536857</v>
      </c>
      <c r="T1832">
        <v>4.0163997372236864</v>
      </c>
      <c r="U1832">
        <v>0</v>
      </c>
      <c r="V1832">
        <v>1.130476720982382E-2</v>
      </c>
      <c r="W1832">
        <v>0.18735621891832785</v>
      </c>
      <c r="X1832">
        <v>2.4007957794705399E-2</v>
      </c>
      <c r="Y1832">
        <v>1.0630952512771435E-2</v>
      </c>
    </row>
    <row r="1833" spans="1:25" x14ac:dyDescent="0.25">
      <c r="A1833" s="1093"/>
      <c r="B1833" s="1452">
        <v>1583</v>
      </c>
      <c r="C1833" s="1097">
        <v>1.0043751202710478</v>
      </c>
      <c r="D1833" s="1097">
        <v>0.96175561190682057</v>
      </c>
      <c r="E1833" s="1097">
        <v>1.0233792035906752</v>
      </c>
      <c r="F1833" s="1097">
        <v>0.99615888367893402</v>
      </c>
      <c r="G1833" s="1097">
        <v>1.0123207786532018</v>
      </c>
      <c r="H1833" s="1097">
        <v>1.0053513718492844</v>
      </c>
      <c r="I1833" s="1097">
        <v>1.0036411111910299</v>
      </c>
      <c r="K1833">
        <v>5.1754357659087544</v>
      </c>
      <c r="L1833">
        <v>0</v>
      </c>
      <c r="M1833">
        <v>3.4862582263024276E-3</v>
      </c>
      <c r="N1833">
        <v>0.32412154620546985</v>
      </c>
      <c r="O1833">
        <v>0.14883506592001827</v>
      </c>
      <c r="P1833">
        <v>2.0607150705894684E-2</v>
      </c>
      <c r="Q1833">
        <v>1.3447925500797461E-3</v>
      </c>
      <c r="R1833">
        <v>3.4804819657938851E-3</v>
      </c>
      <c r="S1833">
        <v>0.4652111178416492</v>
      </c>
      <c r="T1833">
        <v>3.9770763394801043</v>
      </c>
      <c r="U1833">
        <v>0</v>
      </c>
      <c r="V1833">
        <v>1.1304767209823827E-2</v>
      </c>
      <c r="W1833">
        <v>0.19006255262494717</v>
      </c>
      <c r="X1833">
        <v>2.7042101873711488E-2</v>
      </c>
      <c r="Y1833">
        <v>9.8361077575613003E-3</v>
      </c>
    </row>
    <row r="1834" spans="1:25" x14ac:dyDescent="0.25">
      <c r="A1834" s="1093"/>
      <c r="B1834" s="1452">
        <v>1584</v>
      </c>
      <c r="C1834" s="1097">
        <v>0.96124632193054704</v>
      </c>
      <c r="D1834" s="1097">
        <v>0.99098180834090566</v>
      </c>
      <c r="E1834" s="1097">
        <v>1.0005638895487008</v>
      </c>
      <c r="F1834" s="1097">
        <v>1.0038691855304962</v>
      </c>
      <c r="G1834" s="1097">
        <v>0.97914626277642047</v>
      </c>
      <c r="H1834" s="1097">
        <v>0.96639158553884219</v>
      </c>
      <c r="I1834" s="1097">
        <v>0.97980246143739369</v>
      </c>
      <c r="K1834">
        <v>5.2108778967581344</v>
      </c>
      <c r="L1834">
        <v>0</v>
      </c>
      <c r="M1834">
        <v>3.6585051741974402E-3</v>
      </c>
      <c r="N1834">
        <v>0.31790401198937801</v>
      </c>
      <c r="O1834">
        <v>0.15551696740821574</v>
      </c>
      <c r="P1834">
        <v>2.0425607425297039E-2</v>
      </c>
      <c r="Q1834">
        <v>1.361722112553687E-3</v>
      </c>
      <c r="R1834">
        <v>3.6522475039585068E-3</v>
      </c>
      <c r="S1834">
        <v>0.46725817661449398</v>
      </c>
      <c r="T1834">
        <v>4.0107184198597574</v>
      </c>
      <c r="U1834">
        <v>0</v>
      </c>
      <c r="V1834">
        <v>1.1304767209823825E-2</v>
      </c>
      <c r="W1834">
        <v>0.18928996952795329</v>
      </c>
      <c r="X1834">
        <v>2.6782981998801164E-2</v>
      </c>
      <c r="Y1834">
        <v>1.0321530282093004E-2</v>
      </c>
    </row>
    <row r="1835" spans="1:25" x14ac:dyDescent="0.25">
      <c r="A1835" s="1093"/>
      <c r="B1835" s="1452">
        <v>1585</v>
      </c>
      <c r="C1835" s="1097">
        <v>1.038119564669485</v>
      </c>
      <c r="D1835" s="1097">
        <v>1.0337474737446484</v>
      </c>
      <c r="E1835" s="1097">
        <v>1.0121680271115652</v>
      </c>
      <c r="F1835" s="1097">
        <v>1.0253301020604866</v>
      </c>
      <c r="G1835" s="1097">
        <v>0.99740291267195036</v>
      </c>
      <c r="H1835" s="1097">
        <v>0.9901876739900809</v>
      </c>
      <c r="I1835" s="1097">
        <v>0.99791313426386219</v>
      </c>
      <c r="K1835">
        <v>5.2442587089348107</v>
      </c>
      <c r="L1835">
        <v>0</v>
      </c>
      <c r="M1835">
        <v>3.4014487384408784E-3</v>
      </c>
      <c r="N1835">
        <v>0.30592464998206487</v>
      </c>
      <c r="O1835">
        <v>0.14429976262679844</v>
      </c>
      <c r="P1835">
        <v>2.0906182369020747E-2</v>
      </c>
      <c r="Q1835">
        <v>1.2520969609935602E-3</v>
      </c>
      <c r="R1835">
        <v>3.395889222298117E-3</v>
      </c>
      <c r="S1835">
        <v>0.44927864345730872</v>
      </c>
      <c r="T1835">
        <v>4.0949710021754271</v>
      </c>
      <c r="U1835">
        <v>0</v>
      </c>
      <c r="V1835">
        <v>1.1304767209823806E-2</v>
      </c>
      <c r="W1835">
        <v>0.18074012448088739</v>
      </c>
      <c r="X1835">
        <v>2.5989996982538652E-2</v>
      </c>
      <c r="Y1835">
        <v>9.5970422060918156E-3</v>
      </c>
    </row>
    <row r="1836" spans="1:25" x14ac:dyDescent="0.25">
      <c r="A1836" s="1093"/>
      <c r="B1836" s="1452">
        <v>1586</v>
      </c>
      <c r="C1836" s="1097">
        <v>1.0360688789379608</v>
      </c>
      <c r="D1836" s="1097">
        <v>1.0342861134497556</v>
      </c>
      <c r="E1836" s="1097">
        <v>1.0248739752868667</v>
      </c>
      <c r="F1836" s="1097">
        <v>0.99844126647298548</v>
      </c>
      <c r="G1836" s="1097">
        <v>1.0051119739886656</v>
      </c>
      <c r="H1836" s="1097">
        <v>0.98131697310822896</v>
      </c>
      <c r="I1836" s="1097">
        <v>0.97702493225249887</v>
      </c>
      <c r="K1836">
        <v>5.0981369388769435</v>
      </c>
      <c r="L1836">
        <v>0</v>
      </c>
      <c r="M1836">
        <v>3.2014597160955963E-3</v>
      </c>
      <c r="N1836">
        <v>0.29895131077435222</v>
      </c>
      <c r="O1836">
        <v>0.14042801215193187</v>
      </c>
      <c r="P1836">
        <v>2.0505099932009468E-2</v>
      </c>
      <c r="Q1836">
        <v>1.2678857778471316E-3</v>
      </c>
      <c r="R1836">
        <v>3.1960378152770916E-3</v>
      </c>
      <c r="S1836">
        <v>0.42940821352852204</v>
      </c>
      <c r="T1836">
        <v>3.9860033050920962</v>
      </c>
      <c r="U1836">
        <v>0</v>
      </c>
      <c r="V1836">
        <v>1.1304767209823801E-2</v>
      </c>
      <c r="W1836">
        <v>0.17512875584624618</v>
      </c>
      <c r="X1836">
        <v>2.6112763593017681E-2</v>
      </c>
      <c r="Y1836">
        <v>9.0322468719172683E-3</v>
      </c>
    </row>
    <row r="1837" spans="1:25" x14ac:dyDescent="0.25">
      <c r="A1837" s="1093"/>
      <c r="B1837" s="1452">
        <v>1587</v>
      </c>
      <c r="C1837" s="1097">
        <v>1.0382411455227254</v>
      </c>
      <c r="D1837" s="1097">
        <v>0.96828270181840892</v>
      </c>
      <c r="E1837" s="1097">
        <v>0.97865746190978653</v>
      </c>
      <c r="F1837" s="1097">
        <v>1.005004695439365</v>
      </c>
      <c r="G1837" s="1097">
        <v>0.96727591372514266</v>
      </c>
      <c r="H1837" s="1097">
        <v>0.98106747333256028</v>
      </c>
      <c r="I1837" s="1097">
        <v>0.98440011956075268</v>
      </c>
      <c r="K1837">
        <v>5.1460842127151274</v>
      </c>
      <c r="L1837">
        <v>0</v>
      </c>
      <c r="M1837">
        <v>3.6383495077780708E-3</v>
      </c>
      <c r="N1837">
        <v>0.29627692932631589</v>
      </c>
      <c r="O1837">
        <v>0.14608690392947699</v>
      </c>
      <c r="P1837">
        <v>2.0000890273972304E-2</v>
      </c>
      <c r="Q1837">
        <v>1.248655011437744E-3</v>
      </c>
      <c r="R1837">
        <v>3.6322263207875212E-3</v>
      </c>
      <c r="S1837">
        <v>0.43968204242725456</v>
      </c>
      <c r="T1837">
        <v>4.0180327369291788</v>
      </c>
      <c r="U1837">
        <v>0</v>
      </c>
      <c r="V1837">
        <v>1.1304767209823813E-2</v>
      </c>
      <c r="W1837">
        <v>0.17906273637360781</v>
      </c>
      <c r="X1837">
        <v>2.4129725531144459E-2</v>
      </c>
      <c r="Y1837">
        <v>1.0264948889906773E-2</v>
      </c>
    </row>
    <row r="1838" spans="1:25" x14ac:dyDescent="0.25">
      <c r="A1838" s="1093"/>
      <c r="B1838" s="1452">
        <v>1588</v>
      </c>
      <c r="C1838" s="1097">
        <v>1.0051258646161849</v>
      </c>
      <c r="D1838" s="1097">
        <v>1.0311453568009266</v>
      </c>
      <c r="E1838" s="1097">
        <v>1.0184579015960353</v>
      </c>
      <c r="F1838" s="1097">
        <v>0.95325763115135353</v>
      </c>
      <c r="G1838" s="1097">
        <v>1.0028176970317129</v>
      </c>
      <c r="H1838" s="1097">
        <v>1.0052840558271021</v>
      </c>
      <c r="I1838" s="1097">
        <v>1.0316293462717272</v>
      </c>
      <c r="K1838">
        <v>4.9424899344101414</v>
      </c>
      <c r="L1838">
        <v>0</v>
      </c>
      <c r="M1838">
        <v>3.2759216513681307E-3</v>
      </c>
      <c r="N1838">
        <v>0.30014180983806077</v>
      </c>
      <c r="O1838">
        <v>0.13853610362287702</v>
      </c>
      <c r="P1838">
        <v>1.9695405064922841E-2</v>
      </c>
      <c r="Q1838">
        <v>1.301431062833884E-3</v>
      </c>
      <c r="R1838">
        <v>3.2702496598613667E-3</v>
      </c>
      <c r="S1838">
        <v>0.45421702976645362</v>
      </c>
      <c r="T1838">
        <v>3.8063800669854304</v>
      </c>
      <c r="U1838">
        <v>0</v>
      </c>
      <c r="V1838">
        <v>1.1304767209823815E-2</v>
      </c>
      <c r="W1838">
        <v>0.17657913716075768</v>
      </c>
      <c r="X1838">
        <v>2.5097880479968211E-2</v>
      </c>
      <c r="Y1838">
        <v>9.2419752105187356E-3</v>
      </c>
    </row>
    <row r="1839" spans="1:25" x14ac:dyDescent="0.25">
      <c r="A1839" s="1093"/>
      <c r="B1839" s="1452">
        <v>1589</v>
      </c>
      <c r="C1839" s="1097">
        <v>0.98411425763645743</v>
      </c>
      <c r="D1839" s="1097">
        <v>1.022374974417011</v>
      </c>
      <c r="E1839" s="1097">
        <v>0.98936783047190724</v>
      </c>
      <c r="F1839" s="1097">
        <v>1.0467664160333872</v>
      </c>
      <c r="G1839" s="1097">
        <v>0.97384597526952676</v>
      </c>
      <c r="H1839" s="1097">
        <v>1.0083618401527543</v>
      </c>
      <c r="I1839" s="1097">
        <v>1.0063042074451878</v>
      </c>
      <c r="K1839">
        <v>5.4310672573758705</v>
      </c>
      <c r="L1839">
        <v>0</v>
      </c>
      <c r="M1839">
        <v>3.9310934716175741E-3</v>
      </c>
      <c r="N1839">
        <v>0.3304862571617499</v>
      </c>
      <c r="O1839">
        <v>0.15675915363454995</v>
      </c>
      <c r="P1839">
        <v>2.114196546926965E-2</v>
      </c>
      <c r="Q1839">
        <v>1.3010058230477056E-3</v>
      </c>
      <c r="R1839">
        <v>3.9249130817663432E-3</v>
      </c>
      <c r="S1839">
        <v>0.49097175242715785</v>
      </c>
      <c r="T1839">
        <v>4.183578928562885</v>
      </c>
      <c r="U1839">
        <v>0</v>
      </c>
      <c r="V1839">
        <v>1.1304767209823822E-2</v>
      </c>
      <c r="W1839">
        <v>0.19828169448109451</v>
      </c>
      <c r="X1839">
        <v>2.6155808974130862E-2</v>
      </c>
      <c r="Y1839">
        <v>1.1092104022010043E-2</v>
      </c>
    </row>
    <row r="1840" spans="1:25" x14ac:dyDescent="0.25">
      <c r="A1840" s="1093"/>
      <c r="B1840" s="1452">
        <v>1590</v>
      </c>
      <c r="C1840" s="1097">
        <v>1.043663984786428</v>
      </c>
      <c r="D1840" s="1097">
        <v>0.99190375619540638</v>
      </c>
      <c r="E1840" s="1097">
        <v>1.0099920276138485</v>
      </c>
      <c r="F1840" s="1097">
        <v>0.98169871335213177</v>
      </c>
      <c r="G1840" s="1097">
        <v>0.98503924469888859</v>
      </c>
      <c r="H1840" s="1097">
        <v>1.0110303437513477</v>
      </c>
      <c r="I1840" s="1097">
        <v>0.98022862955264578</v>
      </c>
      <c r="K1840">
        <v>5.0384541697533178</v>
      </c>
      <c r="L1840">
        <v>0</v>
      </c>
      <c r="M1840">
        <v>3.3784270911596968E-3</v>
      </c>
      <c r="N1840">
        <v>0.30189163303912697</v>
      </c>
      <c r="O1840">
        <v>0.13977272938476598</v>
      </c>
      <c r="P1840">
        <v>1.9988317877775746E-2</v>
      </c>
      <c r="Q1840">
        <v>1.263858284282707E-3</v>
      </c>
      <c r="R1840">
        <v>3.3727790846293381E-3</v>
      </c>
      <c r="S1840">
        <v>0.43026250880379457</v>
      </c>
      <c r="T1840">
        <v>3.9209824397628914</v>
      </c>
      <c r="U1840">
        <v>0</v>
      </c>
      <c r="V1840">
        <v>1.1304767209823832E-2</v>
      </c>
      <c r="W1840">
        <v>0.17861795897100194</v>
      </c>
      <c r="X1840">
        <v>2.4843873233714415E-2</v>
      </c>
      <c r="Y1840">
        <v>9.5317311926643028E-3</v>
      </c>
    </row>
    <row r="1841" spans="1:25" x14ac:dyDescent="0.25">
      <c r="A1841" s="1093"/>
      <c r="B1841" s="1452">
        <v>1591</v>
      </c>
      <c r="C1841" s="1097">
        <v>1.0239670753460239</v>
      </c>
      <c r="D1841" s="1097">
        <v>0.97022183201484913</v>
      </c>
      <c r="E1841" s="1097">
        <v>1.0091870767830771</v>
      </c>
      <c r="F1841" s="1097">
        <v>1.0010140186386194</v>
      </c>
      <c r="G1841" s="1097">
        <v>0.99758576380817898</v>
      </c>
      <c r="H1841" s="1097">
        <v>0.98181968466307623</v>
      </c>
      <c r="I1841" s="1097">
        <v>0.96997967230891502</v>
      </c>
      <c r="K1841">
        <v>5.1402803711344376</v>
      </c>
      <c r="L1841">
        <v>0</v>
      </c>
      <c r="M1841">
        <v>3.4457301248514219E-3</v>
      </c>
      <c r="N1841">
        <v>0.3071676680131068</v>
      </c>
      <c r="O1841">
        <v>0.1465764461069344</v>
      </c>
      <c r="P1841">
        <v>2.0364599009260645E-2</v>
      </c>
      <c r="Q1841">
        <v>1.2987175092357465E-3</v>
      </c>
      <c r="R1841">
        <v>3.4399124883693257E-3</v>
      </c>
      <c r="S1841">
        <v>0.43778603806097161</v>
      </c>
      <c r="T1841">
        <v>3.9982300088237284</v>
      </c>
      <c r="U1841">
        <v>0</v>
      </c>
      <c r="V1841">
        <v>1.1304767209823815E-2</v>
      </c>
      <c r="W1841">
        <v>0.18183785169952091</v>
      </c>
      <c r="X1841">
        <v>2.5998637021308627E-2</v>
      </c>
      <c r="Y1841">
        <v>9.7214553170264194E-3</v>
      </c>
    </row>
    <row r="1842" spans="1:25" x14ac:dyDescent="0.25">
      <c r="A1842" s="1093"/>
      <c r="B1842" s="1452">
        <v>1592</v>
      </c>
      <c r="C1842" s="1097">
        <v>1.0173811750527</v>
      </c>
      <c r="D1842" s="1097">
        <v>0.99909188084391731</v>
      </c>
      <c r="E1842" s="1097">
        <v>1.0122276844665026</v>
      </c>
      <c r="F1842" s="1097">
        <v>0.96280467757629606</v>
      </c>
      <c r="G1842" s="1097">
        <v>0.96186312465305801</v>
      </c>
      <c r="H1842" s="1097">
        <v>0.99410735616103174</v>
      </c>
      <c r="I1842" s="1097">
        <v>1.008025309884484</v>
      </c>
      <c r="K1842">
        <v>4.9696615783682523</v>
      </c>
      <c r="L1842">
        <v>0</v>
      </c>
      <c r="M1842">
        <v>3.3169005852050231E-3</v>
      </c>
      <c r="N1842">
        <v>0.29834350247816349</v>
      </c>
      <c r="O1842">
        <v>0.14015949355705512</v>
      </c>
      <c r="P1842">
        <v>1.9731893336924298E-2</v>
      </c>
      <c r="Q1842">
        <v>1.2952311656063418E-3</v>
      </c>
      <c r="R1842">
        <v>3.3111505616705847E-3</v>
      </c>
      <c r="S1842">
        <v>0.44292173271153568</v>
      </c>
      <c r="T1842">
        <v>3.8452493258406317</v>
      </c>
      <c r="U1842">
        <v>0</v>
      </c>
      <c r="V1842">
        <v>1.1304767209823804E-2</v>
      </c>
      <c r="W1842">
        <v>0.17625413809491944</v>
      </c>
      <c r="X1842">
        <v>2.5049679715456977E-2</v>
      </c>
      <c r="Y1842">
        <v>9.3575642816677174E-3</v>
      </c>
    </row>
    <row r="1843" spans="1:25" x14ac:dyDescent="0.25">
      <c r="A1843" s="1093"/>
      <c r="B1843" s="1452">
        <v>1593</v>
      </c>
      <c r="C1843" s="1097">
        <v>0.98085042164760106</v>
      </c>
      <c r="D1843" s="1097">
        <v>0.95490480486931872</v>
      </c>
      <c r="E1843" s="1097">
        <v>1.0002659766473536</v>
      </c>
      <c r="F1843" s="1097">
        <v>0.99736691675165434</v>
      </c>
      <c r="G1843" s="1097">
        <v>1.0228621854468916</v>
      </c>
      <c r="H1843" s="1097">
        <v>0.99013009210376646</v>
      </c>
      <c r="I1843" s="1097">
        <v>0.96047189085332019</v>
      </c>
      <c r="K1843">
        <v>5.1757348691304434</v>
      </c>
      <c r="L1843">
        <v>0</v>
      </c>
      <c r="M1843">
        <v>3.7065677682493105E-3</v>
      </c>
      <c r="N1843">
        <v>0.32180593610591246</v>
      </c>
      <c r="O1843">
        <v>0.15369298106360729</v>
      </c>
      <c r="P1843">
        <v>2.0243499519795236E-2</v>
      </c>
      <c r="Q1843">
        <v>1.3541032615837817E-3</v>
      </c>
      <c r="R1843">
        <v>3.700339614720642E-3</v>
      </c>
      <c r="S1843">
        <v>0.45416517367774673</v>
      </c>
      <c r="T1843">
        <v>3.9847774634747073</v>
      </c>
      <c r="U1843">
        <v>0</v>
      </c>
      <c r="V1843">
        <v>1.1304767209823815E-2</v>
      </c>
      <c r="W1843">
        <v>0.19165187159047642</v>
      </c>
      <c r="X1843">
        <v>2.6287859121553122E-2</v>
      </c>
      <c r="Y1843">
        <v>1.0457442258765765E-2</v>
      </c>
    </row>
    <row r="1844" spans="1:25" x14ac:dyDescent="0.25">
      <c r="A1844" s="1093"/>
      <c r="B1844" s="1452">
        <v>1594</v>
      </c>
      <c r="C1844" s="1097">
        <v>0.97854306737850349</v>
      </c>
      <c r="D1844" s="1097">
        <v>1.0076978940880679</v>
      </c>
      <c r="E1844" s="1097">
        <v>0.98439235528713154</v>
      </c>
      <c r="F1844" s="1097">
        <v>0.98557083143643598</v>
      </c>
      <c r="G1844" s="1097">
        <v>1.0183315879099961</v>
      </c>
      <c r="H1844" s="1097">
        <v>1.0236778922294565</v>
      </c>
      <c r="I1844" s="1097">
        <v>1.0158379224672536</v>
      </c>
      <c r="K1844">
        <v>5.144639400688086</v>
      </c>
      <c r="L1844">
        <v>0</v>
      </c>
      <c r="M1844">
        <v>3.8411374557215491E-3</v>
      </c>
      <c r="N1844">
        <v>0.31817034223116958</v>
      </c>
      <c r="O1844">
        <v>0.14943512730486996</v>
      </c>
      <c r="P1844">
        <v>1.9908128066896281E-2</v>
      </c>
      <c r="Q1844">
        <v>1.3103560717477889E-3</v>
      </c>
      <c r="R1844">
        <v>3.8348201103895218E-3</v>
      </c>
      <c r="S1844">
        <v>0.47805514281972455</v>
      </c>
      <c r="T1844">
        <v>3.9396198936328846</v>
      </c>
      <c r="U1844">
        <v>0</v>
      </c>
      <c r="V1844">
        <v>1.1304767209823817E-2</v>
      </c>
      <c r="W1844">
        <v>0.1915413028753476</v>
      </c>
      <c r="X1844">
        <v>2.4463163414323145E-2</v>
      </c>
      <c r="Y1844">
        <v>1.0837494406626166E-2</v>
      </c>
    </row>
    <row r="1845" spans="1:25" x14ac:dyDescent="0.25">
      <c r="A1845" s="1093"/>
      <c r="B1845" s="1452">
        <v>1595</v>
      </c>
      <c r="C1845" s="1097">
        <v>0.99991651304128049</v>
      </c>
      <c r="D1845" s="1097">
        <v>1.0165025700632921</v>
      </c>
      <c r="E1845" s="1097">
        <v>1.0050049483501011</v>
      </c>
      <c r="F1845" s="1097">
        <v>1.0088031917679421</v>
      </c>
      <c r="G1845" s="1097">
        <v>1.0276165753869702</v>
      </c>
      <c r="H1845" s="1097">
        <v>1.0021822513375402</v>
      </c>
      <c r="I1845" s="1097">
        <v>1.0025220507837487</v>
      </c>
      <c r="K1845">
        <v>5.2180560966219653</v>
      </c>
      <c r="L1845">
        <v>0</v>
      </c>
      <c r="M1845">
        <v>3.5942921153219206E-3</v>
      </c>
      <c r="N1845">
        <v>0.31648224559155536</v>
      </c>
      <c r="O1845">
        <v>0.14859320161170214</v>
      </c>
      <c r="P1845">
        <v>2.0574750618037384E-2</v>
      </c>
      <c r="Q1845">
        <v>1.3007456296429444E-3</v>
      </c>
      <c r="R1845">
        <v>3.5883927812610881E-3</v>
      </c>
      <c r="S1845">
        <v>0.46597671282390679</v>
      </c>
      <c r="T1845">
        <v>4.029869298032847</v>
      </c>
      <c r="U1845">
        <v>0</v>
      </c>
      <c r="V1845">
        <v>1.1304767209823827E-2</v>
      </c>
      <c r="W1845">
        <v>0.18787968606446237</v>
      </c>
      <c r="X1845">
        <v>2.5939516413371326E-2</v>
      </c>
      <c r="Y1845">
        <v>1.0141071960672644E-2</v>
      </c>
    </row>
    <row r="1846" spans="1:25" x14ac:dyDescent="0.25">
      <c r="A1846" s="1093"/>
      <c r="B1846" s="1452">
        <v>1596</v>
      </c>
      <c r="C1846" s="1097">
        <v>1.0188260796666526</v>
      </c>
      <c r="D1846" s="1097">
        <v>1.0360284864784366</v>
      </c>
      <c r="E1846" s="1097">
        <v>0.96777172736568529</v>
      </c>
      <c r="F1846" s="1097">
        <v>1.0453643367454046</v>
      </c>
      <c r="G1846" s="1097">
        <v>1.0292614695476323</v>
      </c>
      <c r="H1846" s="1097">
        <v>1.0375944883051149</v>
      </c>
      <c r="I1846" s="1097">
        <v>1.0096086187125139</v>
      </c>
      <c r="K1846">
        <v>5.3953335168998056</v>
      </c>
      <c r="L1846">
        <v>0</v>
      </c>
      <c r="M1846">
        <v>4.0613414700798418E-3</v>
      </c>
      <c r="N1846">
        <v>0.32025350663675717</v>
      </c>
      <c r="O1846">
        <v>0.15102295103235625</v>
      </c>
      <c r="P1846">
        <v>2.073533283612523E-2</v>
      </c>
      <c r="Q1846">
        <v>1.2267929634537712E-3</v>
      </c>
      <c r="R1846">
        <v>4.0551278895784625E-3</v>
      </c>
      <c r="S1846">
        <v>0.47966256242618727</v>
      </c>
      <c r="T1846">
        <v>4.1808382009535014</v>
      </c>
      <c r="U1846">
        <v>0</v>
      </c>
      <c r="V1846">
        <v>1.1304767209823806E-2</v>
      </c>
      <c r="W1846">
        <v>0.19500931600424626</v>
      </c>
      <c r="X1846">
        <v>2.3826199407541705E-2</v>
      </c>
      <c r="Y1846">
        <v>1.1460101010317376E-2</v>
      </c>
    </row>
    <row r="1847" spans="1:25" x14ac:dyDescent="0.25">
      <c r="A1847" s="1093"/>
      <c r="B1847" s="1452">
        <v>1597</v>
      </c>
      <c r="C1847" s="1097">
        <v>0.96845792164526323</v>
      </c>
      <c r="D1847" s="1097">
        <v>1.0310789759645105</v>
      </c>
      <c r="E1847" s="1097">
        <v>1.0308533030034468</v>
      </c>
      <c r="F1847" s="1097">
        <v>0.97259904574291545</v>
      </c>
      <c r="G1847" s="1097">
        <v>1.0129461196781204</v>
      </c>
      <c r="H1847" s="1097">
        <v>0.97283537055086877</v>
      </c>
      <c r="I1847" s="1097">
        <v>1.0168504960133997</v>
      </c>
      <c r="K1847">
        <v>5.0564310168021391</v>
      </c>
      <c r="L1847">
        <v>0</v>
      </c>
      <c r="M1847">
        <v>3.2701234042229704E-3</v>
      </c>
      <c r="N1847">
        <v>0.31079123867445418</v>
      </c>
      <c r="O1847">
        <v>0.14636008140772561</v>
      </c>
      <c r="P1847">
        <v>2.0283318293629966E-2</v>
      </c>
      <c r="Q1847">
        <v>1.3649414960086208E-3</v>
      </c>
      <c r="R1847">
        <v>3.2643887513610164E-3</v>
      </c>
      <c r="S1847">
        <v>0.46640107587272944</v>
      </c>
      <c r="T1847">
        <v>3.8821147751976208</v>
      </c>
      <c r="U1847">
        <v>0</v>
      </c>
      <c r="V1847">
        <v>1.1304767209823803E-2</v>
      </c>
      <c r="W1847">
        <v>0.18134409544572497</v>
      </c>
      <c r="X1847">
        <v>2.724704602164655E-2</v>
      </c>
      <c r="Y1847">
        <v>9.2254118356375498E-3</v>
      </c>
    </row>
    <row r="1848" spans="1:25" x14ac:dyDescent="0.25">
      <c r="A1848" s="1093"/>
      <c r="B1848" s="1452">
        <v>1598</v>
      </c>
      <c r="C1848" s="1097">
        <v>0.96146118255056434</v>
      </c>
      <c r="D1848" s="1097">
        <v>0.99207261593728746</v>
      </c>
      <c r="E1848" s="1097">
        <v>1.0065102664491867</v>
      </c>
      <c r="F1848" s="1097">
        <v>1.0292592169463983</v>
      </c>
      <c r="G1848" s="1097">
        <v>1.0068458565993985</v>
      </c>
      <c r="H1848" s="1097">
        <v>1.0219676645551963</v>
      </c>
      <c r="I1848" s="1097">
        <v>1.0168620241670299</v>
      </c>
      <c r="K1848">
        <v>5.4007550359650853</v>
      </c>
      <c r="L1848">
        <v>0</v>
      </c>
      <c r="M1848">
        <v>3.914605053666865E-3</v>
      </c>
      <c r="N1848">
        <v>0.34624847056045144</v>
      </c>
      <c r="O1848">
        <v>0.15916679684980869</v>
      </c>
      <c r="P1848">
        <v>2.115476014446899E-2</v>
      </c>
      <c r="Q1848">
        <v>1.3677559288228427E-3</v>
      </c>
      <c r="R1848">
        <v>3.9084293989710634E-3</v>
      </c>
      <c r="S1848">
        <v>0.5063325869024462</v>
      </c>
      <c r="T1848">
        <v>4.111391046682451</v>
      </c>
      <c r="U1848">
        <v>0</v>
      </c>
      <c r="V1848">
        <v>1.1304767209823824E-2</v>
      </c>
      <c r="W1848">
        <v>0.20534219777065962</v>
      </c>
      <c r="X1848">
        <v>2.7407309694886674E-2</v>
      </c>
      <c r="Y1848">
        <v>1.1045519875960931E-2</v>
      </c>
    </row>
    <row r="1849" spans="1:25" x14ac:dyDescent="0.25">
      <c r="A1849" s="1093"/>
      <c r="B1849" s="1452">
        <v>1599</v>
      </c>
      <c r="C1849" s="1097">
        <v>1.011197598449304</v>
      </c>
      <c r="D1849" s="1097">
        <v>0.96946024137102893</v>
      </c>
      <c r="E1849" s="1097">
        <v>1.0399754044593084</v>
      </c>
      <c r="F1849" s="1097">
        <v>0.98266163108626137</v>
      </c>
      <c r="G1849" s="1097">
        <v>1.0019911172216605</v>
      </c>
      <c r="H1849" s="1097">
        <v>0.9659058614557342</v>
      </c>
      <c r="I1849" s="1097">
        <v>0.99784560756028751</v>
      </c>
      <c r="K1849">
        <v>5.0692969223768181</v>
      </c>
      <c r="L1849">
        <v>0</v>
      </c>
      <c r="M1849">
        <v>3.1585224571358326E-3</v>
      </c>
      <c r="N1849">
        <v>0.30838878132337977</v>
      </c>
      <c r="O1849">
        <v>0.14490854516935608</v>
      </c>
      <c r="P1849">
        <v>2.0505821191786809E-2</v>
      </c>
      <c r="Q1849">
        <v>1.3501544017708034E-3</v>
      </c>
      <c r="R1849">
        <v>3.1530008063168015E-3</v>
      </c>
      <c r="S1849">
        <v>0.44621959383844784</v>
      </c>
      <c r="T1849">
        <v>3.921172835137738</v>
      </c>
      <c r="U1849">
        <v>0</v>
      </c>
      <c r="V1849">
        <v>1.1304767209823818E-2</v>
      </c>
      <c r="W1849">
        <v>0.1788623425970898</v>
      </c>
      <c r="X1849">
        <v>2.7678982159367156E-2</v>
      </c>
      <c r="Y1849">
        <v>8.9106209988752873E-3</v>
      </c>
    </row>
    <row r="1850" spans="1:25" x14ac:dyDescent="0.25">
      <c r="A1850" s="1093"/>
      <c r="B1850" s="1452">
        <v>1600</v>
      </c>
      <c r="C1850" s="1097">
        <v>1.039205459625681</v>
      </c>
      <c r="D1850" s="1097">
        <v>1.0415715596971187</v>
      </c>
      <c r="E1850" s="1097">
        <v>0.98797163538481048</v>
      </c>
      <c r="F1850" s="1097">
        <v>0.99932128255444286</v>
      </c>
      <c r="G1850" s="1097">
        <v>1.027296274135395</v>
      </c>
      <c r="H1850" s="1097">
        <v>0.97790107397398196</v>
      </c>
      <c r="I1850" s="1097">
        <v>1.0173852104113086</v>
      </c>
      <c r="K1850">
        <v>5.1057954909749421</v>
      </c>
      <c r="L1850">
        <v>0</v>
      </c>
      <c r="M1850">
        <v>3.4313670338361408E-3</v>
      </c>
      <c r="N1850">
        <v>0.28724623756915713</v>
      </c>
      <c r="O1850">
        <v>0.14070653829847221</v>
      </c>
      <c r="P1850">
        <v>2.0058275847631715E-2</v>
      </c>
      <c r="Q1850">
        <v>1.2214293448016558E-3</v>
      </c>
      <c r="R1850">
        <v>3.4255405960853438E-3</v>
      </c>
      <c r="S1850">
        <v>0.44491657350433444</v>
      </c>
      <c r="T1850">
        <v>3.9941325418459606</v>
      </c>
      <c r="U1850">
        <v>0</v>
      </c>
      <c r="V1850">
        <v>1.1304767209823818E-2</v>
      </c>
      <c r="W1850">
        <v>0.1725029618319687</v>
      </c>
      <c r="X1850">
        <v>2.4031152708351072E-2</v>
      </c>
      <c r="Y1850">
        <v>9.680839252189816E-3</v>
      </c>
    </row>
    <row r="1851" spans="1:25" x14ac:dyDescent="0.25">
      <c r="A1851" s="1093"/>
      <c r="B1851" s="1452">
        <v>1601</v>
      </c>
      <c r="C1851" s="1097">
        <v>0.96790336444389546</v>
      </c>
      <c r="D1851" s="1097">
        <v>0.98423038724045808</v>
      </c>
      <c r="E1851" s="1097">
        <v>0.97958372148052852</v>
      </c>
      <c r="F1851" s="1097">
        <v>1.0007438132921009</v>
      </c>
      <c r="G1851" s="1097">
        <v>0.99366389876116834</v>
      </c>
      <c r="H1851" s="1097">
        <v>0.98378979374058262</v>
      </c>
      <c r="I1851" s="1097">
        <v>0.99586310196264416</v>
      </c>
      <c r="K1851">
        <v>5.2052757427097243</v>
      </c>
      <c r="L1851">
        <v>0</v>
      </c>
      <c r="M1851">
        <v>3.8641123774681542E-3</v>
      </c>
      <c r="N1851">
        <v>0.31552650383246161</v>
      </c>
      <c r="O1851">
        <v>0.15499560521694988</v>
      </c>
      <c r="P1851">
        <v>2.009382699389143E-2</v>
      </c>
      <c r="Q1851">
        <v>1.3317424422304286E-3</v>
      </c>
      <c r="R1851">
        <v>3.8575996704291629E-3</v>
      </c>
      <c r="S1851">
        <v>0.47443053057221279</v>
      </c>
      <c r="T1851">
        <v>4.0008801083040835</v>
      </c>
      <c r="U1851">
        <v>0</v>
      </c>
      <c r="V1851">
        <v>1.1304767209823806E-2</v>
      </c>
      <c r="W1851">
        <v>0.19057566963233094</v>
      </c>
      <c r="X1851">
        <v>2.5241630030345786E-2</v>
      </c>
      <c r="Y1851">
        <v>1.0901871182435329E-2</v>
      </c>
    </row>
    <row r="1852" spans="1:25" x14ac:dyDescent="0.25">
      <c r="A1852" s="1093"/>
      <c r="B1852" s="1452">
        <v>1602</v>
      </c>
      <c r="C1852" s="1097">
        <v>0.99028263872695721</v>
      </c>
      <c r="D1852" s="1097">
        <v>1.0260245665326964</v>
      </c>
      <c r="E1852" s="1097">
        <v>0.98468117752837236</v>
      </c>
      <c r="F1852" s="1097">
        <v>1.0140144324139093</v>
      </c>
      <c r="G1852" s="1097">
        <v>0.98704050824681056</v>
      </c>
      <c r="H1852" s="1097">
        <v>1.0076462381555193</v>
      </c>
      <c r="I1852" s="1097">
        <v>0.9840431190234078</v>
      </c>
      <c r="K1852">
        <v>5.2432665060518282</v>
      </c>
      <c r="L1852">
        <v>0</v>
      </c>
      <c r="M1852">
        <v>3.8138771144120031E-3</v>
      </c>
      <c r="N1852">
        <v>0.31618961071506235</v>
      </c>
      <c r="O1852">
        <v>0.15082570237192436</v>
      </c>
      <c r="P1852">
        <v>2.0360400378854247E-2</v>
      </c>
      <c r="Q1852">
        <v>1.2858422945778152E-3</v>
      </c>
      <c r="R1852">
        <v>3.8076832610840772E-3</v>
      </c>
      <c r="S1852">
        <v>0.46403164873437763</v>
      </c>
      <c r="T1852">
        <v>4.0532803933430177</v>
      </c>
      <c r="U1852">
        <v>0</v>
      </c>
      <c r="V1852">
        <v>1.1304767209823822E-2</v>
      </c>
      <c r="W1852">
        <v>0.19031133883737281</v>
      </c>
      <c r="X1852">
        <v>2.4922192421453836E-2</v>
      </c>
      <c r="Y1852">
        <v>1.0760803598688544E-2</v>
      </c>
    </row>
    <row r="1853" spans="1:25" x14ac:dyDescent="0.25">
      <c r="A1853" s="1093"/>
      <c r="B1853" s="1452">
        <v>1603</v>
      </c>
      <c r="C1853" s="1097">
        <v>1.0152100366998331</v>
      </c>
      <c r="D1853" s="1097">
        <v>1.0277533551067579</v>
      </c>
      <c r="E1853" s="1097">
        <v>1.0188712726534139</v>
      </c>
      <c r="F1853" s="1097">
        <v>0.97115039413294113</v>
      </c>
      <c r="G1853" s="1097">
        <v>0.99096033395613647</v>
      </c>
      <c r="H1853" s="1097">
        <v>0.96186273333768646</v>
      </c>
      <c r="I1853" s="1097">
        <v>1.0110036778961007</v>
      </c>
      <c r="K1853">
        <v>4.985709741845497</v>
      </c>
      <c r="L1853">
        <v>0</v>
      </c>
      <c r="M1853">
        <v>3.1628447759646282E-3</v>
      </c>
      <c r="N1853">
        <v>0.29012325096919089</v>
      </c>
      <c r="O1853">
        <v>0.13990792267906674</v>
      </c>
      <c r="P1853">
        <v>1.9965614302669243E-2</v>
      </c>
      <c r="Q1853">
        <v>1.2906549592292362E-3</v>
      </c>
      <c r="R1853">
        <v>3.1572266254882584E-3</v>
      </c>
      <c r="S1853">
        <v>0.4401228217159871</v>
      </c>
      <c r="T1853">
        <v>3.8777763301325852</v>
      </c>
      <c r="U1853">
        <v>0</v>
      </c>
      <c r="V1853">
        <v>1.1304767209823822E-2</v>
      </c>
      <c r="W1853">
        <v>0.1706379464291235</v>
      </c>
      <c r="X1853">
        <v>2.566348811181678E-2</v>
      </c>
      <c r="Y1853">
        <v>8.9225634864798561E-3</v>
      </c>
    </row>
    <row r="1854" spans="1:25" x14ac:dyDescent="0.25">
      <c r="A1854" s="1093"/>
      <c r="B1854" s="1452">
        <v>1604</v>
      </c>
      <c r="C1854" s="1097">
        <v>0.97437030055921781</v>
      </c>
      <c r="D1854" s="1097">
        <v>0.99082757962672452</v>
      </c>
      <c r="E1854" s="1097">
        <v>0.96552999225951486</v>
      </c>
      <c r="F1854" s="1097">
        <v>0.97501221353317835</v>
      </c>
      <c r="G1854" s="1097">
        <v>1.0143744526901395</v>
      </c>
      <c r="H1854" s="1097">
        <v>0.98199582284679743</v>
      </c>
      <c r="I1854" s="1097">
        <v>1.0047571617676097</v>
      </c>
      <c r="K1854">
        <v>5.0639734647209709</v>
      </c>
      <c r="L1854">
        <v>0</v>
      </c>
      <c r="M1854">
        <v>3.8344981713983183E-3</v>
      </c>
      <c r="N1854">
        <v>0.30029823771698377</v>
      </c>
      <c r="O1854">
        <v>0.15000028794297787</v>
      </c>
      <c r="P1854">
        <v>1.938624517401916E-2</v>
      </c>
      <c r="Q1854">
        <v>1.3033000077068329E-3</v>
      </c>
      <c r="R1854">
        <v>3.827852989769555E-3</v>
      </c>
      <c r="S1854">
        <v>0.46431828737426173</v>
      </c>
      <c r="T1854">
        <v>3.8997500796812035</v>
      </c>
      <c r="U1854">
        <v>0</v>
      </c>
      <c r="V1854">
        <v>1.1304767209823799E-2</v>
      </c>
      <c r="W1854">
        <v>0.18314176034783103</v>
      </c>
      <c r="X1854">
        <v>2.3659339655953612E-2</v>
      </c>
      <c r="Y1854">
        <v>1.0817804791839643E-2</v>
      </c>
    </row>
    <row r="1855" spans="1:25" x14ac:dyDescent="0.25">
      <c r="A1855" s="1093"/>
      <c r="B1855" s="1452">
        <v>1605</v>
      </c>
      <c r="C1855" s="1097">
        <v>0.99922219819388935</v>
      </c>
      <c r="D1855" s="1097">
        <v>0.97868312643775901</v>
      </c>
      <c r="E1855" s="1097">
        <v>0.97855115379175917</v>
      </c>
      <c r="F1855" s="1097">
        <v>0.99514677412995411</v>
      </c>
      <c r="G1855" s="1097">
        <v>1.0068453717968895</v>
      </c>
      <c r="H1855" s="1097">
        <v>1.0222069353797252</v>
      </c>
      <c r="I1855" s="1097">
        <v>1.0300424151601209</v>
      </c>
      <c r="K1855">
        <v>5.1845379474935092</v>
      </c>
      <c r="L1855">
        <v>0</v>
      </c>
      <c r="M1855">
        <v>3.8846116457561574E-3</v>
      </c>
      <c r="N1855">
        <v>0.31624708273362473</v>
      </c>
      <c r="O1855">
        <v>0.1496646195890142</v>
      </c>
      <c r="P1855">
        <v>2.0008328043677734E-2</v>
      </c>
      <c r="Q1855">
        <v>1.2917621175636224E-3</v>
      </c>
      <c r="R1855">
        <v>3.8782750702230011E-3</v>
      </c>
      <c r="S1855">
        <v>0.48108978451761203</v>
      </c>
      <c r="T1855">
        <v>3.9786339481945059</v>
      </c>
      <c r="U1855">
        <v>0</v>
      </c>
      <c r="V1855">
        <v>1.1304767209823811E-2</v>
      </c>
      <c r="W1855">
        <v>0.19114615748549468</v>
      </c>
      <c r="X1855">
        <v>2.4197532736978757E-2</v>
      </c>
      <c r="Y1855">
        <v>1.0960301440744814E-2</v>
      </c>
    </row>
    <row r="1856" spans="1:25" x14ac:dyDescent="0.25">
      <c r="A1856" s="1093"/>
      <c r="B1856" s="1452">
        <v>1606</v>
      </c>
      <c r="C1856" s="1097">
        <v>0.98462090738012675</v>
      </c>
      <c r="D1856" s="1097">
        <v>0.96861650502971064</v>
      </c>
      <c r="E1856" s="1097">
        <v>1.0285789114224126</v>
      </c>
      <c r="F1856" s="1097">
        <v>1.0238951303627368</v>
      </c>
      <c r="G1856" s="1097">
        <v>1.035284694666428</v>
      </c>
      <c r="H1856" s="1097">
        <v>0.99911486098790658</v>
      </c>
      <c r="I1856" s="1097">
        <v>0.97619895851724559</v>
      </c>
      <c r="K1856">
        <v>5.3214110066195959</v>
      </c>
      <c r="L1856">
        <v>0</v>
      </c>
      <c r="M1856">
        <v>3.5824652191071503E-3</v>
      </c>
      <c r="N1856">
        <v>0.33823891538526962</v>
      </c>
      <c r="O1856">
        <v>0.15545274085006966</v>
      </c>
      <c r="P1856">
        <v>2.1220800792818951E-2</v>
      </c>
      <c r="Q1856">
        <v>1.373887075599088E-3</v>
      </c>
      <c r="R1856">
        <v>3.5766540382718833E-3</v>
      </c>
      <c r="S1856">
        <v>0.47041918550186423</v>
      </c>
      <c r="T1856">
        <v>4.0871506166357054</v>
      </c>
      <c r="U1856">
        <v>0</v>
      </c>
      <c r="V1856">
        <v>1.1304767209823811E-2</v>
      </c>
      <c r="W1856">
        <v>0.19765715830370531</v>
      </c>
      <c r="X1856">
        <v>2.8490848668799685E-2</v>
      </c>
      <c r="Y1856">
        <v>1.0107897376774519E-2</v>
      </c>
    </row>
    <row r="1857" spans="1:25" x14ac:dyDescent="0.25">
      <c r="A1857" s="1093"/>
      <c r="B1857" s="1452">
        <v>1607</v>
      </c>
      <c r="C1857" s="1097">
        <v>1.0471791761943143</v>
      </c>
      <c r="D1857" s="1097">
        <v>0.99560148498101309</v>
      </c>
      <c r="E1857" s="1097">
        <v>0.9704246441646861</v>
      </c>
      <c r="F1857" s="1097">
        <v>0.97177689153369506</v>
      </c>
      <c r="G1857" s="1097">
        <v>1.0071021391359236</v>
      </c>
      <c r="H1857" s="1097">
        <v>0.98500250115992094</v>
      </c>
      <c r="I1857" s="1097">
        <v>0.97193147941524782</v>
      </c>
      <c r="K1857">
        <v>4.9561744178848661</v>
      </c>
      <c r="L1857">
        <v>0</v>
      </c>
      <c r="M1857">
        <v>3.523784071570669E-3</v>
      </c>
      <c r="N1857">
        <v>0.28000561876581531</v>
      </c>
      <c r="O1857">
        <v>0.13871412336206437</v>
      </c>
      <c r="P1857">
        <v>1.9187915622290587E-2</v>
      </c>
      <c r="Q1857">
        <v>1.2155473818826355E-3</v>
      </c>
      <c r="R1857">
        <v>3.5176757633398753E-3</v>
      </c>
      <c r="S1857">
        <v>0.41687745012573407</v>
      </c>
      <c r="T1857">
        <v>3.886203643342212</v>
      </c>
      <c r="U1857">
        <v>0</v>
      </c>
      <c r="V1857">
        <v>1.1304767209823815E-2</v>
      </c>
      <c r="W1857">
        <v>0.17018956994933129</v>
      </c>
      <c r="X1857">
        <v>2.2540670164906025E-2</v>
      </c>
      <c r="Y1857">
        <v>9.9412202690383842E-3</v>
      </c>
    </row>
    <row r="1858" spans="1:25" x14ac:dyDescent="0.25">
      <c r="A1858" s="1093"/>
      <c r="B1858" s="1452">
        <v>1608</v>
      </c>
      <c r="C1858" s="1097">
        <v>0.98997253325148149</v>
      </c>
      <c r="D1858" s="1097">
        <v>1.0446589590748705</v>
      </c>
      <c r="E1858" s="1097">
        <v>1.0003693098526716</v>
      </c>
      <c r="F1858" s="1097">
        <v>0.99313978412110571</v>
      </c>
      <c r="G1858" s="1097">
        <v>0.96526094083897906</v>
      </c>
      <c r="H1858" s="1097">
        <v>0.96457925028697311</v>
      </c>
      <c r="I1858" s="1097">
        <v>1.0337006140486391</v>
      </c>
      <c r="K1858">
        <v>5.1275776533003832</v>
      </c>
      <c r="L1858">
        <v>0</v>
      </c>
      <c r="M1858">
        <v>3.4360180799481508E-3</v>
      </c>
      <c r="N1858">
        <v>0.29839253947675215</v>
      </c>
      <c r="O1858">
        <v>0.14627661211495635</v>
      </c>
      <c r="P1858">
        <v>2.0236857268008512E-2</v>
      </c>
      <c r="Q1858">
        <v>1.294386853688128E-3</v>
      </c>
      <c r="R1858">
        <v>3.4300664125512794E-3</v>
      </c>
      <c r="S1858">
        <v>0.4692587766052248</v>
      </c>
      <c r="T1858">
        <v>3.9678759285403622</v>
      </c>
      <c r="U1858">
        <v>0</v>
      </c>
      <c r="V1858">
        <v>1.1304767209823811E-2</v>
      </c>
      <c r="W1858">
        <v>0.17769558996587528</v>
      </c>
      <c r="X1858">
        <v>2.5554517378034894E-2</v>
      </c>
      <c r="Y1858">
        <v>9.6936295550522928E-3</v>
      </c>
    </row>
    <row r="1859" spans="1:25" x14ac:dyDescent="0.25">
      <c r="A1859" s="1093"/>
      <c r="B1859" s="1452">
        <v>1609</v>
      </c>
      <c r="C1859" s="1097">
        <v>1.0002936005833212</v>
      </c>
      <c r="D1859" s="1097">
        <v>0.9940739876289526</v>
      </c>
      <c r="E1859" s="1097">
        <v>1.0213010091256152</v>
      </c>
      <c r="F1859" s="1097">
        <v>0.99072045959731458</v>
      </c>
      <c r="G1859" s="1097">
        <v>1.0035972479212294</v>
      </c>
      <c r="H1859" s="1097">
        <v>1.0114852798786249</v>
      </c>
      <c r="I1859" s="1097">
        <v>1.0324878179129298</v>
      </c>
      <c r="K1859">
        <v>5.1574227263067334</v>
      </c>
      <c r="L1859">
        <v>0</v>
      </c>
      <c r="M1859">
        <v>3.4718566005177524E-3</v>
      </c>
      <c r="N1859">
        <v>0.32080473854364416</v>
      </c>
      <c r="O1859">
        <v>0.14673195484395146</v>
      </c>
      <c r="P1859">
        <v>2.0528272993197733E-2</v>
      </c>
      <c r="Q1859">
        <v>1.3302079514101079E-3</v>
      </c>
      <c r="R1859">
        <v>3.4661077526497931E-3</v>
      </c>
      <c r="S1859">
        <v>0.47636095261927774</v>
      </c>
      <c r="T1859">
        <v>3.95561968818147</v>
      </c>
      <c r="U1859">
        <v>0</v>
      </c>
      <c r="V1859">
        <v>1.1304767209823827E-2</v>
      </c>
      <c r="W1859">
        <v>0.18837804618032511</v>
      </c>
      <c r="X1859">
        <v>2.6574361497701173E-2</v>
      </c>
      <c r="Y1859">
        <v>9.7954851337968413E-3</v>
      </c>
    </row>
    <row r="1860" spans="1:25" x14ac:dyDescent="0.25">
      <c r="A1860" s="1093"/>
      <c r="B1860" s="1452">
        <v>1610</v>
      </c>
      <c r="C1860" s="1097">
        <v>1.0104040317986931</v>
      </c>
      <c r="D1860" s="1097">
        <v>0.99670922428440956</v>
      </c>
      <c r="E1860" s="1097">
        <v>0.98966876044277907</v>
      </c>
      <c r="F1860" s="1097">
        <v>1.0196803893867172</v>
      </c>
      <c r="G1860" s="1097">
        <v>0.98588016474715079</v>
      </c>
      <c r="H1860" s="1097">
        <v>1.009279153230136</v>
      </c>
      <c r="I1860" s="1097">
        <v>0.99216306550617162</v>
      </c>
      <c r="K1860">
        <v>5.2654315735919539</v>
      </c>
      <c r="L1860">
        <v>0</v>
      </c>
      <c r="M1860">
        <v>3.7690614055196615E-3</v>
      </c>
      <c r="N1860">
        <v>0.31713435098116294</v>
      </c>
      <c r="O1860">
        <v>0.15024148992701875</v>
      </c>
      <c r="P1860">
        <v>2.0534521408429037E-2</v>
      </c>
      <c r="Q1860">
        <v>1.2804397397652239E-3</v>
      </c>
      <c r="R1860">
        <v>3.7629841396320854E-3</v>
      </c>
      <c r="S1860">
        <v>0.4636055151095228</v>
      </c>
      <c r="T1860">
        <v>4.0752863285383762</v>
      </c>
      <c r="U1860">
        <v>0</v>
      </c>
      <c r="V1860">
        <v>1.130476720982383E-2</v>
      </c>
      <c r="W1860">
        <v>0.1902319852477036</v>
      </c>
      <c r="X1860">
        <v>2.5183772227185916E-2</v>
      </c>
      <c r="Y1860">
        <v>1.0634480468848729E-2</v>
      </c>
    </row>
    <row r="1861" spans="1:25" x14ac:dyDescent="0.25">
      <c r="A1861" s="1093"/>
      <c r="B1861" s="1452">
        <v>1611</v>
      </c>
      <c r="C1861" s="1097">
        <v>0.99498706769707268</v>
      </c>
      <c r="D1861" s="1097">
        <v>0.98317186637057108</v>
      </c>
      <c r="E1861" s="1097">
        <v>0.97865701689467832</v>
      </c>
      <c r="F1861" s="1097">
        <v>0.99377306766424245</v>
      </c>
      <c r="G1861" s="1097">
        <v>0.97342811168445165</v>
      </c>
      <c r="H1861" s="1097">
        <v>1.0069691013742135</v>
      </c>
      <c r="I1861" s="1097">
        <v>0.97011832633436634</v>
      </c>
      <c r="K1861">
        <v>5.142163359270187</v>
      </c>
      <c r="L1861">
        <v>0</v>
      </c>
      <c r="M1861">
        <v>3.8298275350786672E-3</v>
      </c>
      <c r="N1861">
        <v>0.31187663973775864</v>
      </c>
      <c r="O1861">
        <v>0.14981674089469918</v>
      </c>
      <c r="P1861">
        <v>1.9851939517015704E-2</v>
      </c>
      <c r="Q1861">
        <v>1.2950072173297624E-3</v>
      </c>
      <c r="R1861">
        <v>3.823477036545933E-3</v>
      </c>
      <c r="S1861">
        <v>0.45130091634973019</v>
      </c>
      <c r="T1861">
        <v>3.9731284773440545</v>
      </c>
      <c r="U1861">
        <v>0</v>
      </c>
      <c r="V1861">
        <v>1.1304767209823811E-2</v>
      </c>
      <c r="W1861">
        <v>0.18849088821052756</v>
      </c>
      <c r="X1861">
        <v>2.4298895273839573E-2</v>
      </c>
      <c r="Y1861">
        <v>1.0805438013941463E-2</v>
      </c>
    </row>
    <row r="1862" spans="1:25" x14ac:dyDescent="0.25">
      <c r="A1862" s="1093"/>
      <c r="B1862" s="1452">
        <v>1612</v>
      </c>
      <c r="C1862" s="1097">
        <v>1.0272205403115895</v>
      </c>
      <c r="D1862" s="1097">
        <v>1.0340231599469771</v>
      </c>
      <c r="E1862" s="1097">
        <v>0.99173457861935266</v>
      </c>
      <c r="F1862" s="1097">
        <v>1.0213600048254723</v>
      </c>
      <c r="G1862" s="1097">
        <v>1.0023105626967641</v>
      </c>
      <c r="H1862" s="1097">
        <v>1.0212439964701507</v>
      </c>
      <c r="I1862" s="1097">
        <v>0.97271642832605787</v>
      </c>
      <c r="K1862">
        <v>5.241399370235837</v>
      </c>
      <c r="L1862">
        <v>0</v>
      </c>
      <c r="M1862">
        <v>3.6865918089591856E-3</v>
      </c>
      <c r="N1862">
        <v>0.31210778823644547</v>
      </c>
      <c r="O1862">
        <v>0.14580867382507634</v>
      </c>
      <c r="P1862">
        <v>2.0518989731827086E-2</v>
      </c>
      <c r="Q1862">
        <v>1.2433095724877768E-3</v>
      </c>
      <c r="R1862">
        <v>3.6807268058494809E-3</v>
      </c>
      <c r="S1862">
        <v>0.44666603972688002</v>
      </c>
      <c r="T1862">
        <v>4.08173306504069</v>
      </c>
      <c r="U1862">
        <v>0</v>
      </c>
      <c r="V1862">
        <v>1.1304767209823829E-2</v>
      </c>
      <c r="W1862">
        <v>0.18695394831275475</v>
      </c>
      <c r="X1862">
        <v>2.4666638619428846E-2</v>
      </c>
      <c r="Y1862">
        <v>1.0402014963528742E-2</v>
      </c>
    </row>
    <row r="1863" spans="1:25" x14ac:dyDescent="0.25">
      <c r="A1863" s="1093"/>
      <c r="B1863" s="1452">
        <v>1613</v>
      </c>
      <c r="C1863" s="1097">
        <v>0.99140758168517351</v>
      </c>
      <c r="D1863" s="1097">
        <v>0.98396760962583085</v>
      </c>
      <c r="E1863" s="1097">
        <v>0.97336747758802866</v>
      </c>
      <c r="F1863" s="1097">
        <v>1.0236217570282731</v>
      </c>
      <c r="G1863" s="1097">
        <v>1.0057599576938736</v>
      </c>
      <c r="H1863" s="1097">
        <v>0.99501373350251732</v>
      </c>
      <c r="I1863" s="1097">
        <v>1.0106375935015222</v>
      </c>
      <c r="K1863">
        <v>5.3077651606336236</v>
      </c>
      <c r="L1863">
        <v>0</v>
      </c>
      <c r="M1863">
        <v>3.954280628754114E-3</v>
      </c>
      <c r="N1863">
        <v>0.3170041985117979</v>
      </c>
      <c r="O1863">
        <v>0.15497654975602876</v>
      </c>
      <c r="P1863">
        <v>2.0440678525576055E-2</v>
      </c>
      <c r="Q1863">
        <v>1.2932953067753606E-3</v>
      </c>
      <c r="R1863">
        <v>3.9478381644662821E-3</v>
      </c>
      <c r="S1863">
        <v>0.4812659827364919</v>
      </c>
      <c r="T1863">
        <v>4.0931516953654672</v>
      </c>
      <c r="U1863">
        <v>0</v>
      </c>
      <c r="V1863">
        <v>1.1304767209823822E-2</v>
      </c>
      <c r="W1863">
        <v>0.19228735014176676</v>
      </c>
      <c r="X1863">
        <v>2.4890193488212572E-2</v>
      </c>
      <c r="Y1863">
        <v>1.1156892055967338E-2</v>
      </c>
    </row>
    <row r="1864" spans="1:25" x14ac:dyDescent="0.25">
      <c r="A1864" s="1093"/>
      <c r="B1864" s="1452">
        <v>1614</v>
      </c>
      <c r="C1864" s="1097">
        <v>0.98678143879927138</v>
      </c>
      <c r="D1864" s="1097">
        <v>0.97607571865705056</v>
      </c>
      <c r="E1864" s="1097">
        <v>1.0300009698658559</v>
      </c>
      <c r="F1864" s="1097">
        <v>0.98268165689177744</v>
      </c>
      <c r="G1864" s="1097">
        <v>1.023880623525026</v>
      </c>
      <c r="H1864" s="1097">
        <v>1.0093791999366988</v>
      </c>
      <c r="I1864" s="1097">
        <v>0.96333668028625941</v>
      </c>
      <c r="K1864">
        <v>5.1069530933971361</v>
      </c>
      <c r="L1864">
        <v>0</v>
      </c>
      <c r="M1864">
        <v>3.4452190434146449E-3</v>
      </c>
      <c r="N1864">
        <v>0.32663468647850186</v>
      </c>
      <c r="O1864">
        <v>0.14837292520163284</v>
      </c>
      <c r="P1864">
        <v>2.0376264295493513E-2</v>
      </c>
      <c r="Q1864">
        <v>1.3683147635276372E-3</v>
      </c>
      <c r="R1864">
        <v>3.4394557142556322E-3</v>
      </c>
      <c r="S1864">
        <v>0.44874757610267746</v>
      </c>
      <c r="T1864">
        <v>3.9224630168333476</v>
      </c>
      <c r="U1864">
        <v>0</v>
      </c>
      <c r="V1864">
        <v>1.130476720982383E-2</v>
      </c>
      <c r="W1864">
        <v>0.19069620286601366</v>
      </c>
      <c r="X1864">
        <v>2.7274938536761831E-2</v>
      </c>
      <c r="Y1864">
        <v>9.72016443850807E-3</v>
      </c>
    </row>
    <row r="1865" spans="1:25" x14ac:dyDescent="0.25">
      <c r="A1865" s="1093"/>
      <c r="B1865" s="1452">
        <v>1615</v>
      </c>
      <c r="C1865" s="1097">
        <v>1.036937367024876</v>
      </c>
      <c r="D1865" s="1097">
        <v>0.99821745057445144</v>
      </c>
      <c r="E1865" s="1097">
        <v>0.98279870994882834</v>
      </c>
      <c r="F1865" s="1097">
        <v>0.99382414389914797</v>
      </c>
      <c r="G1865" s="1097">
        <v>1.0459097502676926</v>
      </c>
      <c r="H1865" s="1097">
        <v>0.99122550783203911</v>
      </c>
      <c r="I1865" s="1097">
        <v>0.97212167457313037</v>
      </c>
      <c r="K1865">
        <v>5.0826772903485544</v>
      </c>
      <c r="L1865">
        <v>0</v>
      </c>
      <c r="M1865">
        <v>3.5645763379574757E-3</v>
      </c>
      <c r="N1865">
        <v>0.29385783391671377</v>
      </c>
      <c r="O1865">
        <v>0.14278193751423926</v>
      </c>
      <c r="P1865">
        <v>1.9816869751704286E-2</v>
      </c>
      <c r="Q1865">
        <v>1.2395368051520868E-3</v>
      </c>
      <c r="R1865">
        <v>3.5585720997411592E-3</v>
      </c>
      <c r="S1865">
        <v>0.42989713179884992</v>
      </c>
      <c r="T1865">
        <v>3.9728112210334121</v>
      </c>
      <c r="U1865">
        <v>0</v>
      </c>
      <c r="V1865">
        <v>1.1304767209823803E-2</v>
      </c>
      <c r="W1865">
        <v>0.1770977493540857</v>
      </c>
      <c r="X1865">
        <v>2.3819450764794095E-2</v>
      </c>
      <c r="Y1865">
        <v>1.005679643799599E-2</v>
      </c>
    </row>
    <row r="1866" spans="1:25" x14ac:dyDescent="0.25">
      <c r="A1866" s="1093"/>
      <c r="B1866" s="1452">
        <v>1616</v>
      </c>
      <c r="C1866" s="1097">
        <v>1.0023300414873695</v>
      </c>
      <c r="D1866" s="1097">
        <v>0.99599133437273946</v>
      </c>
      <c r="E1866" s="1097">
        <v>0.9792373022998061</v>
      </c>
      <c r="F1866" s="1097">
        <v>1.0223375052358155</v>
      </c>
      <c r="G1866" s="1097">
        <v>0.98795961244264063</v>
      </c>
      <c r="H1866" s="1097">
        <v>0.98183560222877198</v>
      </c>
      <c r="I1866" s="1097">
        <v>1.0130843717576259</v>
      </c>
      <c r="K1866">
        <v>5.2769974157899515</v>
      </c>
      <c r="L1866">
        <v>0</v>
      </c>
      <c r="M1866">
        <v>3.7889242872940466E-3</v>
      </c>
      <c r="N1866">
        <v>0.30907907537779761</v>
      </c>
      <c r="O1866">
        <v>0.15218666402894149</v>
      </c>
      <c r="P1866">
        <v>2.0468792833343116E-2</v>
      </c>
      <c r="Q1866">
        <v>1.2795207536804864E-3</v>
      </c>
      <c r="R1866">
        <v>3.7826605275836801E-3</v>
      </c>
      <c r="S1866">
        <v>0.47298612503897369</v>
      </c>
      <c r="T1866">
        <v>4.0872545624730927</v>
      </c>
      <c r="U1866">
        <v>0</v>
      </c>
      <c r="V1866">
        <v>1.1304767209823818E-2</v>
      </c>
      <c r="W1866">
        <v>0.18672580121503149</v>
      </c>
      <c r="X1866">
        <v>2.5028283175553674E-2</v>
      </c>
      <c r="Y1866">
        <v>1.0690087443421094E-2</v>
      </c>
    </row>
    <row r="1867" spans="1:25" x14ac:dyDescent="0.25">
      <c r="A1867" s="1093"/>
      <c r="B1867" s="1452">
        <v>1617</v>
      </c>
      <c r="C1867" s="1097">
        <v>1.0115261671788145</v>
      </c>
      <c r="D1867" s="1097">
        <v>1.0196313162160973</v>
      </c>
      <c r="E1867" s="1097">
        <v>0.99656067311148344</v>
      </c>
      <c r="F1867" s="1097">
        <v>1.009585402876517</v>
      </c>
      <c r="G1867" s="1097">
        <v>0.99254603327826829</v>
      </c>
      <c r="H1867" s="1097">
        <v>1.0010822965664399</v>
      </c>
      <c r="I1867" s="1097">
        <v>1.00113756081794</v>
      </c>
      <c r="K1867">
        <v>5.204620273274589</v>
      </c>
      <c r="L1867">
        <v>0</v>
      </c>
      <c r="M1867">
        <v>3.6111811072509245E-3</v>
      </c>
      <c r="N1867">
        <v>0.3101127116711247</v>
      </c>
      <c r="O1867">
        <v>0.14705382139041584</v>
      </c>
      <c r="P1867">
        <v>2.0436776133382187E-2</v>
      </c>
      <c r="Q1867">
        <v>1.274980928115116E-3</v>
      </c>
      <c r="R1867">
        <v>3.6052521304185208E-3</v>
      </c>
      <c r="S1867">
        <v>0.45981440559033721</v>
      </c>
      <c r="T1867">
        <v>4.0340639711613369</v>
      </c>
      <c r="U1867">
        <v>0</v>
      </c>
      <c r="V1867">
        <v>1.130476720982382E-2</v>
      </c>
      <c r="W1867">
        <v>0.18515155615501064</v>
      </c>
      <c r="X1867">
        <v>2.5224494243332018E-2</v>
      </c>
      <c r="Y1867">
        <v>1.0188717768541968E-2</v>
      </c>
    </row>
    <row r="1868" spans="1:25" x14ac:dyDescent="0.25">
      <c r="A1868" s="1093"/>
      <c r="B1868" s="1452">
        <v>1618</v>
      </c>
      <c r="C1868" s="1097">
        <v>1.0212694804322011</v>
      </c>
      <c r="D1868" s="1097">
        <v>0.9850918292888019</v>
      </c>
      <c r="E1868" s="1097">
        <v>1.0031893658958155</v>
      </c>
      <c r="F1868" s="1097">
        <v>1.0068303286518023</v>
      </c>
      <c r="G1868" s="1097">
        <v>1.0074705925390159</v>
      </c>
      <c r="H1868" s="1097">
        <v>0.96759319873908078</v>
      </c>
      <c r="I1868" s="1097">
        <v>1.0229479432923081</v>
      </c>
      <c r="K1868">
        <v>5.1803308303313464</v>
      </c>
      <c r="L1868">
        <v>0</v>
      </c>
      <c r="M1868">
        <v>3.4470562938606303E-3</v>
      </c>
      <c r="N1868">
        <v>0.30187128727323881</v>
      </c>
      <c r="O1868">
        <v>0.14708653039816699</v>
      </c>
      <c r="P1868">
        <v>2.0489701977564948E-2</v>
      </c>
      <c r="Q1868">
        <v>1.287640001491298E-3</v>
      </c>
      <c r="R1868">
        <v>3.4411849075760346E-3</v>
      </c>
      <c r="S1868">
        <v>0.46105666652267391</v>
      </c>
      <c r="T1868">
        <v>4.0222173616930439</v>
      </c>
      <c r="U1868">
        <v>0</v>
      </c>
      <c r="V1868">
        <v>1.1304767209823825E-2</v>
      </c>
      <c r="W1868">
        <v>0.17942531920529792</v>
      </c>
      <c r="X1868">
        <v>2.5872376165473724E-2</v>
      </c>
      <c r="Y1868">
        <v>9.7250512708491922E-3</v>
      </c>
    </row>
    <row r="1869" spans="1:25" x14ac:dyDescent="0.25">
      <c r="A1869" s="1093"/>
      <c r="B1869" s="1452">
        <v>1619</v>
      </c>
      <c r="C1869" s="1097">
        <v>0.9905026648350308</v>
      </c>
      <c r="D1869" s="1097">
        <v>1.0176498372020455</v>
      </c>
      <c r="E1869" s="1097">
        <v>1.002532156974405</v>
      </c>
      <c r="F1869" s="1097">
        <v>1.030105001756729</v>
      </c>
      <c r="G1869" s="1097">
        <v>1.0064252781915526</v>
      </c>
      <c r="H1869" s="1097">
        <v>0.97408940471912742</v>
      </c>
      <c r="I1869" s="1097">
        <v>0.97988129408964431</v>
      </c>
      <c r="K1869">
        <v>5.3057260365379886</v>
      </c>
      <c r="L1869">
        <v>0</v>
      </c>
      <c r="M1869">
        <v>3.6182686801115227E-3</v>
      </c>
      <c r="N1869">
        <v>0.31626437373170319</v>
      </c>
      <c r="O1869">
        <v>0.15317494243411564</v>
      </c>
      <c r="P1869">
        <v>2.0910384343182233E-2</v>
      </c>
      <c r="Q1869">
        <v>1.3097437482122629E-3</v>
      </c>
      <c r="R1869">
        <v>3.6122848666771262E-3</v>
      </c>
      <c r="S1869">
        <v>0.46251627119272004</v>
      </c>
      <c r="T1869">
        <v>4.1152829513855167</v>
      </c>
      <c r="U1869">
        <v>0</v>
      </c>
      <c r="V1869">
        <v>1.1304767209823817E-2</v>
      </c>
      <c r="W1869">
        <v>0.188063592944481</v>
      </c>
      <c r="X1869">
        <v>2.6696400543535878E-2</v>
      </c>
      <c r="Y1869">
        <v>1.0208592818132798E-2</v>
      </c>
    </row>
    <row r="1870" spans="1:25" x14ac:dyDescent="0.25">
      <c r="A1870" s="1093"/>
      <c r="B1870" s="1452">
        <v>1620</v>
      </c>
      <c r="C1870" s="1097">
        <v>1.0161213958593358</v>
      </c>
      <c r="D1870" s="1097">
        <v>0.96969883068827101</v>
      </c>
      <c r="E1870" s="1097">
        <v>1.0435877251269019</v>
      </c>
      <c r="F1870" s="1097">
        <v>1.001856956674515</v>
      </c>
      <c r="G1870" s="1097">
        <v>0.98345512280472858</v>
      </c>
      <c r="H1870" s="1097">
        <v>0.99669117122271711</v>
      </c>
      <c r="I1870" s="1097">
        <v>1.0011266187598815</v>
      </c>
      <c r="K1870">
        <v>5.184941970918616</v>
      </c>
      <c r="L1870">
        <v>0</v>
      </c>
      <c r="M1870">
        <v>3.2811081113529703E-3</v>
      </c>
      <c r="N1870">
        <v>0.3238222734082894</v>
      </c>
      <c r="O1870">
        <v>0.14690843336748033</v>
      </c>
      <c r="P1870">
        <v>2.0974260830241447E-2</v>
      </c>
      <c r="Q1870">
        <v>1.3475364354962052E-3</v>
      </c>
      <c r="R1870">
        <v>3.2756556570772439E-3</v>
      </c>
      <c r="S1870">
        <v>0.45848557340882257</v>
      </c>
      <c r="T1870">
        <v>3.9973236835199013</v>
      </c>
      <c r="U1870">
        <v>0</v>
      </c>
      <c r="V1870">
        <v>1.1304767209823827E-2</v>
      </c>
      <c r="W1870">
        <v>0.18736834698926097</v>
      </c>
      <c r="X1870">
        <v>2.8155295232192273E-2</v>
      </c>
      <c r="Y1870">
        <v>9.2572529713791651E-3</v>
      </c>
    </row>
    <row r="1871" spans="1:25" x14ac:dyDescent="0.25">
      <c r="A1871" s="1093"/>
      <c r="B1871" s="1452">
        <v>1621</v>
      </c>
      <c r="C1871" s="1097">
        <v>1.0005243648835964</v>
      </c>
      <c r="D1871" s="1097">
        <v>0.98907558240363247</v>
      </c>
      <c r="E1871" s="1097">
        <v>0.99883043585020481</v>
      </c>
      <c r="F1871" s="1097">
        <v>1.043400943521265</v>
      </c>
      <c r="G1871" s="1097">
        <v>0.98296653483275276</v>
      </c>
      <c r="H1871" s="1097">
        <v>0.96840974952979664</v>
      </c>
      <c r="I1871" s="1097">
        <v>1.0081063573325639</v>
      </c>
      <c r="K1871">
        <v>5.3804368532929754</v>
      </c>
      <c r="L1871">
        <v>0</v>
      </c>
      <c r="M1871">
        <v>3.6769136006079162E-3</v>
      </c>
      <c r="N1871">
        <v>0.31788844594604437</v>
      </c>
      <c r="O1871">
        <v>0.15546570064578397</v>
      </c>
      <c r="P1871">
        <v>2.1165143574319693E-2</v>
      </c>
      <c r="Q1871">
        <v>1.3073283223553271E-3</v>
      </c>
      <c r="R1871">
        <v>3.6708749554689559E-3</v>
      </c>
      <c r="S1871">
        <v>0.4776519829944903</v>
      </c>
      <c r="T1871">
        <v>4.1688851904486768</v>
      </c>
      <c r="U1871">
        <v>0</v>
      </c>
      <c r="V1871">
        <v>1.1304767209823822E-2</v>
      </c>
      <c r="W1871">
        <v>0.18950263726736738</v>
      </c>
      <c r="X1871">
        <v>2.6897522647053529E-2</v>
      </c>
      <c r="Y1871">
        <v>1.0374172882200184E-2</v>
      </c>
    </row>
    <row r="1872" spans="1:25" x14ac:dyDescent="0.25">
      <c r="A1872" s="1093"/>
      <c r="B1872" s="1452">
        <v>1622</v>
      </c>
      <c r="C1872" s="1097">
        <v>1.0198262185311975</v>
      </c>
      <c r="D1872" s="1097">
        <v>1.0188124271673593</v>
      </c>
      <c r="E1872" s="1097">
        <v>0.99437856146310544</v>
      </c>
      <c r="F1872" s="1097">
        <v>0.98856802194012494</v>
      </c>
      <c r="G1872" s="1097">
        <v>0.9961268350629412</v>
      </c>
      <c r="H1872" s="1097">
        <v>1.0235481617453404</v>
      </c>
      <c r="I1872" s="1097">
        <v>1.0159590180437046</v>
      </c>
      <c r="K1872">
        <v>5.1105543332443935</v>
      </c>
      <c r="L1872">
        <v>0</v>
      </c>
      <c r="M1872">
        <v>3.6037222229799958E-3</v>
      </c>
      <c r="N1872">
        <v>0.30747766637975255</v>
      </c>
      <c r="O1872">
        <v>0.14292491013941835</v>
      </c>
      <c r="P1872">
        <v>2.0020213921510138E-2</v>
      </c>
      <c r="Q1872">
        <v>1.2626403790220295E-3</v>
      </c>
      <c r="R1872">
        <v>3.5978125340778194E-3</v>
      </c>
      <c r="S1872">
        <v>0.45890723456047239</v>
      </c>
      <c r="T1872">
        <v>3.9503549140283356</v>
      </c>
      <c r="U1872">
        <v>0</v>
      </c>
      <c r="V1872">
        <v>1.1304767209823817E-2</v>
      </c>
      <c r="W1872">
        <v>0.18385009528882218</v>
      </c>
      <c r="X1872">
        <v>2.4290108124837177E-2</v>
      </c>
      <c r="Y1872">
        <v>1.0167692901296835E-2</v>
      </c>
    </row>
    <row r="1873" spans="1:25" x14ac:dyDescent="0.25">
      <c r="A1873" s="1093"/>
      <c r="B1873" s="1452">
        <v>1623</v>
      </c>
      <c r="C1873" s="1097">
        <v>1.0092863606954749</v>
      </c>
      <c r="D1873" s="1097">
        <v>1.0018743042984417</v>
      </c>
      <c r="E1873" s="1097">
        <v>1.0131739126203803</v>
      </c>
      <c r="F1873" s="1097">
        <v>1.0181461055022818</v>
      </c>
      <c r="G1873" s="1097">
        <v>0.96102515785927012</v>
      </c>
      <c r="H1873" s="1097">
        <v>1.0114018171807979</v>
      </c>
      <c r="I1873" s="1097">
        <v>0.99704024181035711</v>
      </c>
      <c r="K1873">
        <v>5.2656531889102327</v>
      </c>
      <c r="L1873">
        <v>0</v>
      </c>
      <c r="M1873">
        <v>3.5856937522163218E-3</v>
      </c>
      <c r="N1873">
        <v>0.32346470823060347</v>
      </c>
      <c r="O1873">
        <v>0.1492118516390222</v>
      </c>
      <c r="P1873">
        <v>2.0864957763743964E-2</v>
      </c>
      <c r="Q1873">
        <v>1.3052172776331587E-3</v>
      </c>
      <c r="R1873">
        <v>3.5799156038375927E-3</v>
      </c>
      <c r="S1873">
        <v>0.46573896986799529</v>
      </c>
      <c r="T1873">
        <v>4.0661516874843047</v>
      </c>
      <c r="U1873">
        <v>0</v>
      </c>
      <c r="V1873">
        <v>1.1304767209823806E-2</v>
      </c>
      <c r="W1873">
        <v>0.19097401402130815</v>
      </c>
      <c r="X1873">
        <v>2.6525678754108002E-2</v>
      </c>
      <c r="Y1873">
        <v>1.0117114810071964E-2</v>
      </c>
    </row>
    <row r="1874" spans="1:25" x14ac:dyDescent="0.25">
      <c r="A1874" s="1093"/>
      <c r="B1874" s="1452">
        <v>1624</v>
      </c>
      <c r="C1874" s="1097">
        <v>0.98221125023416345</v>
      </c>
      <c r="D1874" s="1097">
        <v>0.99392169070184944</v>
      </c>
      <c r="E1874" s="1097">
        <v>0.99759664190349506</v>
      </c>
      <c r="F1874" s="1097">
        <v>0.99933708342692917</v>
      </c>
      <c r="G1874" s="1097">
        <v>1.0151211730962244</v>
      </c>
      <c r="H1874" s="1097">
        <v>1.0037700131472764</v>
      </c>
      <c r="I1874" s="1097">
        <v>0.98953393915475862</v>
      </c>
      <c r="K1874">
        <v>5.1922124693667016</v>
      </c>
      <c r="L1874">
        <v>0</v>
      </c>
      <c r="M1874">
        <v>3.7209301808453156E-3</v>
      </c>
      <c r="N1874">
        <v>0.32051607169049379</v>
      </c>
      <c r="O1874">
        <v>0.15141521904275268</v>
      </c>
      <c r="P1874">
        <v>2.0298240422419195E-2</v>
      </c>
      <c r="Q1874">
        <v>1.3276959005431286E-3</v>
      </c>
      <c r="R1874">
        <v>3.7147749930524503E-3</v>
      </c>
      <c r="S1874">
        <v>0.46688742428417035</v>
      </c>
      <c r="T1874">
        <v>3.9929839544554158</v>
      </c>
      <c r="U1874">
        <v>0</v>
      </c>
      <c r="V1874">
        <v>1.1304767209823815E-2</v>
      </c>
      <c r="W1874">
        <v>0.19122863252060671</v>
      </c>
      <c r="X1874">
        <v>2.5758381288248842E-2</v>
      </c>
      <c r="Y1874">
        <v>1.0498237740020453E-2</v>
      </c>
    </row>
    <row r="1875" spans="1:25" x14ac:dyDescent="0.25">
      <c r="A1875" s="1093"/>
      <c r="B1875" s="1452">
        <v>1625</v>
      </c>
      <c r="C1875" s="1097">
        <v>0.97992987357758299</v>
      </c>
      <c r="D1875" s="1097">
        <v>1.0205276214106824</v>
      </c>
      <c r="E1875" s="1097">
        <v>0.98867430556847158</v>
      </c>
      <c r="F1875" s="1097">
        <v>0.99898790759439127</v>
      </c>
      <c r="G1875" s="1097">
        <v>1.0021388621999447</v>
      </c>
      <c r="H1875" s="1097">
        <v>0.99577076539323517</v>
      </c>
      <c r="I1875" s="1097">
        <v>1.0452038705467701</v>
      </c>
      <c r="K1875">
        <v>5.202267015853824</v>
      </c>
      <c r="L1875">
        <v>0</v>
      </c>
      <c r="M1875">
        <v>3.7290450674170288E-3</v>
      </c>
      <c r="N1875">
        <v>0.31282596886935121</v>
      </c>
      <c r="O1875">
        <v>0.15037111947355988</v>
      </c>
      <c r="P1875">
        <v>2.0265957444885283E-2</v>
      </c>
      <c r="Q1875">
        <v>1.3067244011058896E-3</v>
      </c>
      <c r="R1875">
        <v>3.7228247322750496E-3</v>
      </c>
      <c r="S1875">
        <v>0.49002244286799684</v>
      </c>
      <c r="T1875">
        <v>3.9927114774763233</v>
      </c>
      <c r="U1875">
        <v>0</v>
      </c>
      <c r="V1875">
        <v>1.1304767209823825E-2</v>
      </c>
      <c r="W1875">
        <v>0.18777471386614253</v>
      </c>
      <c r="X1875">
        <v>2.5169077662140854E-2</v>
      </c>
      <c r="Y1875">
        <v>1.0520986917632038E-2</v>
      </c>
    </row>
    <row r="1876" spans="1:25" x14ac:dyDescent="0.25">
      <c r="A1876" s="1093"/>
      <c r="B1876" s="1452">
        <v>1626</v>
      </c>
      <c r="C1876" s="1097">
        <v>0.98450370288507683</v>
      </c>
      <c r="D1876" s="1097">
        <v>1.000638279427903</v>
      </c>
      <c r="E1876" s="1097">
        <v>1.0122356768688494</v>
      </c>
      <c r="F1876" s="1097">
        <v>1.0275243093823214</v>
      </c>
      <c r="G1876" s="1097">
        <v>1.0052268094819232</v>
      </c>
      <c r="H1876" s="1097">
        <v>1.0045705584746694</v>
      </c>
      <c r="I1876" s="1097">
        <v>1.0286946502725196</v>
      </c>
      <c r="K1876">
        <v>5.3535126709814236</v>
      </c>
      <c r="L1876">
        <v>0</v>
      </c>
      <c r="M1876">
        <v>3.6938285215072056E-3</v>
      </c>
      <c r="N1876">
        <v>0.33229661591165666</v>
      </c>
      <c r="O1876">
        <v>0.15448042333957662</v>
      </c>
      <c r="P1876">
        <v>2.1158142901854648E-2</v>
      </c>
      <c r="Q1876">
        <v>1.3376666753642699E-3</v>
      </c>
      <c r="R1876">
        <v>3.6878902511125102E-3</v>
      </c>
      <c r="S1876">
        <v>0.49518426108426872</v>
      </c>
      <c r="T1876">
        <v>4.103725566506701</v>
      </c>
      <c r="U1876">
        <v>0</v>
      </c>
      <c r="V1876">
        <v>1.1304767209823811E-2</v>
      </c>
      <c r="W1876">
        <v>0.19631176605166481</v>
      </c>
      <c r="X1876">
        <v>2.7297140164162303E-2</v>
      </c>
      <c r="Y1876">
        <v>1.0422259406745233E-2</v>
      </c>
    </row>
    <row r="1877" spans="1:25" x14ac:dyDescent="0.25">
      <c r="A1877" s="1093"/>
      <c r="B1877" s="1452">
        <v>1627</v>
      </c>
      <c r="C1877" s="1097">
        <v>0.99374502180589297</v>
      </c>
      <c r="D1877" s="1097">
        <v>0.98532099217575131</v>
      </c>
      <c r="E1877" s="1097">
        <v>0.99281100792001509</v>
      </c>
      <c r="F1877" s="1097">
        <v>1.0403319112814073</v>
      </c>
      <c r="G1877" s="1097">
        <v>0.98498824663575035</v>
      </c>
      <c r="H1877" s="1097">
        <v>0.99754809503931441</v>
      </c>
      <c r="I1877" s="1097">
        <v>1.0300030483122031</v>
      </c>
      <c r="K1877">
        <v>5.4049014812193992</v>
      </c>
      <c r="L1877">
        <v>0</v>
      </c>
      <c r="M1877">
        <v>3.856523782739785E-3</v>
      </c>
      <c r="N1877">
        <v>0.32753519065920023</v>
      </c>
      <c r="O1877">
        <v>0.15647992353077975</v>
      </c>
      <c r="P1877">
        <v>2.1103035435155442E-2</v>
      </c>
      <c r="Q1877">
        <v>1.3114497242448697E-3</v>
      </c>
      <c r="R1877">
        <v>3.8503570564228629E-3</v>
      </c>
      <c r="S1877">
        <v>0.49642074473275116</v>
      </c>
      <c r="T1877">
        <v>4.1574107234947544</v>
      </c>
      <c r="U1877">
        <v>0</v>
      </c>
      <c r="V1877">
        <v>1.1304767209823824E-2</v>
      </c>
      <c r="W1877">
        <v>0.19605159417482876</v>
      </c>
      <c r="X1877">
        <v>2.640881598186666E-2</v>
      </c>
      <c r="Y1877">
        <v>1.0881403002306108E-2</v>
      </c>
    </row>
    <row r="1878" spans="1:25" x14ac:dyDescent="0.25">
      <c r="A1878" s="1093"/>
      <c r="B1878" s="1452">
        <v>1628</v>
      </c>
      <c r="C1878" s="1097">
        <v>0.97281249396987179</v>
      </c>
      <c r="D1878" s="1097">
        <v>0.98830628265561971</v>
      </c>
      <c r="E1878" s="1097">
        <v>0.98390102572149885</v>
      </c>
      <c r="F1878" s="1097">
        <v>0.99021201259294245</v>
      </c>
      <c r="G1878" s="1097">
        <v>1.0026262502948358</v>
      </c>
      <c r="H1878" s="1097">
        <v>1.0168780444461549</v>
      </c>
      <c r="I1878" s="1097">
        <v>0.99278489587025576</v>
      </c>
      <c r="K1878">
        <v>5.1667370333850551</v>
      </c>
      <c r="L1878">
        <v>0</v>
      </c>
      <c r="M1878">
        <v>3.8902444613627433E-3</v>
      </c>
      <c r="N1878">
        <v>0.32176762125727965</v>
      </c>
      <c r="O1878">
        <v>0.15221563407264738</v>
      </c>
      <c r="P1878">
        <v>1.9958735445549786E-2</v>
      </c>
      <c r="Q1878">
        <v>1.3277946554820319E-3</v>
      </c>
      <c r="R1878">
        <v>3.8838337061504473E-3</v>
      </c>
      <c r="S1878">
        <v>0.47235284740586536</v>
      </c>
      <c r="T1878">
        <v>3.9582336142384564</v>
      </c>
      <c r="U1878">
        <v>0</v>
      </c>
      <c r="V1878">
        <v>1.1304767209823825E-2</v>
      </c>
      <c r="W1878">
        <v>0.19377192959307146</v>
      </c>
      <c r="X1878">
        <v>2.4834489691831021E-2</v>
      </c>
      <c r="Y1878">
        <v>1.0976010570257556E-2</v>
      </c>
    </row>
    <row r="1879" spans="1:25" x14ac:dyDescent="0.25">
      <c r="A1879" s="1093"/>
      <c r="B1879" s="1452">
        <v>1629</v>
      </c>
      <c r="C1879" s="1097">
        <v>0.98486933110601715</v>
      </c>
      <c r="D1879" s="1097">
        <v>1.0259672457429141</v>
      </c>
      <c r="E1879" s="1097">
        <v>1.0208992627474953</v>
      </c>
      <c r="F1879" s="1097">
        <v>0.99744468596482871</v>
      </c>
      <c r="G1879" s="1097">
        <v>1.0162369625165149</v>
      </c>
      <c r="H1879" s="1097">
        <v>1.0047704315574106</v>
      </c>
      <c r="I1879" s="1097">
        <v>0.99899261958256003</v>
      </c>
      <c r="K1879">
        <v>5.177766538339152</v>
      </c>
      <c r="L1879">
        <v>0</v>
      </c>
      <c r="M1879">
        <v>3.4852458940491347E-3</v>
      </c>
      <c r="N1879">
        <v>0.32165945835793036</v>
      </c>
      <c r="O1879">
        <v>0.14816929731297493</v>
      </c>
      <c r="P1879">
        <v>2.0601438726431515E-2</v>
      </c>
      <c r="Q1879">
        <v>1.3336287831760595E-3</v>
      </c>
      <c r="R1879">
        <v>3.4794754079852325E-3</v>
      </c>
      <c r="S1879">
        <v>0.46661476956039249</v>
      </c>
      <c r="T1879">
        <v>3.9825171144996325</v>
      </c>
      <c r="U1879">
        <v>0</v>
      </c>
      <c r="V1879">
        <v>1.1304767209823829E-2</v>
      </c>
      <c r="W1879">
        <v>0.18893050789120774</v>
      </c>
      <c r="X1879">
        <v>2.6808063335294716E-2</v>
      </c>
      <c r="Y1879">
        <v>9.833263148346998E-3</v>
      </c>
    </row>
    <row r="1880" spans="1:25" x14ac:dyDescent="0.25">
      <c r="A1880" s="1093"/>
      <c r="B1880" s="1452">
        <v>1630</v>
      </c>
      <c r="C1880" s="1097">
        <v>0.98176751956202479</v>
      </c>
      <c r="D1880" s="1097">
        <v>1.0116429971247176</v>
      </c>
      <c r="E1880" s="1097">
        <v>1.0396361402290726</v>
      </c>
      <c r="F1880" s="1097">
        <v>1.0258000548075772</v>
      </c>
      <c r="G1880" s="1097">
        <v>0.98183343173256732</v>
      </c>
      <c r="H1880" s="1097">
        <v>1.0069487795003651</v>
      </c>
      <c r="I1880" s="1097">
        <v>0.97853337165842869</v>
      </c>
      <c r="K1880">
        <v>5.327329664863246</v>
      </c>
      <c r="L1880">
        <v>0</v>
      </c>
      <c r="M1880">
        <v>3.482771934653817E-3</v>
      </c>
      <c r="N1880">
        <v>0.33975509847777896</v>
      </c>
      <c r="O1880">
        <v>0.1531824556256742</v>
      </c>
      <c r="P1880">
        <v>2.1423628819407542E-2</v>
      </c>
      <c r="Q1880">
        <v>1.3667490025952847E-3</v>
      </c>
      <c r="R1880">
        <v>3.4771768128004162E-3</v>
      </c>
      <c r="S1880">
        <v>0.4711383057108372</v>
      </c>
      <c r="T1880">
        <v>4.0933535107842607</v>
      </c>
      <c r="U1880">
        <v>0</v>
      </c>
      <c r="V1880">
        <v>1.1304767209823804E-2</v>
      </c>
      <c r="W1880">
        <v>0.19709847750533888</v>
      </c>
      <c r="X1880">
        <v>2.88854997065176E-2</v>
      </c>
      <c r="Y1880">
        <v>9.8267671428652684E-3</v>
      </c>
    </row>
    <row r="1881" spans="1:25" x14ac:dyDescent="0.25">
      <c r="A1881" s="1093"/>
      <c r="B1881" s="1452">
        <v>1631</v>
      </c>
      <c r="C1881" s="1097">
        <v>0.97210607870115739</v>
      </c>
      <c r="D1881" s="1097">
        <v>1.0209930478749767</v>
      </c>
      <c r="E1881" s="1097">
        <v>0.98953693078968818</v>
      </c>
      <c r="F1881" s="1097">
        <v>0.99615273899071721</v>
      </c>
      <c r="G1881" s="1097">
        <v>0.98973094967960029</v>
      </c>
      <c r="H1881" s="1097">
        <v>0.98940430092345222</v>
      </c>
      <c r="I1881" s="1097">
        <v>1.0277472285058031</v>
      </c>
      <c r="K1881">
        <v>5.1844237072167951</v>
      </c>
      <c r="L1881">
        <v>0</v>
      </c>
      <c r="M1881">
        <v>3.7170151121613563E-3</v>
      </c>
      <c r="N1881">
        <v>0.31261057835936379</v>
      </c>
      <c r="O1881">
        <v>0.15109919581771547</v>
      </c>
      <c r="P1881">
        <v>2.0197027899114501E-2</v>
      </c>
      <c r="Q1881">
        <v>1.3179818804356074E-3</v>
      </c>
      <c r="R1881">
        <v>3.7107572167311828E-3</v>
      </c>
      <c r="S1881">
        <v>0.48327063304106294</v>
      </c>
      <c r="T1881">
        <v>3.9812715583288667</v>
      </c>
      <c r="U1881">
        <v>0</v>
      </c>
      <c r="V1881">
        <v>1.130476720982382E-2</v>
      </c>
      <c r="W1881">
        <v>0.18753524242825839</v>
      </c>
      <c r="X1881">
        <v>2.5336096950187369E-2</v>
      </c>
      <c r="Y1881">
        <v>1.048688319739384E-2</v>
      </c>
    </row>
    <row r="1882" spans="1:25" x14ac:dyDescent="0.25">
      <c r="A1882" s="1093"/>
      <c r="B1882" s="1452">
        <v>1632</v>
      </c>
      <c r="C1882" s="1097">
        <v>1.0218303346065543</v>
      </c>
      <c r="D1882" s="1097">
        <v>0.98628349114129255</v>
      </c>
      <c r="E1882" s="1097">
        <v>1.0035005204439926</v>
      </c>
      <c r="F1882" s="1097">
        <v>1.0370785055090324</v>
      </c>
      <c r="G1882" s="1097">
        <v>1.0164256230089241</v>
      </c>
      <c r="H1882" s="1097">
        <v>1.0285318239553762</v>
      </c>
      <c r="I1882" s="1097">
        <v>0.98035692509957695</v>
      </c>
      <c r="K1882">
        <v>5.355389616273567</v>
      </c>
      <c r="L1882">
        <v>0</v>
      </c>
      <c r="M1882">
        <v>3.7676849992743025E-3</v>
      </c>
      <c r="N1882">
        <v>0.33030299247604339</v>
      </c>
      <c r="O1882">
        <v>0.15134024259318113</v>
      </c>
      <c r="P1882">
        <v>2.1058748058241296E-2</v>
      </c>
      <c r="Q1882">
        <v>1.28665339517275E-3</v>
      </c>
      <c r="R1882">
        <v>3.7618235168049435E-3</v>
      </c>
      <c r="S1882">
        <v>0.46401752056056195</v>
      </c>
      <c r="T1882">
        <v>4.1430162800718247</v>
      </c>
      <c r="U1882">
        <v>0</v>
      </c>
      <c r="V1882">
        <v>1.1304767209823824E-2</v>
      </c>
      <c r="W1882">
        <v>0.19628327852032684</v>
      </c>
      <c r="X1882">
        <v>2.6153794410724962E-2</v>
      </c>
      <c r="Y1882">
        <v>1.0631200460129867E-2</v>
      </c>
    </row>
    <row r="1883" spans="1:25" x14ac:dyDescent="0.25">
      <c r="A1883" s="1093"/>
      <c r="B1883" s="1452">
        <v>1633</v>
      </c>
      <c r="C1883" s="1097">
        <v>0.98923625709038454</v>
      </c>
      <c r="D1883" s="1097">
        <v>1.020692279879694</v>
      </c>
      <c r="E1883" s="1097">
        <v>1.0045126722248336</v>
      </c>
      <c r="F1883" s="1097">
        <v>0.99811934875883435</v>
      </c>
      <c r="G1883" s="1097">
        <v>1.0158759638307999</v>
      </c>
      <c r="H1883" s="1097">
        <v>0.98296532508302548</v>
      </c>
      <c r="I1883" s="1097">
        <v>0.99773854968376763</v>
      </c>
      <c r="K1883">
        <v>5.1588614048041892</v>
      </c>
      <c r="L1883">
        <v>0</v>
      </c>
      <c r="M1883">
        <v>3.5236135673012933E-3</v>
      </c>
      <c r="N1883">
        <v>0.30979134491136889</v>
      </c>
      <c r="O1883">
        <v>0.1483762137189629</v>
      </c>
      <c r="P1883">
        <v>2.0348317573373555E-2</v>
      </c>
      <c r="Q1883">
        <v>1.312075655180782E-3</v>
      </c>
      <c r="R1883">
        <v>3.5176541646664331E-3</v>
      </c>
      <c r="S1883">
        <v>0.4606205066896461</v>
      </c>
      <c r="T1883">
        <v>3.9872520689084423</v>
      </c>
      <c r="U1883">
        <v>0</v>
      </c>
      <c r="V1883">
        <v>1.1304767209823832E-2</v>
      </c>
      <c r="W1883">
        <v>0.18396863497946991</v>
      </c>
      <c r="X1883">
        <v>2.595227533101337E-2</v>
      </c>
      <c r="Y1883">
        <v>9.9411592295382545E-3</v>
      </c>
    </row>
    <row r="1884" spans="1:25" x14ac:dyDescent="0.25">
      <c r="A1884" s="1093"/>
      <c r="B1884" s="1452">
        <v>1634</v>
      </c>
      <c r="C1884" s="1097">
        <v>0.98359892617856759</v>
      </c>
      <c r="D1884" s="1097">
        <v>1.0121475850811157</v>
      </c>
      <c r="E1884" s="1097">
        <v>1.0019144781606388</v>
      </c>
      <c r="F1884" s="1097">
        <v>1.0326686323095511</v>
      </c>
      <c r="G1884" s="1097">
        <v>1.0092901676796699</v>
      </c>
      <c r="H1884" s="1097">
        <v>0.99095327322335935</v>
      </c>
      <c r="I1884" s="1097">
        <v>0.98547358656332618</v>
      </c>
      <c r="K1884">
        <v>5.3435446316712589</v>
      </c>
      <c r="L1884">
        <v>0</v>
      </c>
      <c r="M1884">
        <v>3.7288718170413442E-3</v>
      </c>
      <c r="N1884">
        <v>0.32534655485802993</v>
      </c>
      <c r="O1884">
        <v>0.1549876056064905</v>
      </c>
      <c r="P1884">
        <v>2.0996172176891238E-2</v>
      </c>
      <c r="Q1884">
        <v>1.3211014483064871E-3</v>
      </c>
      <c r="R1884">
        <v>3.7228250592022771E-3</v>
      </c>
      <c r="S1884">
        <v>0.47313753203178971</v>
      </c>
      <c r="T1884">
        <v>4.1256046901080632</v>
      </c>
      <c r="U1884">
        <v>0</v>
      </c>
      <c r="V1884">
        <v>1.1304767209823811E-2</v>
      </c>
      <c r="W1884">
        <v>0.19354488653929042</v>
      </c>
      <c r="X1884">
        <v>2.6786380608855947E-2</v>
      </c>
      <c r="Y1884">
        <v>1.0520987841553342E-2</v>
      </c>
    </row>
    <row r="1885" spans="1:25" x14ac:dyDescent="0.25">
      <c r="A1885" s="1093"/>
      <c r="B1885" s="1452">
        <v>1635</v>
      </c>
      <c r="C1885" s="1097">
        <v>1.0255563903255205</v>
      </c>
      <c r="D1885" s="1097">
        <v>1.0180564908496561</v>
      </c>
      <c r="E1885" s="1097">
        <v>0.98400783149565352</v>
      </c>
      <c r="F1885" s="1097">
        <v>1.0204293437067258</v>
      </c>
      <c r="G1885" s="1097">
        <v>1.0392788812617084</v>
      </c>
      <c r="H1885" s="1097">
        <v>1.039541001436056</v>
      </c>
      <c r="I1885" s="1097">
        <v>1.0008402895683128</v>
      </c>
      <c r="K1885">
        <v>5.2680020956471161</v>
      </c>
      <c r="L1885">
        <v>0</v>
      </c>
      <c r="M1885">
        <v>3.8406335404023851E-3</v>
      </c>
      <c r="N1885">
        <v>0.3177914994232453</v>
      </c>
      <c r="O1885">
        <v>0.1470357036175709</v>
      </c>
      <c r="P1885">
        <v>2.0468854483616721E-2</v>
      </c>
      <c r="Q1885">
        <v>1.2447683710061241E-3</v>
      </c>
      <c r="R1885">
        <v>3.8346255501218317E-3</v>
      </c>
      <c r="S1885">
        <v>0.46474478156539173</v>
      </c>
      <c r="T1885">
        <v>4.0790093697589338</v>
      </c>
      <c r="U1885">
        <v>0</v>
      </c>
      <c r="V1885">
        <v>1.1304767209823822E-2</v>
      </c>
      <c r="W1885">
        <v>0.19136350012813522</v>
      </c>
      <c r="X1885">
        <v>2.4207914515211679E-2</v>
      </c>
      <c r="Y1885">
        <v>1.08369445644557E-2</v>
      </c>
    </row>
    <row r="1886" spans="1:25" x14ac:dyDescent="0.25">
      <c r="A1886" s="1093"/>
      <c r="B1886" s="1452">
        <v>1636</v>
      </c>
      <c r="C1886" s="1097">
        <v>1.0354357057632073</v>
      </c>
      <c r="D1886" s="1097">
        <v>1.0267476117446217</v>
      </c>
      <c r="E1886" s="1097">
        <v>0.96449060881645765</v>
      </c>
      <c r="F1886" s="1097">
        <v>0.99723916013123159</v>
      </c>
      <c r="G1886" s="1097">
        <v>1.0049065004860318</v>
      </c>
      <c r="H1886" s="1097">
        <v>1.0366173312506897</v>
      </c>
      <c r="I1886" s="1097">
        <v>0.98108229564892502</v>
      </c>
      <c r="K1886">
        <v>5.1217985499007312</v>
      </c>
      <c r="L1886">
        <v>0</v>
      </c>
      <c r="M1886">
        <v>3.8490199271214685E-3</v>
      </c>
      <c r="N1886">
        <v>0.30054469795673222</v>
      </c>
      <c r="O1886">
        <v>0.14235739979220277</v>
      </c>
      <c r="P1886">
        <v>1.966299959022802E-2</v>
      </c>
      <c r="Q1886">
        <v>1.2079903074600946E-3</v>
      </c>
      <c r="R1886">
        <v>3.8428416574572593E-3</v>
      </c>
      <c r="S1886">
        <v>0.44130935926232662</v>
      </c>
      <c r="T1886">
        <v>3.9887833213107253</v>
      </c>
      <c r="U1886">
        <v>0</v>
      </c>
      <c r="V1886">
        <v>1.1304767209823808E-2</v>
      </c>
      <c r="W1886">
        <v>0.18342398399940757</v>
      </c>
      <c r="X1886">
        <v>2.2350044830432524E-2</v>
      </c>
      <c r="Y1886">
        <v>1.0860163911055739E-2</v>
      </c>
    </row>
    <row r="1887" spans="1:25" x14ac:dyDescent="0.25">
      <c r="A1887" s="1093"/>
      <c r="B1887" s="1452">
        <v>1637</v>
      </c>
      <c r="C1887" s="1097">
        <v>1.0334457777613213</v>
      </c>
      <c r="D1887" s="1097">
        <v>0.96811137838092109</v>
      </c>
      <c r="E1887" s="1097">
        <v>0.99416166966026753</v>
      </c>
      <c r="F1887" s="1097">
        <v>0.99310622412027694</v>
      </c>
      <c r="G1887" s="1097">
        <v>0.98687954213341056</v>
      </c>
      <c r="H1887" s="1097">
        <v>0.97877715745066229</v>
      </c>
      <c r="I1887" s="1097">
        <v>1.0123264806319174</v>
      </c>
      <c r="K1887">
        <v>5.1050809830758785</v>
      </c>
      <c r="L1887">
        <v>0</v>
      </c>
      <c r="M1887">
        <v>3.4883246611224694E-3</v>
      </c>
      <c r="N1887">
        <v>0.29742037982961189</v>
      </c>
      <c r="O1887">
        <v>0.1446174711410485</v>
      </c>
      <c r="P1887">
        <v>2.0055948164829616E-2</v>
      </c>
      <c r="Q1887">
        <v>1.2714658272230106E-3</v>
      </c>
      <c r="R1887">
        <v>3.48236983818862E-3</v>
      </c>
      <c r="S1887">
        <v>0.44935900353107944</v>
      </c>
      <c r="T1887">
        <v>3.9685168567623359</v>
      </c>
      <c r="U1887">
        <v>0</v>
      </c>
      <c r="V1887">
        <v>1.1304767209823808E-2</v>
      </c>
      <c r="W1887">
        <v>0.17786271567468392</v>
      </c>
      <c r="X1887">
        <v>2.4836886729096844E-2</v>
      </c>
      <c r="Y1887">
        <v>9.841443029081064E-3</v>
      </c>
    </row>
    <row r="1888" spans="1:25" x14ac:dyDescent="0.25">
      <c r="A1888" s="1093"/>
      <c r="B1888" s="1452">
        <v>1638</v>
      </c>
      <c r="C1888" s="1097">
        <v>1.0151637902111337</v>
      </c>
      <c r="D1888" s="1097">
        <v>1.0311413236111509</v>
      </c>
      <c r="E1888" s="1097">
        <v>0.99747927854161811</v>
      </c>
      <c r="F1888" s="1097">
        <v>0.97993637178385229</v>
      </c>
      <c r="G1888" s="1097">
        <v>1.0184732239375967</v>
      </c>
      <c r="H1888" s="1097">
        <v>0.99827285170896141</v>
      </c>
      <c r="I1888" s="1097">
        <v>0.99962026571427132</v>
      </c>
      <c r="K1888">
        <v>5.0441115699912427</v>
      </c>
      <c r="L1888">
        <v>0</v>
      </c>
      <c r="M1888">
        <v>3.4606397339780508E-3</v>
      </c>
      <c r="N1888">
        <v>0.29797879925419346</v>
      </c>
      <c r="O1888">
        <v>0.14156221046165837</v>
      </c>
      <c r="P1888">
        <v>1.9843890398454186E-2</v>
      </c>
      <c r="Q1888">
        <v>1.2657188239541201E-3</v>
      </c>
      <c r="R1888">
        <v>3.4547698301896665E-3</v>
      </c>
      <c r="S1888">
        <v>0.44469676280088971</v>
      </c>
      <c r="T1888">
        <v>3.9154802925099368</v>
      </c>
      <c r="U1888">
        <v>0</v>
      </c>
      <c r="V1888">
        <v>1.130476720982382E-2</v>
      </c>
      <c r="W1888">
        <v>0.17779640728299606</v>
      </c>
      <c r="X1888">
        <v>2.442514785380373E-2</v>
      </c>
      <c r="Y1888">
        <v>9.7634432993150919E-3</v>
      </c>
    </row>
    <row r="1889" spans="1:25" x14ac:dyDescent="0.25">
      <c r="A1889" s="1093"/>
      <c r="B1889" s="1452">
        <v>1639</v>
      </c>
      <c r="C1889" s="1097">
        <v>0.97997826064798654</v>
      </c>
      <c r="D1889" s="1097">
        <v>0.98986427926607434</v>
      </c>
      <c r="E1889" s="1097">
        <v>0.99297317336967783</v>
      </c>
      <c r="F1889" s="1097">
        <v>0.98316864260592951</v>
      </c>
      <c r="G1889" s="1097">
        <v>1.0206506962151145</v>
      </c>
      <c r="H1889" s="1097">
        <v>0.98641161130843824</v>
      </c>
      <c r="I1889" s="1097">
        <v>1.0203579521346142</v>
      </c>
      <c r="K1889">
        <v>5.1151503259478268</v>
      </c>
      <c r="L1889">
        <v>0</v>
      </c>
      <c r="M1889">
        <v>3.64693418935059E-3</v>
      </c>
      <c r="N1889">
        <v>0.30984891501883727</v>
      </c>
      <c r="O1889">
        <v>0.14967900591278752</v>
      </c>
      <c r="P1889">
        <v>1.9966241200903605E-2</v>
      </c>
      <c r="Q1889">
        <v>1.327613427539725E-3</v>
      </c>
      <c r="R1889">
        <v>3.6406944581604006E-3</v>
      </c>
      <c r="S1889">
        <v>0.4730351909632371</v>
      </c>
      <c r="T1889">
        <v>3.9289527879342883</v>
      </c>
      <c r="U1889">
        <v>0</v>
      </c>
      <c r="V1889">
        <v>1.1304767209823834E-2</v>
      </c>
      <c r="W1889">
        <v>0.18544475712624872</v>
      </c>
      <c r="X1889">
        <v>2.5308406392710325E-2</v>
      </c>
      <c r="Y1889">
        <v>1.0288880492634239E-2</v>
      </c>
    </row>
    <row r="1890" spans="1:25" x14ac:dyDescent="0.25">
      <c r="A1890" s="1093"/>
      <c r="B1890" s="1452">
        <v>1640</v>
      </c>
      <c r="C1890" s="1097">
        <v>1.0184968244334838</v>
      </c>
      <c r="D1890" s="1097">
        <v>0.96957361033610079</v>
      </c>
      <c r="E1890" s="1097">
        <v>0.9781223365132431</v>
      </c>
      <c r="F1890" s="1097">
        <v>0.97920133742902005</v>
      </c>
      <c r="G1890" s="1097">
        <v>0.98245552032970629</v>
      </c>
      <c r="H1890" s="1097">
        <v>1.0166883359710515</v>
      </c>
      <c r="I1890" s="1097">
        <v>1.0025082513544603</v>
      </c>
      <c r="K1890">
        <v>5.0681804372992119</v>
      </c>
      <c r="L1890">
        <v>0</v>
      </c>
      <c r="M1890">
        <v>3.7472360955437649E-3</v>
      </c>
      <c r="N1890">
        <v>0.30466449046822541</v>
      </c>
      <c r="O1890">
        <v>0.14503262140492421</v>
      </c>
      <c r="P1890">
        <v>1.9591445366704981E-2</v>
      </c>
      <c r="Q1890">
        <v>1.2715915593728298E-3</v>
      </c>
      <c r="R1890">
        <v>3.7409905209933769E-3</v>
      </c>
      <c r="S1890">
        <v>0.45306485911217587</v>
      </c>
      <c r="T1890">
        <v>3.9149367518534728</v>
      </c>
      <c r="U1890">
        <v>0</v>
      </c>
      <c r="V1890">
        <v>1.1304767209823808E-2</v>
      </c>
      <c r="W1890">
        <v>0.18419957418430613</v>
      </c>
      <c r="X1890">
        <v>2.354825689131762E-2</v>
      </c>
      <c r="Y1890">
        <v>1.0572324823442386E-2</v>
      </c>
    </row>
    <row r="1891" spans="1:25" x14ac:dyDescent="0.25">
      <c r="A1891" s="1093"/>
      <c r="B1891" s="1452">
        <v>1641</v>
      </c>
      <c r="C1891" s="1097">
        <v>1.001134483902242</v>
      </c>
      <c r="D1891" s="1097">
        <v>0.97770726914937467</v>
      </c>
      <c r="E1891" s="1097">
        <v>0.96329774306315397</v>
      </c>
      <c r="F1891" s="1097">
        <v>0.99449415684165943</v>
      </c>
      <c r="G1891" s="1097">
        <v>0.99928451913567984</v>
      </c>
      <c r="H1891" s="1097">
        <v>0.98672359215737848</v>
      </c>
      <c r="I1891" s="1097">
        <v>0.98474212973715547</v>
      </c>
      <c r="K1891">
        <v>5.1308628513375218</v>
      </c>
      <c r="L1891">
        <v>0</v>
      </c>
      <c r="M1891">
        <v>3.8632207051393728E-3</v>
      </c>
      <c r="N1891">
        <v>0.30056057171720374</v>
      </c>
      <c r="O1891">
        <v>0.14976558669869411</v>
      </c>
      <c r="P1891">
        <v>1.9645812167366911E-2</v>
      </c>
      <c r="Q1891">
        <v>1.2727460660194015E-3</v>
      </c>
      <c r="R1891">
        <v>3.8566881321940001E-3</v>
      </c>
      <c r="S1891">
        <v>0.45233155087091931</v>
      </c>
      <c r="T1891">
        <v>3.9779552421734792</v>
      </c>
      <c r="U1891">
        <v>0</v>
      </c>
      <c r="V1891">
        <v>1.1304767209823818E-2</v>
      </c>
      <c r="W1891">
        <v>0.18358530814605015</v>
      </c>
      <c r="X1891">
        <v>2.3548503755117325E-2</v>
      </c>
      <c r="Y1891">
        <v>1.0899295105790106E-2</v>
      </c>
    </row>
    <row r="1892" spans="1:25" x14ac:dyDescent="0.25">
      <c r="A1892" s="1093"/>
      <c r="B1892" s="1452">
        <v>1642</v>
      </c>
      <c r="C1892" s="1097">
        <v>0.98680596800514053</v>
      </c>
      <c r="D1892" s="1097">
        <v>0.9897487848786346</v>
      </c>
      <c r="E1892" s="1097">
        <v>0.98694305771093949</v>
      </c>
      <c r="F1892" s="1097">
        <v>1.0291724100362691</v>
      </c>
      <c r="G1892" s="1097">
        <v>0.99497153804838456</v>
      </c>
      <c r="H1892" s="1097">
        <v>1.0041223624681597</v>
      </c>
      <c r="I1892" s="1097">
        <v>0.96311909206807356</v>
      </c>
      <c r="K1892">
        <v>5.3257516074728084</v>
      </c>
      <c r="L1892">
        <v>0</v>
      </c>
      <c r="M1892">
        <v>3.9083654872470435E-3</v>
      </c>
      <c r="N1892">
        <v>0.32621029359217157</v>
      </c>
      <c r="O1892">
        <v>0.15578159811742798</v>
      </c>
      <c r="P1892">
        <v>2.0666902197525854E-2</v>
      </c>
      <c r="Q1892">
        <v>1.3116493369761391E-3</v>
      </c>
      <c r="R1892">
        <v>3.9020895685578333E-3</v>
      </c>
      <c r="S1892">
        <v>0.4640653733717322</v>
      </c>
      <c r="T1892">
        <v>4.1135765704559439</v>
      </c>
      <c r="U1892">
        <v>0</v>
      </c>
      <c r="V1892">
        <v>1.1304767209823822E-2</v>
      </c>
      <c r="W1892">
        <v>0.19603985369322505</v>
      </c>
      <c r="X1892">
        <v>2.5773272385476682E-2</v>
      </c>
      <c r="Y1892">
        <v>1.102760303118999E-2</v>
      </c>
    </row>
    <row r="1893" spans="1:25" x14ac:dyDescent="0.25">
      <c r="A1893" s="1093"/>
      <c r="B1893" s="1452">
        <v>1643</v>
      </c>
      <c r="C1893" s="1097">
        <v>1.0166518731133782</v>
      </c>
      <c r="D1893" s="1097">
        <v>1.0187734481068531</v>
      </c>
      <c r="E1893" s="1097">
        <v>0.99252377537865644</v>
      </c>
      <c r="F1893" s="1097">
        <v>1.0296438023551828</v>
      </c>
      <c r="G1893" s="1097">
        <v>1.0104136840655862</v>
      </c>
      <c r="H1893" s="1097">
        <v>1.0175519827245278</v>
      </c>
      <c r="I1893" s="1097">
        <v>1.0266614874853648</v>
      </c>
      <c r="K1893">
        <v>5.3234159190518895</v>
      </c>
      <c r="L1893">
        <v>0</v>
      </c>
      <c r="M1893">
        <v>3.7575624350787238E-3</v>
      </c>
      <c r="N1893">
        <v>0.31886360743740094</v>
      </c>
      <c r="O1893">
        <v>0.1493825353248267</v>
      </c>
      <c r="P1893">
        <v>2.0832383595284588E-2</v>
      </c>
      <c r="Q1893">
        <v>1.2645819678938136E-3</v>
      </c>
      <c r="R1893">
        <v>3.7516110257074398E-3</v>
      </c>
      <c r="S1893">
        <v>0.48026028469858539</v>
      </c>
      <c r="T1893">
        <v>4.1147357891358212</v>
      </c>
      <c r="U1893">
        <v>0</v>
      </c>
      <c r="V1893">
        <v>1.1304767209823804E-2</v>
      </c>
      <c r="W1893">
        <v>0.19089831597495943</v>
      </c>
      <c r="X1893">
        <v>2.5277265936067841E-2</v>
      </c>
      <c r="Y1893">
        <v>1.0602339180601507E-2</v>
      </c>
    </row>
    <row r="1894" spans="1:25" x14ac:dyDescent="0.25">
      <c r="A1894" s="1093"/>
      <c r="B1894" s="1452">
        <v>1644</v>
      </c>
      <c r="C1894" s="1097">
        <v>0.98413446123070936</v>
      </c>
      <c r="D1894" s="1097">
        <v>0.98769731710633579</v>
      </c>
      <c r="E1894" s="1097">
        <v>1.0174089594681728</v>
      </c>
      <c r="F1894" s="1097">
        <v>0.98825085540905355</v>
      </c>
      <c r="G1894" s="1097">
        <v>0.98505454271467496</v>
      </c>
      <c r="H1894" s="1097">
        <v>0.96615985969653106</v>
      </c>
      <c r="I1894" s="1097">
        <v>1.0069599850941955</v>
      </c>
      <c r="K1894">
        <v>5.1214411503759765</v>
      </c>
      <c r="L1894">
        <v>0</v>
      </c>
      <c r="M1894">
        <v>3.3988362907428982E-3</v>
      </c>
      <c r="N1894">
        <v>0.31043626803455238</v>
      </c>
      <c r="O1894">
        <v>0.14926227366953992</v>
      </c>
      <c r="P1894">
        <v>2.0365948353032525E-2</v>
      </c>
      <c r="Q1894">
        <v>1.3510753970923921E-3</v>
      </c>
      <c r="R1894">
        <v>3.3929296307032928E-3</v>
      </c>
      <c r="S1894">
        <v>0.46320252031142273</v>
      </c>
      <c r="T1894">
        <v>3.9462378812319781</v>
      </c>
      <c r="U1894">
        <v>0</v>
      </c>
      <c r="V1894">
        <v>1.1304767209823822E-2</v>
      </c>
      <c r="W1894">
        <v>0.18276352512290892</v>
      </c>
      <c r="X1894">
        <v>2.6934119531371807E-2</v>
      </c>
      <c r="Y1894">
        <v>9.5886781742907153E-3</v>
      </c>
    </row>
    <row r="1895" spans="1:25" x14ac:dyDescent="0.25">
      <c r="A1895" s="1093"/>
      <c r="B1895" s="1452">
        <v>1645</v>
      </c>
      <c r="C1895" s="1097">
        <v>1.0063364139686242</v>
      </c>
      <c r="D1895" s="1097">
        <v>0.99092036149638596</v>
      </c>
      <c r="E1895" s="1097">
        <v>0.95495736604519232</v>
      </c>
      <c r="F1895" s="1097">
        <v>0.96571032269724821</v>
      </c>
      <c r="G1895" s="1097">
        <v>0.9791849662253419</v>
      </c>
      <c r="H1895" s="1097">
        <v>0.999708309925738</v>
      </c>
      <c r="I1895" s="1097">
        <v>1.0028354094342489</v>
      </c>
      <c r="K1895">
        <v>4.9897359432384532</v>
      </c>
      <c r="L1895">
        <v>0</v>
      </c>
      <c r="M1895">
        <v>3.8272720575616192E-3</v>
      </c>
      <c r="N1895">
        <v>0.29046566070838403</v>
      </c>
      <c r="O1895">
        <v>0.14412765440144434</v>
      </c>
      <c r="P1895">
        <v>1.9000453601413222E-2</v>
      </c>
      <c r="Q1895">
        <v>1.2501800832976696E-3</v>
      </c>
      <c r="R1895">
        <v>3.8206942667618022E-3</v>
      </c>
      <c r="S1895">
        <v>0.44834342779434933</v>
      </c>
      <c r="T1895">
        <v>3.8638510784481666</v>
      </c>
      <c r="U1895">
        <v>0</v>
      </c>
      <c r="V1895">
        <v>1.1304767209823822E-2</v>
      </c>
      <c r="W1895">
        <v>0.17845061593356262</v>
      </c>
      <c r="X1895">
        <v>2.2151109154728836E-2</v>
      </c>
      <c r="Y1895">
        <v>1.0797573694077089E-2</v>
      </c>
    </row>
    <row r="1896" spans="1:25" x14ac:dyDescent="0.25">
      <c r="A1896" s="1093"/>
      <c r="B1896" s="1452">
        <v>1646</v>
      </c>
      <c r="C1896" s="1097">
        <v>0.9987785090794683</v>
      </c>
      <c r="D1896" s="1097">
        <v>0.99198527482644072</v>
      </c>
      <c r="E1896" s="1097">
        <v>1.0085036609764688</v>
      </c>
      <c r="F1896" s="1097">
        <v>1.0265284834279584</v>
      </c>
      <c r="G1896" s="1097">
        <v>0.98199550915865497</v>
      </c>
      <c r="H1896" s="1097">
        <v>0.96773998814743289</v>
      </c>
      <c r="I1896" s="1097">
        <v>1.0050087270733705</v>
      </c>
      <c r="K1896">
        <v>5.295820194344258</v>
      </c>
      <c r="L1896">
        <v>0</v>
      </c>
      <c r="M1896">
        <v>3.5441344766742183E-3</v>
      </c>
      <c r="N1896">
        <v>0.31530684258304265</v>
      </c>
      <c r="O1896">
        <v>0.15276150814862843</v>
      </c>
      <c r="P1896">
        <v>2.0969210286710012E-2</v>
      </c>
      <c r="Q1896">
        <v>1.3189395239268408E-3</v>
      </c>
      <c r="R1896">
        <v>3.5382142871480892E-3</v>
      </c>
      <c r="S1896">
        <v>0.47013635180183033</v>
      </c>
      <c r="T1896">
        <v>4.1002270837807862</v>
      </c>
      <c r="U1896">
        <v>0</v>
      </c>
      <c r="V1896">
        <v>1.1304767209823804E-2</v>
      </c>
      <c r="W1896">
        <v>0.18674182113403429</v>
      </c>
      <c r="X1896">
        <v>2.7060326359638408E-2</v>
      </c>
      <c r="Y1896">
        <v>9.9992637053625093E-3</v>
      </c>
    </row>
    <row r="1897" spans="1:25" x14ac:dyDescent="0.25">
      <c r="A1897" s="1093"/>
      <c r="B1897" s="1452">
        <v>1647</v>
      </c>
      <c r="C1897" s="1097">
        <v>0.96950767904001489</v>
      </c>
      <c r="D1897" s="1097">
        <v>0.98046627122621388</v>
      </c>
      <c r="E1897" s="1097">
        <v>1.0082695396449619</v>
      </c>
      <c r="F1897" s="1097">
        <v>0.97449664324041119</v>
      </c>
      <c r="G1897" s="1097">
        <v>0.995410871682334</v>
      </c>
      <c r="H1897" s="1097">
        <v>1.011431549220152</v>
      </c>
      <c r="I1897" s="1097">
        <v>1.0016299183665966</v>
      </c>
      <c r="K1897">
        <v>5.0986544733827186</v>
      </c>
      <c r="L1897">
        <v>0</v>
      </c>
      <c r="M1897">
        <v>3.641633143358137E-3</v>
      </c>
      <c r="N1897">
        <v>0.32375213926976271</v>
      </c>
      <c r="O1897">
        <v>0.15010299167497604</v>
      </c>
      <c r="P1897">
        <v>2.0021246918021502E-2</v>
      </c>
      <c r="Q1897">
        <v>1.3648507661121545E-3</v>
      </c>
      <c r="R1897">
        <v>3.6355026281332465E-3</v>
      </c>
      <c r="S1897">
        <v>0.47156188322138204</v>
      </c>
      <c r="T1897">
        <v>3.8924266427045859</v>
      </c>
      <c r="U1897">
        <v>0</v>
      </c>
      <c r="V1897">
        <v>1.1304767209823813E-2</v>
      </c>
      <c r="W1897">
        <v>0.19177375532285187</v>
      </c>
      <c r="X1897">
        <v>2.6078118825827928E-2</v>
      </c>
      <c r="Y1897">
        <v>1.0274207984600029E-2</v>
      </c>
    </row>
    <row r="1898" spans="1:25" x14ac:dyDescent="0.25">
      <c r="A1898" s="1093"/>
      <c r="B1898" s="1452">
        <v>1648</v>
      </c>
      <c r="C1898" s="1097">
        <v>1.047718723899818</v>
      </c>
      <c r="D1898" s="1097">
        <v>1.034247404033622</v>
      </c>
      <c r="E1898" s="1097">
        <v>0.9745111215664044</v>
      </c>
      <c r="F1898" s="1097">
        <v>0.9859930882480441</v>
      </c>
      <c r="G1898" s="1097">
        <v>1.0240140049731179</v>
      </c>
      <c r="H1898" s="1097">
        <v>0.99639811242686904</v>
      </c>
      <c r="I1898" s="1097">
        <v>0.97223954990396366</v>
      </c>
      <c r="K1898">
        <v>5.0223678666619556</v>
      </c>
      <c r="L1898">
        <v>0</v>
      </c>
      <c r="M1898">
        <v>3.5297255082931997E-3</v>
      </c>
      <c r="N1898">
        <v>0.28391410294969566</v>
      </c>
      <c r="O1898">
        <v>0.13843878522198361</v>
      </c>
      <c r="P1898">
        <v>1.9516279880631617E-2</v>
      </c>
      <c r="Q1898">
        <v>1.2008273821089916E-3</v>
      </c>
      <c r="R1898">
        <v>3.5237639414882186E-3</v>
      </c>
      <c r="S1898">
        <v>0.42068489797410108</v>
      </c>
      <c r="T1898">
        <v>3.9425428029583118</v>
      </c>
      <c r="U1898">
        <v>0</v>
      </c>
      <c r="V1898">
        <v>1.1304767209823832E-2</v>
      </c>
      <c r="W1898">
        <v>0.17208022526584238</v>
      </c>
      <c r="X1898">
        <v>2.2732713460957947E-2</v>
      </c>
      <c r="Y1898">
        <v>9.9584259252960133E-3</v>
      </c>
    </row>
    <row r="1899" spans="1:25" x14ac:dyDescent="0.25">
      <c r="A1899" s="1093"/>
      <c r="B1899" s="1452">
        <v>1649</v>
      </c>
      <c r="C1899" s="1097">
        <v>0.998685710701534</v>
      </c>
      <c r="D1899" s="1097">
        <v>0.97119960744778344</v>
      </c>
      <c r="E1899" s="1097">
        <v>0.97297600702255371</v>
      </c>
      <c r="F1899" s="1097">
        <v>0.97485337745374923</v>
      </c>
      <c r="G1899" s="1097">
        <v>0.99199285644098323</v>
      </c>
      <c r="H1899" s="1097">
        <v>0.99590907549267449</v>
      </c>
      <c r="I1899" s="1097">
        <v>0.9671501076417709</v>
      </c>
      <c r="K1899">
        <v>5.0362825911326441</v>
      </c>
      <c r="L1899">
        <v>0</v>
      </c>
      <c r="M1899">
        <v>3.7648004325961698E-3</v>
      </c>
      <c r="N1899">
        <v>0.30143939742581682</v>
      </c>
      <c r="O1899">
        <v>0.14729561207564784</v>
      </c>
      <c r="P1899">
        <v>1.9382933753468768E-2</v>
      </c>
      <c r="Q1899">
        <v>1.2901547351584816E-3</v>
      </c>
      <c r="R1899">
        <v>3.7583661391199326E-3</v>
      </c>
      <c r="S1899">
        <v>0.44023585015284189</v>
      </c>
      <c r="T1899">
        <v>3.8981903125227872</v>
      </c>
      <c r="U1899">
        <v>0</v>
      </c>
      <c r="V1899">
        <v>1.130476720982382E-2</v>
      </c>
      <c r="W1899">
        <v>0.18289538164110905</v>
      </c>
      <c r="X1899">
        <v>2.3633186262629082E-2</v>
      </c>
      <c r="Y1899">
        <v>1.0621429646833729E-2</v>
      </c>
    </row>
    <row r="1900" spans="1:25" x14ac:dyDescent="0.25">
      <c r="A1900" s="1093"/>
      <c r="B1900" s="1452">
        <v>1650</v>
      </c>
      <c r="C1900" s="1097">
        <v>0.9718080730366635</v>
      </c>
      <c r="D1900" s="1097">
        <v>0.99030970308261124</v>
      </c>
      <c r="E1900" s="1097">
        <v>0.997385605868224</v>
      </c>
      <c r="F1900" s="1097">
        <v>0.99519852318289714</v>
      </c>
      <c r="G1900" s="1097">
        <v>0.98833731866447805</v>
      </c>
      <c r="H1900" s="1097">
        <v>1.0028781995199354</v>
      </c>
      <c r="I1900" s="1097">
        <v>1.0129952223696854</v>
      </c>
      <c r="K1900">
        <v>5.1953906657083211</v>
      </c>
      <c r="L1900">
        <v>0</v>
      </c>
      <c r="M1900">
        <v>3.7490048766936016E-3</v>
      </c>
      <c r="N1900">
        <v>0.32272978912697486</v>
      </c>
      <c r="O1900">
        <v>0.15263048589259207</v>
      </c>
      <c r="P1900">
        <v>2.0286776394442659E-2</v>
      </c>
      <c r="Q1900">
        <v>1.3436210393753432E-3</v>
      </c>
      <c r="R1900">
        <v>3.7427719631854643E-3</v>
      </c>
      <c r="S1900">
        <v>0.48157174169521155</v>
      </c>
      <c r="T1900">
        <v>3.9764741878030891</v>
      </c>
      <c r="U1900">
        <v>0</v>
      </c>
      <c r="V1900">
        <v>1.1304767209823818E-2</v>
      </c>
      <c r="W1900">
        <v>0.19257690956541826</v>
      </c>
      <c r="X1900">
        <v>2.5901260579817093E-2</v>
      </c>
      <c r="Y1900">
        <v>1.0577359315083903E-2</v>
      </c>
    </row>
    <row r="1901" spans="1:25" x14ac:dyDescent="0.25">
      <c r="A1901" s="1093"/>
      <c r="B1901" s="1452">
        <v>1651</v>
      </c>
      <c r="C1901" s="1097">
        <v>1.0251230811650536</v>
      </c>
      <c r="D1901" s="1097">
        <v>1.0104348718367233</v>
      </c>
      <c r="E1901" s="1097">
        <v>1.0061788085024113</v>
      </c>
      <c r="F1901" s="1097">
        <v>1.0199060258243808</v>
      </c>
      <c r="G1901" s="1097">
        <v>0.98265814828378106</v>
      </c>
      <c r="H1901" s="1097">
        <v>0.99079686526441713</v>
      </c>
      <c r="I1901" s="1097">
        <v>1.0231849936111665</v>
      </c>
      <c r="K1901">
        <v>5.2499235727779636</v>
      </c>
      <c r="L1901">
        <v>0</v>
      </c>
      <c r="M1901">
        <v>3.5038901245523042E-3</v>
      </c>
      <c r="N1901">
        <v>0.30959647046568373</v>
      </c>
      <c r="O1901">
        <v>0.14685363596435902</v>
      </c>
      <c r="P1901">
        <v>2.0797282755929736E-2</v>
      </c>
      <c r="Q1901">
        <v>1.2730795155784559E-3</v>
      </c>
      <c r="R1901">
        <v>3.4981363048582773E-3</v>
      </c>
      <c r="S1901">
        <v>0.46655814475774487</v>
      </c>
      <c r="T1901">
        <v>4.0740719046239935</v>
      </c>
      <c r="U1901">
        <v>0</v>
      </c>
      <c r="V1901">
        <v>1.1304767209823822E-2</v>
      </c>
      <c r="W1901">
        <v>0.1836467376627707</v>
      </c>
      <c r="X1901">
        <v>2.594130337416916E-2</v>
      </c>
      <c r="Y1901">
        <v>9.8860002676023004E-3</v>
      </c>
    </row>
    <row r="1902" spans="1:25" x14ac:dyDescent="0.25">
      <c r="A1902" s="1093"/>
      <c r="B1902" s="1452">
        <v>1652</v>
      </c>
      <c r="C1902" s="1097">
        <v>1.0365573021842895</v>
      </c>
      <c r="D1902" s="1097">
        <v>1.001998136620815</v>
      </c>
      <c r="E1902" s="1097">
        <v>1.0070754285030101</v>
      </c>
      <c r="F1902" s="1097">
        <v>1.0129264703519423</v>
      </c>
      <c r="G1902" s="1097">
        <v>0.99829489885105271</v>
      </c>
      <c r="H1902" s="1097">
        <v>0.99702758108633072</v>
      </c>
      <c r="I1902" s="1097">
        <v>0.99262917259674044</v>
      </c>
      <c r="K1902">
        <v>5.195654146672549</v>
      </c>
      <c r="L1902">
        <v>0</v>
      </c>
      <c r="M1902">
        <v>3.4682791057708997E-3</v>
      </c>
      <c r="N1902">
        <v>0.30726447072415225</v>
      </c>
      <c r="O1902">
        <v>0.14470001846200226</v>
      </c>
      <c r="P1902">
        <v>2.059327641842873E-2</v>
      </c>
      <c r="Q1902">
        <v>1.2642329743245985E-3</v>
      </c>
      <c r="R1902">
        <v>3.4625804210720113E-3</v>
      </c>
      <c r="S1902">
        <v>0.44691134649791808</v>
      </c>
      <c r="T1902">
        <v>4.0460780056150378</v>
      </c>
      <c r="U1902">
        <v>0</v>
      </c>
      <c r="V1902">
        <v>1.1304767209823817E-2</v>
      </c>
      <c r="W1902">
        <v>0.18215351599395357</v>
      </c>
      <c r="X1902">
        <v>2.560469483614124E-2</v>
      </c>
      <c r="Y1902">
        <v>9.7855166254590016E-3</v>
      </c>
    </row>
    <row r="1903" spans="1:25" x14ac:dyDescent="0.25">
      <c r="A1903" s="1093"/>
      <c r="B1903" s="1452">
        <v>1653</v>
      </c>
      <c r="C1903" s="1097">
        <v>1.0274146029582576</v>
      </c>
      <c r="D1903" s="1097">
        <v>1.0387984842017786</v>
      </c>
      <c r="E1903" s="1097">
        <v>0.97211365607912548</v>
      </c>
      <c r="F1903" s="1097">
        <v>0.97480950615324202</v>
      </c>
      <c r="G1903" s="1097">
        <v>0.984711773874408</v>
      </c>
      <c r="H1903" s="1097">
        <v>0.97868948123494048</v>
      </c>
      <c r="I1903" s="1097">
        <v>1.0219510388270101</v>
      </c>
      <c r="K1903">
        <v>4.995319852312047</v>
      </c>
      <c r="L1903">
        <v>0</v>
      </c>
      <c r="M1903">
        <v>3.506928789119821E-3</v>
      </c>
      <c r="N1903">
        <v>0.28006571800227736</v>
      </c>
      <c r="O1903">
        <v>0.13939079007004931</v>
      </c>
      <c r="P1903">
        <v>1.938259510058617E-2</v>
      </c>
      <c r="Q1903">
        <v>1.2198575994799741E-3</v>
      </c>
      <c r="R1903">
        <v>3.5008294871633201E-3</v>
      </c>
      <c r="S1903">
        <v>0.44309552031170019</v>
      </c>
      <c r="T1903">
        <v>3.8981217823807808</v>
      </c>
      <c r="U1903">
        <v>0</v>
      </c>
      <c r="V1903">
        <v>1.1304767209823822E-2</v>
      </c>
      <c r="W1903">
        <v>0.17002805157888023</v>
      </c>
      <c r="X1903">
        <v>2.282325795401079E-2</v>
      </c>
      <c r="Y1903">
        <v>9.8936114064110958E-3</v>
      </c>
    </row>
    <row r="1904" spans="1:25" x14ac:dyDescent="0.25">
      <c r="A1904" s="1093"/>
      <c r="B1904" s="1452">
        <v>1654</v>
      </c>
      <c r="C1904" s="1097">
        <v>0.98673987416003484</v>
      </c>
      <c r="D1904" s="1097">
        <v>1.005554431579198</v>
      </c>
      <c r="E1904" s="1097">
        <v>0.99019197194202557</v>
      </c>
      <c r="F1904" s="1097">
        <v>0.99294741657404617</v>
      </c>
      <c r="G1904" s="1097">
        <v>1.0374960607105714</v>
      </c>
      <c r="H1904" s="1097">
        <v>0.98565986924620064</v>
      </c>
      <c r="I1904" s="1097">
        <v>0.99888835931294906</v>
      </c>
      <c r="K1904">
        <v>5.1403665216874579</v>
      </c>
      <c r="L1904">
        <v>0</v>
      </c>
      <c r="M1904">
        <v>3.6535072134840731E-3</v>
      </c>
      <c r="N1904">
        <v>0.30786314377590424</v>
      </c>
      <c r="O1904">
        <v>0.14926812632765774</v>
      </c>
      <c r="P1904">
        <v>2.0053407923885058E-2</v>
      </c>
      <c r="Q1904">
        <v>1.3071116586323027E-3</v>
      </c>
      <c r="R1904">
        <v>3.6473129737291357E-3</v>
      </c>
      <c r="S1904">
        <v>0.46215185342675164</v>
      </c>
      <c r="T1904">
        <v>3.9683789627833721</v>
      </c>
      <c r="U1904">
        <v>0</v>
      </c>
      <c r="V1904">
        <v>1.1304767209823827E-2</v>
      </c>
      <c r="W1904">
        <v>0.18460494167371869</v>
      </c>
      <c r="X1904">
        <v>2.5132816224529925E-2</v>
      </c>
      <c r="Y1904">
        <v>1.0307584922931242E-2</v>
      </c>
    </row>
    <row r="1905" spans="1:25" x14ac:dyDescent="0.25">
      <c r="A1905" s="1093"/>
      <c r="B1905" s="1452">
        <v>1655</v>
      </c>
      <c r="C1905" s="1097">
        <v>0.99035773913648151</v>
      </c>
      <c r="D1905" s="1097">
        <v>1.0164933129669451</v>
      </c>
      <c r="E1905" s="1097">
        <v>1.0159572052551566</v>
      </c>
      <c r="F1905" s="1097">
        <v>1.0155988372808544</v>
      </c>
      <c r="G1905" s="1097">
        <v>1.0015878097492212</v>
      </c>
      <c r="H1905" s="1097">
        <v>0.98790304642950877</v>
      </c>
      <c r="I1905" s="1097">
        <v>1.0121896317629524</v>
      </c>
      <c r="K1905">
        <v>5.2605068944673352</v>
      </c>
      <c r="L1905">
        <v>0</v>
      </c>
      <c r="M1905">
        <v>3.5191046134389384E-3</v>
      </c>
      <c r="N1905">
        <v>0.32007009016623328</v>
      </c>
      <c r="O1905">
        <v>0.15072794998862074</v>
      </c>
      <c r="P1905">
        <v>2.0901674412038829E-2</v>
      </c>
      <c r="Q1905">
        <v>1.3256076833572795E-3</v>
      </c>
      <c r="R1905">
        <v>3.5132843423656373E-3</v>
      </c>
      <c r="S1905">
        <v>0.4749431716436775</v>
      </c>
      <c r="T1905">
        <v>4.0556262439320143</v>
      </c>
      <c r="U1905">
        <v>0</v>
      </c>
      <c r="V1905">
        <v>1.1304767209823825E-2</v>
      </c>
      <c r="W1905">
        <v>0.18861816223865915</v>
      </c>
      <c r="X1905">
        <v>2.7066237685880724E-2</v>
      </c>
      <c r="Y1905">
        <v>9.9288097780960566E-3</v>
      </c>
    </row>
    <row r="1906" spans="1:25" x14ac:dyDescent="0.25">
      <c r="A1906" s="1093"/>
      <c r="B1906" s="1452">
        <v>1656</v>
      </c>
      <c r="C1906" s="1097">
        <v>1.0160127250871629</v>
      </c>
      <c r="D1906" s="1097">
        <v>1.0166621174422259</v>
      </c>
      <c r="E1906" s="1097">
        <v>1.0160885239980697</v>
      </c>
      <c r="F1906" s="1097">
        <v>0.99652963668953709</v>
      </c>
      <c r="G1906" s="1097">
        <v>0.97473901917004135</v>
      </c>
      <c r="H1906" s="1097">
        <v>1.0100039427143184</v>
      </c>
      <c r="I1906" s="1097">
        <v>0.98185058018808169</v>
      </c>
      <c r="K1906">
        <v>5.1356048115590456</v>
      </c>
      <c r="L1906">
        <v>0</v>
      </c>
      <c r="M1906">
        <v>3.4400617031395716E-3</v>
      </c>
      <c r="N1906">
        <v>0.31300424479303751</v>
      </c>
      <c r="O1906">
        <v>0.14415018046044112</v>
      </c>
      <c r="P1906">
        <v>2.041959941537172E-2</v>
      </c>
      <c r="Q1906">
        <v>1.292193348574837E-3</v>
      </c>
      <c r="R1906">
        <v>3.4343903470009495E-3</v>
      </c>
      <c r="S1906">
        <v>0.44593316452429094</v>
      </c>
      <c r="T1906">
        <v>3.9794602343007499</v>
      </c>
      <c r="U1906">
        <v>0</v>
      </c>
      <c r="V1906">
        <v>1.130476720982381E-2</v>
      </c>
      <c r="W1906">
        <v>0.18443804676736444</v>
      </c>
      <c r="X1906">
        <v>2.5902202771607735E-2</v>
      </c>
      <c r="Y1906">
        <v>9.7058493239238382E-3</v>
      </c>
    </row>
    <row r="1907" spans="1:25" x14ac:dyDescent="0.25">
      <c r="A1907" s="1093"/>
      <c r="B1907" s="1452">
        <v>1657</v>
      </c>
      <c r="C1907" s="1097">
        <v>0.97633145179401093</v>
      </c>
      <c r="D1907" s="1097">
        <v>0.99738980137750677</v>
      </c>
      <c r="E1907" s="1097">
        <v>0.97561923169846598</v>
      </c>
      <c r="F1907" s="1097">
        <v>1.0139130970314607</v>
      </c>
      <c r="G1907" s="1097">
        <v>0.99217027193992213</v>
      </c>
      <c r="H1907" s="1097">
        <v>0.99247435816709206</v>
      </c>
      <c r="I1907" s="1097">
        <v>1.002129642775857</v>
      </c>
      <c r="K1907">
        <v>5.2658166875891457</v>
      </c>
      <c r="L1907">
        <v>0</v>
      </c>
      <c r="M1907">
        <v>3.927134749395907E-3</v>
      </c>
      <c r="N1907">
        <v>0.31693321986325429</v>
      </c>
      <c r="O1907">
        <v>0.15496944722809852</v>
      </c>
      <c r="P1907">
        <v>2.0290871854218632E-2</v>
      </c>
      <c r="Q1907">
        <v>1.3087324474589934E-3</v>
      </c>
      <c r="R1907">
        <v>3.9206588193378368E-3</v>
      </c>
      <c r="S1907">
        <v>0.47895494844023995</v>
      </c>
      <c r="T1907">
        <v>4.0540396482810097</v>
      </c>
      <c r="U1907">
        <v>0</v>
      </c>
      <c r="V1907">
        <v>1.1304767209823813E-2</v>
      </c>
      <c r="W1907">
        <v>0.19194682541664704</v>
      </c>
      <c r="X1907">
        <v>2.4994621626865055E-2</v>
      </c>
      <c r="Y1907">
        <v>1.108008115158951E-2</v>
      </c>
    </row>
    <row r="1908" spans="1:25" x14ac:dyDescent="0.25">
      <c r="A1908" s="1093"/>
      <c r="B1908" s="1452">
        <v>1658</v>
      </c>
      <c r="C1908" s="1097">
        <v>0.98009955257946813</v>
      </c>
      <c r="D1908" s="1097">
        <v>0.96570874806016593</v>
      </c>
      <c r="E1908" s="1097">
        <v>1.0229913221147309</v>
      </c>
      <c r="F1908" s="1097">
        <v>0.99479487449123638</v>
      </c>
      <c r="G1908" s="1097">
        <v>1.0449024624597865</v>
      </c>
      <c r="H1908" s="1097">
        <v>1.0144851935836841</v>
      </c>
      <c r="I1908" s="1097">
        <v>0.99269627904298041</v>
      </c>
      <c r="K1908">
        <v>5.1969242659393489</v>
      </c>
      <c r="L1908">
        <v>0</v>
      </c>
      <c r="M1908">
        <v>3.5971827089936507E-3</v>
      </c>
      <c r="N1908">
        <v>0.33405508664688538</v>
      </c>
      <c r="O1908">
        <v>0.15207405153117212</v>
      </c>
      <c r="P1908">
        <v>2.0609396523709737E-2</v>
      </c>
      <c r="Q1908">
        <v>1.3753911119511728E-3</v>
      </c>
      <c r="R1908">
        <v>3.591268237265354E-3</v>
      </c>
      <c r="S1908">
        <v>0.47235401340197081</v>
      </c>
      <c r="T1908">
        <v>3.9716785692400474</v>
      </c>
      <c r="U1908">
        <v>0</v>
      </c>
      <c r="V1908">
        <v>1.1304767209823825E-2</v>
      </c>
      <c r="W1908">
        <v>0.19593807055018478</v>
      </c>
      <c r="X1908">
        <v>2.7391635976457683E-2</v>
      </c>
      <c r="Y1908">
        <v>1.0149198218871376E-2</v>
      </c>
    </row>
    <row r="1909" spans="1:25" x14ac:dyDescent="0.25">
      <c r="A1909" s="1093"/>
      <c r="B1909" s="1452">
        <v>1659</v>
      </c>
      <c r="C1909" s="1097">
        <v>0.99330519921962424</v>
      </c>
      <c r="D1909" s="1097">
        <v>1.0091999957177886</v>
      </c>
      <c r="E1909" s="1097">
        <v>1.0114281073154543</v>
      </c>
      <c r="F1909" s="1097">
        <v>1.02024367332523</v>
      </c>
      <c r="G1909" s="1097">
        <v>0.98550917431568386</v>
      </c>
      <c r="H1909" s="1097">
        <v>0.98344643192305525</v>
      </c>
      <c r="I1909" s="1097">
        <v>1.0082819052673622</v>
      </c>
      <c r="K1909">
        <v>5.27736693697232</v>
      </c>
      <c r="L1909">
        <v>0</v>
      </c>
      <c r="M1909">
        <v>3.5526983850272774E-3</v>
      </c>
      <c r="N1909">
        <v>0.31882263503312802</v>
      </c>
      <c r="O1909">
        <v>0.15153250284991035</v>
      </c>
      <c r="P1909">
        <v>2.0912302493752373E-2</v>
      </c>
      <c r="Q1909">
        <v>1.3203959196372488E-3</v>
      </c>
      <c r="R1909">
        <v>3.5468227541558656E-3</v>
      </c>
      <c r="S1909">
        <v>0.47331271956849247</v>
      </c>
      <c r="T1909">
        <v>4.0747510379676779</v>
      </c>
      <c r="U1909">
        <v>0</v>
      </c>
      <c r="V1909">
        <v>1.1304767209823824E-2</v>
      </c>
      <c r="W1909">
        <v>0.18845371817454862</v>
      </c>
      <c r="X1909">
        <v>2.6939141495865793E-2</v>
      </c>
      <c r="Y1909">
        <v>1.0023591890351851E-2</v>
      </c>
    </row>
    <row r="1910" spans="1:25" x14ac:dyDescent="0.25">
      <c r="A1910" s="1093"/>
      <c r="B1910" s="1452">
        <v>1660</v>
      </c>
      <c r="C1910" s="1097">
        <v>0.99449909457083852</v>
      </c>
      <c r="D1910" s="1097">
        <v>0.96210652853325351</v>
      </c>
      <c r="E1910" s="1097">
        <v>1.0443921978312143</v>
      </c>
      <c r="F1910" s="1097">
        <v>0.99211539820602945</v>
      </c>
      <c r="G1910" s="1097">
        <v>1.0018289235050803</v>
      </c>
      <c r="H1910" s="1097">
        <v>1.0380470480517108</v>
      </c>
      <c r="I1910" s="1097">
        <v>1.0122444865398985</v>
      </c>
      <c r="K1910">
        <v>5.1982351017287698</v>
      </c>
      <c r="L1910">
        <v>0</v>
      </c>
      <c r="M1910">
        <v>3.4626337474765712E-3</v>
      </c>
      <c r="N1910">
        <v>0.34256781867320213</v>
      </c>
      <c r="O1910">
        <v>0.14908837842010303</v>
      </c>
      <c r="P1910">
        <v>2.089736949183834E-2</v>
      </c>
      <c r="Q1910">
        <v>1.3820966182906966E-3</v>
      </c>
      <c r="R1910">
        <v>3.4570547252980297E-3</v>
      </c>
      <c r="S1910">
        <v>0.4785013984979295</v>
      </c>
      <c r="T1910">
        <v>3.9583575765924257</v>
      </c>
      <c r="U1910">
        <v>0</v>
      </c>
      <c r="V1910">
        <v>1.1304767209823803E-2</v>
      </c>
      <c r="W1910">
        <v>0.19811020190113512</v>
      </c>
      <c r="X1910">
        <v>2.8261172758868757E-2</v>
      </c>
      <c r="Y1910">
        <v>9.7699005873348177E-3</v>
      </c>
    </row>
    <row r="1911" spans="1:25" x14ac:dyDescent="0.25">
      <c r="A1911" s="1093"/>
      <c r="B1911" s="1452">
        <v>1661</v>
      </c>
      <c r="C1911" s="1097">
        <v>0.97437338912914728</v>
      </c>
      <c r="D1911" s="1097">
        <v>0.99913757046456886</v>
      </c>
      <c r="E1911" s="1097">
        <v>1.0340828177829644</v>
      </c>
      <c r="F1911" s="1097">
        <v>1.0091562115011516</v>
      </c>
      <c r="G1911" s="1097">
        <v>0.99574844297184195</v>
      </c>
      <c r="H1911" s="1097">
        <v>0.99671238062451695</v>
      </c>
      <c r="I1911" s="1097">
        <v>0.99970689350940756</v>
      </c>
      <c r="K1911">
        <v>5.2575029563023765</v>
      </c>
      <c r="L1911">
        <v>0</v>
      </c>
      <c r="M1911">
        <v>3.4749305843537869E-3</v>
      </c>
      <c r="N1911">
        <v>0.33345845122543044</v>
      </c>
      <c r="O1911">
        <v>0.15275816080200338</v>
      </c>
      <c r="P1911">
        <v>2.1061291509196986E-2</v>
      </c>
      <c r="Q1911">
        <v>1.3775696762682956E-3</v>
      </c>
      <c r="R1911">
        <v>3.4691978620213556E-3</v>
      </c>
      <c r="S1911">
        <v>0.47753201170368542</v>
      </c>
      <c r="T1911">
        <v>4.0276292563299032</v>
      </c>
      <c r="U1911">
        <v>0</v>
      </c>
      <c r="V1911">
        <v>1.1304767209823818E-2</v>
      </c>
      <c r="W1911">
        <v>0.19415518716710986</v>
      </c>
      <c r="X1911">
        <v>2.8427775382483454E-2</v>
      </c>
      <c r="Y1911">
        <v>9.8042180187995695E-3</v>
      </c>
    </row>
    <row r="1912" spans="1:25" x14ac:dyDescent="0.25">
      <c r="A1912" s="1093"/>
      <c r="B1912" s="1452">
        <v>1662</v>
      </c>
      <c r="C1912" s="1097">
        <v>1.0145293155743917</v>
      </c>
      <c r="D1912" s="1097">
        <v>1.0292192291493916</v>
      </c>
      <c r="E1912" s="1097">
        <v>0.9786065251968461</v>
      </c>
      <c r="F1912" s="1097">
        <v>0.99584098677566257</v>
      </c>
      <c r="G1912" s="1097">
        <v>1.0461862426851998</v>
      </c>
      <c r="H1912" s="1097">
        <v>1.0210226432923073</v>
      </c>
      <c r="I1912" s="1097">
        <v>1.0422397752770811</v>
      </c>
      <c r="K1912">
        <v>5.1569969086726895</v>
      </c>
      <c r="L1912">
        <v>0</v>
      </c>
      <c r="M1912">
        <v>3.7475479208337065E-3</v>
      </c>
      <c r="N1912">
        <v>0.30513860160210798</v>
      </c>
      <c r="O1912">
        <v>0.14456683386035102</v>
      </c>
      <c r="P1912">
        <v>1.9993110755973528E-2</v>
      </c>
      <c r="Q1912">
        <v>1.2469659464628329E-3</v>
      </c>
      <c r="R1912">
        <v>3.7414320923077628E-3</v>
      </c>
      <c r="S1912">
        <v>0.47473487417689025</v>
      </c>
      <c r="T1912">
        <v>3.9814024436236495</v>
      </c>
      <c r="U1912">
        <v>0</v>
      </c>
      <c r="V1912">
        <v>1.1304767209823804E-2</v>
      </c>
      <c r="W1912">
        <v>0.18442496256294608</v>
      </c>
      <c r="X1912">
        <v>2.3616892025323258E-2</v>
      </c>
      <c r="Y1912">
        <v>1.0573572737689222E-2</v>
      </c>
    </row>
    <row r="1913" spans="1:25" x14ac:dyDescent="0.25">
      <c r="A1913" s="1093"/>
      <c r="B1913" s="1452">
        <v>1663</v>
      </c>
      <c r="C1913" s="1097">
        <v>0.97225627176371532</v>
      </c>
      <c r="D1913" s="1097">
        <v>0.99560229089505925</v>
      </c>
      <c r="E1913" s="1097">
        <v>0.98609054611929847</v>
      </c>
      <c r="F1913" s="1097">
        <v>0.97311304029287993</v>
      </c>
      <c r="G1913" s="1097">
        <v>1.0235392975683832</v>
      </c>
      <c r="H1913" s="1097">
        <v>1.0109828563000431</v>
      </c>
      <c r="I1913" s="1097">
        <v>0.99524923949409128</v>
      </c>
      <c r="K1913">
        <v>5.0745938040309024</v>
      </c>
      <c r="L1913">
        <v>0</v>
      </c>
      <c r="M1913">
        <v>3.7746138442347294E-3</v>
      </c>
      <c r="N1913">
        <v>0.31422573674962212</v>
      </c>
      <c r="O1913">
        <v>0.14917196617712297</v>
      </c>
      <c r="P1913">
        <v>1.9650568356836068E-2</v>
      </c>
      <c r="Q1913">
        <v>1.32716325241469E-3</v>
      </c>
      <c r="R1913">
        <v>3.7682476187087359E-3</v>
      </c>
      <c r="S1913">
        <v>0.46515831819989362</v>
      </c>
      <c r="T1913">
        <v>3.8896134781225493</v>
      </c>
      <c r="U1913">
        <v>0</v>
      </c>
      <c r="V1913">
        <v>1.1304767209823818E-2</v>
      </c>
      <c r="W1913">
        <v>0.18894743554321483</v>
      </c>
      <c r="X1913">
        <v>2.45513811823822E-2</v>
      </c>
      <c r="Y1913">
        <v>1.0649355462566961E-2</v>
      </c>
    </row>
    <row r="1914" spans="1:25" x14ac:dyDescent="0.25">
      <c r="A1914" s="1093"/>
      <c r="B1914" s="1452">
        <v>1664</v>
      </c>
      <c r="C1914" s="1097">
        <v>1.0095278463237882</v>
      </c>
      <c r="D1914" s="1097">
        <v>1.0144435819925235</v>
      </c>
      <c r="E1914" s="1097">
        <v>0.98562073958463403</v>
      </c>
      <c r="F1914" s="1097">
        <v>1.0183110028307476</v>
      </c>
      <c r="G1914" s="1097">
        <v>0.98869699428290081</v>
      </c>
      <c r="H1914" s="1097">
        <v>1.0163829371348205</v>
      </c>
      <c r="I1914" s="1097">
        <v>1.0172737165574837</v>
      </c>
      <c r="K1914">
        <v>5.2689139463770509</v>
      </c>
      <c r="L1914">
        <v>0</v>
      </c>
      <c r="M1914">
        <v>3.7993102267239857E-3</v>
      </c>
      <c r="N1914">
        <v>0.31586756899898077</v>
      </c>
      <c r="O1914">
        <v>0.14922725907260803</v>
      </c>
      <c r="P1914">
        <v>2.0500684243451729E-2</v>
      </c>
      <c r="Q1914">
        <v>1.2681001296254188E-3</v>
      </c>
      <c r="R1914">
        <v>3.7932188368242025E-3</v>
      </c>
      <c r="S1914">
        <v>0.47494152953888491</v>
      </c>
      <c r="T1914">
        <v>4.0703339450188647</v>
      </c>
      <c r="U1914">
        <v>0</v>
      </c>
      <c r="V1914">
        <v>1.1304767209823825E-2</v>
      </c>
      <c r="W1914">
        <v>0.18999558993908902</v>
      </c>
      <c r="X1914">
        <v>2.4760667584188083E-2</v>
      </c>
      <c r="Y1914">
        <v>1.0719926031423584E-2</v>
      </c>
    </row>
    <row r="1915" spans="1:25" x14ac:dyDescent="0.25">
      <c r="A1915" s="1093"/>
      <c r="B1915" s="1452">
        <v>1665</v>
      </c>
      <c r="C1915" s="1097">
        <v>1.0160235370464108</v>
      </c>
      <c r="D1915" s="1097">
        <v>1.0211826389444503</v>
      </c>
      <c r="E1915" s="1097">
        <v>0.97543929245791161</v>
      </c>
      <c r="F1915" s="1097">
        <v>1.0245406213093091</v>
      </c>
      <c r="G1915" s="1097">
        <v>1.0347411800316146</v>
      </c>
      <c r="H1915" s="1097">
        <v>1.028244012732344</v>
      </c>
      <c r="I1915" s="1097">
        <v>0.95855301488274469</v>
      </c>
      <c r="K1915">
        <v>5.2691785035307133</v>
      </c>
      <c r="L1915">
        <v>0</v>
      </c>
      <c r="M1915">
        <v>3.9150365723011659E-3</v>
      </c>
      <c r="N1915">
        <v>0.31581150016838527</v>
      </c>
      <c r="O1915">
        <v>0.14906896162263536</v>
      </c>
      <c r="P1915">
        <v>2.0341958212197881E-2</v>
      </c>
      <c r="Q1915">
        <v>1.2456067516167786E-3</v>
      </c>
      <c r="R1915">
        <v>3.9088697107393915E-3</v>
      </c>
      <c r="S1915">
        <v>0.4485154898538144</v>
      </c>
      <c r="T1915">
        <v>4.0965562528093118</v>
      </c>
      <c r="U1915">
        <v>0</v>
      </c>
      <c r="V1915">
        <v>1.130476720982381E-2</v>
      </c>
      <c r="W1915">
        <v>0.19129112261017087</v>
      </c>
      <c r="X1915">
        <v>2.4002246923681334E-2</v>
      </c>
      <c r="Y1915">
        <v>1.1046764230634441E-2</v>
      </c>
    </row>
    <row r="1916" spans="1:25" x14ac:dyDescent="0.25">
      <c r="A1916" s="1093"/>
      <c r="B1916" s="1452">
        <v>1666</v>
      </c>
      <c r="C1916" s="1097">
        <v>1.0013436627355992</v>
      </c>
      <c r="D1916" s="1097">
        <v>0.95891010766370832</v>
      </c>
      <c r="E1916" s="1097">
        <v>0.9989407178571551</v>
      </c>
      <c r="F1916" s="1097">
        <v>1.0024955162436489</v>
      </c>
      <c r="G1916" s="1097">
        <v>0.97654533367171392</v>
      </c>
      <c r="H1916" s="1097">
        <v>1.0095891463359101</v>
      </c>
      <c r="I1916" s="1097">
        <v>1.0030255892049749</v>
      </c>
      <c r="K1916">
        <v>5.2099571956368109</v>
      </c>
      <c r="L1916">
        <v>0</v>
      </c>
      <c r="M1916">
        <v>3.7252261648728557E-3</v>
      </c>
      <c r="N1916">
        <v>0.32217149294749714</v>
      </c>
      <c r="O1916">
        <v>0.15110609047303758</v>
      </c>
      <c r="P1916">
        <v>2.038889368258957E-2</v>
      </c>
      <c r="Q1916">
        <v>1.3226681491876743E-3</v>
      </c>
      <c r="R1916">
        <v>3.7191186601401279E-3</v>
      </c>
      <c r="S1916">
        <v>0.46989951750629572</v>
      </c>
      <c r="T1916">
        <v>4.0054345803382843</v>
      </c>
      <c r="U1916">
        <v>0</v>
      </c>
      <c r="V1916">
        <v>1.1304767209823824E-2</v>
      </c>
      <c r="W1916">
        <v>0.19204156183357315</v>
      </c>
      <c r="X1916">
        <v>2.578321772641428E-2</v>
      </c>
      <c r="Y1916">
        <v>1.0510513274833528E-2</v>
      </c>
    </row>
    <row r="1917" spans="1:25" x14ac:dyDescent="0.25">
      <c r="A1917" s="1093"/>
      <c r="B1917" s="1452">
        <v>1667</v>
      </c>
      <c r="C1917" s="1097">
        <v>1.0044800897797528</v>
      </c>
      <c r="D1917" s="1097">
        <v>1.0143906679424894</v>
      </c>
      <c r="E1917" s="1097">
        <v>1.0062481643594401</v>
      </c>
      <c r="F1917" s="1097">
        <v>1.0046110391215717</v>
      </c>
      <c r="G1917" s="1097">
        <v>1.0117624619172803</v>
      </c>
      <c r="H1917" s="1097">
        <v>1.0266515346136136</v>
      </c>
      <c r="I1917" s="1097">
        <v>0.97994584582408661</v>
      </c>
      <c r="K1917">
        <v>5.1988579274977837</v>
      </c>
      <c r="L1917">
        <v>0</v>
      </c>
      <c r="M1917">
        <v>3.6435931774671331E-3</v>
      </c>
      <c r="N1917">
        <v>0.32201720543026091</v>
      </c>
      <c r="O1917">
        <v>0.14739160443533864</v>
      </c>
      <c r="P1917">
        <v>2.0473101678268657E-2</v>
      </c>
      <c r="Q1917">
        <v>1.29729025098068E-3</v>
      </c>
      <c r="R1917">
        <v>3.6377311389639896E-3</v>
      </c>
      <c r="S1917">
        <v>0.45647995154067655</v>
      </c>
      <c r="T1917">
        <v>4.0129664987811351</v>
      </c>
      <c r="U1917">
        <v>0</v>
      </c>
      <c r="V1917">
        <v>1.1304767209823818E-2</v>
      </c>
      <c r="W1917">
        <v>0.19100556528313636</v>
      </c>
      <c r="X1917">
        <v>2.5647299000315933E-2</v>
      </c>
      <c r="Y1917">
        <v>1.028050592634646E-2</v>
      </c>
    </row>
    <row r="1918" spans="1:25" x14ac:dyDescent="0.25">
      <c r="A1918" s="1093"/>
      <c r="B1918" s="1452">
        <v>1668</v>
      </c>
      <c r="C1918" s="1097">
        <v>0.98444873137436806</v>
      </c>
      <c r="D1918" s="1097">
        <v>0.95993033478539513</v>
      </c>
      <c r="E1918" s="1097">
        <v>0.99095230267962953</v>
      </c>
      <c r="F1918" s="1097">
        <v>1.0202373332578041</v>
      </c>
      <c r="G1918" s="1097">
        <v>1.0377425423685616</v>
      </c>
      <c r="H1918" s="1097">
        <v>1.0365021822683249</v>
      </c>
      <c r="I1918" s="1097">
        <v>1.033354566096357</v>
      </c>
      <c r="K1918">
        <v>5.353255035998802</v>
      </c>
      <c r="L1918">
        <v>0</v>
      </c>
      <c r="M1918">
        <v>4.0242987294744599E-3</v>
      </c>
      <c r="N1918">
        <v>0.3399162479963706</v>
      </c>
      <c r="O1918">
        <v>0.15658715997783765</v>
      </c>
      <c r="P1918">
        <v>2.0751051473027315E-2</v>
      </c>
      <c r="Q1918">
        <v>1.3355904742718703E-3</v>
      </c>
      <c r="R1918">
        <v>4.0179837846606066E-3</v>
      </c>
      <c r="S1918">
        <v>0.5050758690101006</v>
      </c>
      <c r="T1918">
        <v>4.0773470656377535</v>
      </c>
      <c r="U1918">
        <v>0</v>
      </c>
      <c r="V1918">
        <v>1.1304767209823811E-2</v>
      </c>
      <c r="W1918">
        <v>0.20371965603678815</v>
      </c>
      <c r="X1918">
        <v>2.5868814193643726E-2</v>
      </c>
      <c r="Y1918">
        <v>1.1355128934001259E-2</v>
      </c>
    </row>
    <row r="1919" spans="1:25" x14ac:dyDescent="0.25">
      <c r="A1919" s="1093"/>
      <c r="B1919" s="1452">
        <v>1669</v>
      </c>
      <c r="C1919" s="1097">
        <v>0.9659466420067776</v>
      </c>
      <c r="D1919" s="1097">
        <v>0.98331732226165514</v>
      </c>
      <c r="E1919" s="1097">
        <v>0.99194912705408222</v>
      </c>
      <c r="F1919" s="1097">
        <v>1.0429700630095724</v>
      </c>
      <c r="G1919" s="1097">
        <v>0.99003048977286412</v>
      </c>
      <c r="H1919" s="1097">
        <v>0.97639742475238667</v>
      </c>
      <c r="I1919" s="1097">
        <v>1.0435765322643282</v>
      </c>
      <c r="K1919">
        <v>5.4446498160446559</v>
      </c>
      <c r="L1919">
        <v>0</v>
      </c>
      <c r="M1919">
        <v>3.9034601548396468E-3</v>
      </c>
      <c r="N1919">
        <v>0.33066538817387331</v>
      </c>
      <c r="O1919">
        <v>0.161548933605834</v>
      </c>
      <c r="P1919">
        <v>2.1218188477948697E-2</v>
      </c>
      <c r="Q1919">
        <v>1.3492882473360747E-3</v>
      </c>
      <c r="R1919">
        <v>3.8970992710783232E-3</v>
      </c>
      <c r="S1919">
        <v>0.51425199613160977</v>
      </c>
      <c r="T1919">
        <v>4.1680666632245673</v>
      </c>
      <c r="U1919">
        <v>0</v>
      </c>
      <c r="V1919">
        <v>1.1304767209823827E-2</v>
      </c>
      <c r="W1919">
        <v>0.19804115373801823</v>
      </c>
      <c r="X1919">
        <v>2.7196298049877107E-2</v>
      </c>
      <c r="Y1919">
        <v>1.1013500069521705E-2</v>
      </c>
    </row>
    <row r="1920" spans="1:25" x14ac:dyDescent="0.25">
      <c r="A1920" s="1093"/>
      <c r="B1920" s="1452">
        <v>1670</v>
      </c>
      <c r="C1920" s="1097">
        <v>1.0175827648663045</v>
      </c>
      <c r="D1920" s="1097">
        <v>0.96585051676339218</v>
      </c>
      <c r="E1920" s="1097">
        <v>0.99621189522698217</v>
      </c>
      <c r="F1920" s="1097">
        <v>0.95753093421811042</v>
      </c>
      <c r="G1920" s="1097">
        <v>1.0116057744757343</v>
      </c>
      <c r="H1920" s="1097">
        <v>0.97326754407486071</v>
      </c>
      <c r="I1920" s="1097">
        <v>0.99270466849990113</v>
      </c>
      <c r="K1920">
        <v>4.9308972560904039</v>
      </c>
      <c r="L1920">
        <v>0</v>
      </c>
      <c r="M1920">
        <v>3.3853203673803551E-3</v>
      </c>
      <c r="N1920">
        <v>0.29037609671995745</v>
      </c>
      <c r="O1920">
        <v>0.14168867399221696</v>
      </c>
      <c r="P1920">
        <v>1.9368551507378311E-2</v>
      </c>
      <c r="Q1920">
        <v>1.2947748412192727E-3</v>
      </c>
      <c r="R1920">
        <v>3.3792931168480644E-3</v>
      </c>
      <c r="S1920">
        <v>0.43339974519918006</v>
      </c>
      <c r="T1920">
        <v>3.8261086543263496</v>
      </c>
      <c r="U1920">
        <v>0</v>
      </c>
      <c r="V1920">
        <v>1.1304767209823811E-2</v>
      </c>
      <c r="W1920">
        <v>0.17340886223855873</v>
      </c>
      <c r="X1920">
        <v>2.440301696121485E-2</v>
      </c>
      <c r="Y1920">
        <v>9.5501403450372543E-3</v>
      </c>
    </row>
    <row r="1921" spans="1:25" x14ac:dyDescent="0.25">
      <c r="A1921" s="1093"/>
      <c r="B1921" s="1452">
        <v>1671</v>
      </c>
      <c r="C1921" s="1097">
        <v>1.0103367801598138</v>
      </c>
      <c r="D1921" s="1097">
        <v>0.99705983528734932</v>
      </c>
      <c r="E1921" s="1097">
        <v>1.0304505455240911</v>
      </c>
      <c r="F1921" s="1097">
        <v>0.99696397057430541</v>
      </c>
      <c r="G1921" s="1097">
        <v>1.0086188293886964</v>
      </c>
      <c r="H1921" s="1097">
        <v>1.0083660571584478</v>
      </c>
      <c r="I1921" s="1097">
        <v>0.98634674201814554</v>
      </c>
      <c r="K1921">
        <v>5.155024571629391</v>
      </c>
      <c r="L1921">
        <v>0</v>
      </c>
      <c r="M1921">
        <v>3.3781853444915543E-3</v>
      </c>
      <c r="N1921">
        <v>0.32071246845422896</v>
      </c>
      <c r="O1921">
        <v>0.1457619443695348</v>
      </c>
      <c r="P1921">
        <v>2.0663328652759227E-2</v>
      </c>
      <c r="Q1921">
        <v>1.3255920544331808E-3</v>
      </c>
      <c r="R1921">
        <v>3.3726093789334085E-3</v>
      </c>
      <c r="S1921">
        <v>0.45208644318322216</v>
      </c>
      <c r="T1921">
        <v>3.9794166976552763</v>
      </c>
      <c r="U1921">
        <v>0</v>
      </c>
      <c r="V1921">
        <v>1.1304767209823818E-2</v>
      </c>
      <c r="W1921">
        <v>0.18718295254238618</v>
      </c>
      <c r="X1921">
        <v>2.7044701881872732E-2</v>
      </c>
      <c r="Y1921">
        <v>9.5312515914111901E-3</v>
      </c>
    </row>
    <row r="1922" spans="1:25" x14ac:dyDescent="0.25">
      <c r="A1922" s="1093"/>
      <c r="B1922" s="1452">
        <v>1672</v>
      </c>
      <c r="C1922" s="1097">
        <v>0.99751929669294437</v>
      </c>
      <c r="D1922" s="1097">
        <v>0.97633701264954964</v>
      </c>
      <c r="E1922" s="1097">
        <v>1.0051945931380248</v>
      </c>
      <c r="F1922" s="1097">
        <v>0.96509225463739579</v>
      </c>
      <c r="G1922" s="1097">
        <v>1.0252162388075008</v>
      </c>
      <c r="H1922" s="1097">
        <v>1.0153090218423224</v>
      </c>
      <c r="I1922" s="1097">
        <v>1.0243201591710924</v>
      </c>
      <c r="K1922">
        <v>5.0316732475725647</v>
      </c>
      <c r="L1922">
        <v>0</v>
      </c>
      <c r="M1922">
        <v>3.5475782696718218E-3</v>
      </c>
      <c r="N1922">
        <v>0.31252824661134948</v>
      </c>
      <c r="O1922">
        <v>0.14480774251326053</v>
      </c>
      <c r="P1922">
        <v>1.9780746705733453E-2</v>
      </c>
      <c r="Q1922">
        <v>1.3252830977214911E-3</v>
      </c>
      <c r="R1922">
        <v>3.5415710248617657E-3</v>
      </c>
      <c r="S1922">
        <v>0.46605959369071198</v>
      </c>
      <c r="T1922">
        <v>3.8552341552168108</v>
      </c>
      <c r="U1922">
        <v>0</v>
      </c>
      <c r="V1922">
        <v>1.1304767209823815E-2</v>
      </c>
      <c r="W1922">
        <v>0.18550869736039824</v>
      </c>
      <c r="X1922">
        <v>2.5121272309151736E-2</v>
      </c>
      <c r="Y1922">
        <v>1.0008750102416161E-2</v>
      </c>
    </row>
    <row r="1923" spans="1:25" x14ac:dyDescent="0.25">
      <c r="A1923" s="1093"/>
      <c r="B1923" s="1452">
        <v>1673</v>
      </c>
      <c r="C1923" s="1097">
        <v>1.0374174513653287</v>
      </c>
      <c r="D1923" s="1097">
        <v>1.0107819621936158</v>
      </c>
      <c r="E1923" s="1097">
        <v>1.0017152368870719</v>
      </c>
      <c r="F1923" s="1097">
        <v>0.99562631998241169</v>
      </c>
      <c r="G1923" s="1097">
        <v>1.0043606091225348</v>
      </c>
      <c r="H1923" s="1097">
        <v>0.97712050299436659</v>
      </c>
      <c r="I1923" s="1097">
        <v>1.029243986005153</v>
      </c>
      <c r="K1923">
        <v>5.1064384303268859</v>
      </c>
      <c r="L1923">
        <v>0</v>
      </c>
      <c r="M1923">
        <v>3.3644576679356772E-3</v>
      </c>
      <c r="N1923">
        <v>0.29335325953204022</v>
      </c>
      <c r="O1923">
        <v>0.14175801724167666</v>
      </c>
      <c r="P1923">
        <v>2.0222670582181562E-2</v>
      </c>
      <c r="Q1923">
        <v>1.2530290406044906E-3</v>
      </c>
      <c r="R1923">
        <v>3.3587190951689136E-3</v>
      </c>
      <c r="S1923">
        <v>0.45192504826606184</v>
      </c>
      <c r="T1923">
        <v>3.9776421829900297</v>
      </c>
      <c r="U1923">
        <v>0</v>
      </c>
      <c r="V1923">
        <v>1.1304767209823825E-2</v>
      </c>
      <c r="W1923">
        <v>0.17453591962348428</v>
      </c>
      <c r="X1923">
        <v>2.4957277824723224E-2</v>
      </c>
      <c r="Y1923">
        <v>9.4919965890197279E-3</v>
      </c>
    </row>
    <row r="1924" spans="1:25" x14ac:dyDescent="0.25">
      <c r="A1924" s="1093"/>
      <c r="B1924" s="1452">
        <v>1674</v>
      </c>
      <c r="C1924" s="1097">
        <v>0.99263236585534931</v>
      </c>
      <c r="D1924" s="1097">
        <v>0.99705378391922395</v>
      </c>
      <c r="E1924" s="1097">
        <v>1.0350678223934282</v>
      </c>
      <c r="F1924" s="1097">
        <v>0.98048787241026547</v>
      </c>
      <c r="G1924" s="1097">
        <v>1.0053987257033392</v>
      </c>
      <c r="H1924" s="1097">
        <v>1.0010775695679717</v>
      </c>
      <c r="I1924" s="1097">
        <v>0.97834394625109644</v>
      </c>
      <c r="K1924">
        <v>5.0834966430560451</v>
      </c>
      <c r="L1924">
        <v>0</v>
      </c>
      <c r="M1924">
        <v>3.3246259588828675E-3</v>
      </c>
      <c r="N1924">
        <v>0.31995206953791139</v>
      </c>
      <c r="O1924">
        <v>0.14578308101285664</v>
      </c>
      <c r="P1924">
        <v>2.040759711132584E-2</v>
      </c>
      <c r="Q1924">
        <v>1.3544778618483136E-3</v>
      </c>
      <c r="R1924">
        <v>3.3190057173585626E-3</v>
      </c>
      <c r="S1924">
        <v>0.44877657415880562</v>
      </c>
      <c r="T1924">
        <v>3.9130921738427431</v>
      </c>
      <c r="U1924">
        <v>0</v>
      </c>
      <c r="V1924">
        <v>1.1304767209823818E-2</v>
      </c>
      <c r="W1924">
        <v>0.18617001813777254</v>
      </c>
      <c r="X1924">
        <v>2.7281740873126167E-2</v>
      </c>
      <c r="Y1924">
        <v>9.3797635513547094E-3</v>
      </c>
    </row>
    <row r="1925" spans="1:25" x14ac:dyDescent="0.25">
      <c r="A1925" s="1093"/>
      <c r="B1925" s="1452">
        <v>1675</v>
      </c>
      <c r="C1925" s="1097">
        <v>0.97938347453435581</v>
      </c>
      <c r="D1925" s="1097">
        <v>1.0243394867591187</v>
      </c>
      <c r="E1925" s="1097">
        <v>0.99500730262391235</v>
      </c>
      <c r="F1925" s="1097">
        <v>0.97470693705558953</v>
      </c>
      <c r="G1925" s="1097">
        <v>0.9811376108083536</v>
      </c>
      <c r="H1925" s="1097">
        <v>0.99871254374166762</v>
      </c>
      <c r="I1925" s="1097">
        <v>0.99851586413642657</v>
      </c>
      <c r="K1925">
        <v>5.0590518654266106</v>
      </c>
      <c r="L1925">
        <v>0</v>
      </c>
      <c r="M1925">
        <v>3.5976619656615744E-3</v>
      </c>
      <c r="N1925">
        <v>0.30751328658982724</v>
      </c>
      <c r="O1925">
        <v>0.14640563503279719</v>
      </c>
      <c r="P1925">
        <v>1.977897437531026E-2</v>
      </c>
      <c r="Q1925">
        <v>1.3126471947214528E-3</v>
      </c>
      <c r="R1925">
        <v>3.5915296630359243E-3</v>
      </c>
      <c r="S1925">
        <v>0.45904822296264169</v>
      </c>
      <c r="T1925">
        <v>3.8948883630377673</v>
      </c>
      <c r="U1925">
        <v>0</v>
      </c>
      <c r="V1925">
        <v>1.1304767209823829E-2</v>
      </c>
      <c r="W1925">
        <v>0.18379299219690851</v>
      </c>
      <c r="X1925">
        <v>2.4863172101374623E-2</v>
      </c>
      <c r="Y1925">
        <v>1.0149937028057925E-2</v>
      </c>
    </row>
    <row r="1926" spans="1:25" x14ac:dyDescent="0.25">
      <c r="A1926" s="1093"/>
      <c r="B1926" s="1452">
        <v>1676</v>
      </c>
      <c r="C1926" s="1097">
        <v>0.99065300962208735</v>
      </c>
      <c r="D1926" s="1097">
        <v>1.041703826252063</v>
      </c>
      <c r="E1926" s="1097">
        <v>0.95920732619314819</v>
      </c>
      <c r="F1926" s="1097">
        <v>1.0191784038739324</v>
      </c>
      <c r="G1926" s="1097">
        <v>1.0032835157454971</v>
      </c>
      <c r="H1926" s="1097">
        <v>0.98284098050668545</v>
      </c>
      <c r="I1926" s="1097">
        <v>1.0276676556933189</v>
      </c>
      <c r="K1926">
        <v>5.2619745827919457</v>
      </c>
      <c r="L1926">
        <v>0</v>
      </c>
      <c r="M1926">
        <v>3.9187039367424943E-3</v>
      </c>
      <c r="N1926">
        <v>0.3012043224148741</v>
      </c>
      <c r="O1926">
        <v>0.15133769399933725</v>
      </c>
      <c r="P1926">
        <v>2.0144705316867271E-2</v>
      </c>
      <c r="Q1926">
        <v>1.2495045244032188E-3</v>
      </c>
      <c r="R1926">
        <v>3.9122122279382594E-3</v>
      </c>
      <c r="S1926">
        <v>0.48025948325214396</v>
      </c>
      <c r="T1926">
        <v>4.0772245878330224</v>
      </c>
      <c r="U1926">
        <v>0</v>
      </c>
      <c r="V1926">
        <v>1.1304767209823818E-2</v>
      </c>
      <c r="W1926">
        <v>0.18450150341311533</v>
      </c>
      <c r="X1926">
        <v>2.3698296097733346E-2</v>
      </c>
      <c r="Y1926">
        <v>1.1056210439427561E-2</v>
      </c>
    </row>
    <row r="1927" spans="1:25" x14ac:dyDescent="0.25">
      <c r="A1927" s="1093"/>
      <c r="B1927" s="1452">
        <v>1677</v>
      </c>
      <c r="C1927" s="1097">
        <v>0.96822739860686757</v>
      </c>
      <c r="D1927" s="1097">
        <v>0.99594837836153083</v>
      </c>
      <c r="E1927" s="1097">
        <v>1.0304316647490566</v>
      </c>
      <c r="F1927" s="1097">
        <v>1.0059594467344419</v>
      </c>
      <c r="G1927" s="1097">
        <v>1.0045293664208661</v>
      </c>
      <c r="H1927" s="1097">
        <v>1.0197994686417815</v>
      </c>
      <c r="I1927" s="1097">
        <v>0.98883513487322072</v>
      </c>
      <c r="K1927">
        <v>5.2606844463477698</v>
      </c>
      <c r="L1927">
        <v>0</v>
      </c>
      <c r="M1927">
        <v>3.5989389776419295E-3</v>
      </c>
      <c r="N1927">
        <v>0.34166225341117423</v>
      </c>
      <c r="O1927">
        <v>0.1535427315556768</v>
      </c>
      <c r="P1927">
        <v>2.0954426342480952E-2</v>
      </c>
      <c r="Q1927">
        <v>1.3838389544967805E-3</v>
      </c>
      <c r="R1927">
        <v>3.5931176776174342E-3</v>
      </c>
      <c r="S1927">
        <v>0.47882239340241839</v>
      </c>
      <c r="T1927">
        <v>4.0153248069921226</v>
      </c>
      <c r="U1927">
        <v>0</v>
      </c>
      <c r="V1927">
        <v>1.1304767209823806E-2</v>
      </c>
      <c r="W1927">
        <v>0.19941272994188583</v>
      </c>
      <c r="X1927">
        <v>2.8127894959212061E-2</v>
      </c>
      <c r="Y1927">
        <v>1.0154424878504447E-2</v>
      </c>
    </row>
    <row r="1928" spans="1:25" x14ac:dyDescent="0.25">
      <c r="A1928" s="1093"/>
      <c r="B1928" s="1452">
        <v>1678</v>
      </c>
      <c r="C1928" s="1097">
        <v>1.0074961477796713</v>
      </c>
      <c r="D1928" s="1097">
        <v>0.99675986396590632</v>
      </c>
      <c r="E1928" s="1097">
        <v>1.0025019977169993</v>
      </c>
      <c r="F1928" s="1097">
        <v>1.0156173432369699</v>
      </c>
      <c r="G1928" s="1097">
        <v>0.96720091232122307</v>
      </c>
      <c r="H1928" s="1097">
        <v>0.96335225959042725</v>
      </c>
      <c r="I1928" s="1097">
        <v>0.9676110710448329</v>
      </c>
      <c r="K1928">
        <v>5.207344846844836</v>
      </c>
      <c r="L1928">
        <v>0</v>
      </c>
      <c r="M1928">
        <v>3.497749350379361E-3</v>
      </c>
      <c r="N1928">
        <v>0.30568981150516933</v>
      </c>
      <c r="O1928">
        <v>0.14971116182731523</v>
      </c>
      <c r="P1928">
        <v>2.0559598891574934E-2</v>
      </c>
      <c r="Q1928">
        <v>1.2983461989464569E-3</v>
      </c>
      <c r="R1928">
        <v>3.4918170788268508E-3</v>
      </c>
      <c r="S1928">
        <v>0.44351048163857404</v>
      </c>
      <c r="T1928">
        <v>4.0574084073289161</v>
      </c>
      <c r="U1928">
        <v>0</v>
      </c>
      <c r="V1928">
        <v>1.1304767209823806E-2</v>
      </c>
      <c r="W1928">
        <v>0.18177922939355634</v>
      </c>
      <c r="X1928">
        <v>2.6220833470125045E-2</v>
      </c>
      <c r="Y1928">
        <v>9.8681416523874032E-3</v>
      </c>
    </row>
    <row r="1929" spans="1:25" x14ac:dyDescent="0.25">
      <c r="A1929" s="1093"/>
      <c r="B1929" s="1452">
        <v>1679</v>
      </c>
      <c r="C1929" s="1097">
        <v>0.99879672181459533</v>
      </c>
      <c r="D1929" s="1097">
        <v>0.9993752479668625</v>
      </c>
      <c r="E1929" s="1097">
        <v>1.0368669831956809</v>
      </c>
      <c r="F1929" s="1097">
        <v>0.97535400686820573</v>
      </c>
      <c r="G1929" s="1097">
        <v>1.0046617777008164</v>
      </c>
      <c r="H1929" s="1097">
        <v>0.99765499464069107</v>
      </c>
      <c r="I1929" s="1097">
        <v>1.0314336764047196</v>
      </c>
      <c r="K1929">
        <v>5.0717666681398406</v>
      </c>
      <c r="L1929">
        <v>0</v>
      </c>
      <c r="M1929">
        <v>3.2601098286849442E-3</v>
      </c>
      <c r="N1929">
        <v>0.31541109652200133</v>
      </c>
      <c r="O1929">
        <v>0.14394178661549367</v>
      </c>
      <c r="P1929">
        <v>2.0423919206905408E-2</v>
      </c>
      <c r="Q1929">
        <v>1.3468951559989836E-3</v>
      </c>
      <c r="R1929">
        <v>3.254550685583509E-3</v>
      </c>
      <c r="S1929">
        <v>0.4672908136893501</v>
      </c>
      <c r="T1929">
        <v>3.892386524179031</v>
      </c>
      <c r="U1929">
        <v>0</v>
      </c>
      <c r="V1929">
        <v>1.1304767209823825E-2</v>
      </c>
      <c r="W1929">
        <v>0.18331008376851107</v>
      </c>
      <c r="X1929">
        <v>2.7158732225171914E-2</v>
      </c>
      <c r="Y1929">
        <v>9.1976087106495248E-3</v>
      </c>
    </row>
    <row r="1930" spans="1:25" x14ac:dyDescent="0.25">
      <c r="A1930" s="1093"/>
      <c r="B1930" s="1452">
        <v>1680</v>
      </c>
      <c r="C1930" s="1097">
        <v>0.99891614051065092</v>
      </c>
      <c r="D1930" s="1097">
        <v>1.0077739689564906</v>
      </c>
      <c r="E1930" s="1097">
        <v>1.0284096131756915</v>
      </c>
      <c r="F1930" s="1097">
        <v>0.97788062225895678</v>
      </c>
      <c r="G1930" s="1097">
        <v>0.9854273511519086</v>
      </c>
      <c r="H1930" s="1097">
        <v>1.0147512846478748</v>
      </c>
      <c r="I1930" s="1097">
        <v>1.0115201293467773</v>
      </c>
      <c r="K1930">
        <v>5.0824479518539167</v>
      </c>
      <c r="L1930">
        <v>0</v>
      </c>
      <c r="M1930">
        <v>3.3728783592102437E-3</v>
      </c>
      <c r="N1930">
        <v>0.31827542860794844</v>
      </c>
      <c r="O1930">
        <v>0.14404498096771945</v>
      </c>
      <c r="P1930">
        <v>2.0324357330080464E-2</v>
      </c>
      <c r="Q1930">
        <v>1.3327376535091299E-3</v>
      </c>
      <c r="R1930">
        <v>3.3672384071308085E-3</v>
      </c>
      <c r="S1930">
        <v>0.46160700130313587</v>
      </c>
      <c r="T1930">
        <v>3.9034919355107904</v>
      </c>
      <c r="U1930">
        <v>0</v>
      </c>
      <c r="V1930">
        <v>1.1304767209823824E-2</v>
      </c>
      <c r="W1930">
        <v>0.18601194401933724</v>
      </c>
      <c r="X1930">
        <v>2.6544366388607774E-2</v>
      </c>
      <c r="Y1930">
        <v>9.5160728150427438E-3</v>
      </c>
    </row>
    <row r="1931" spans="1:25" x14ac:dyDescent="0.25">
      <c r="A1931" s="1093"/>
      <c r="B1931" s="1452">
        <v>1681</v>
      </c>
      <c r="C1931" s="1097">
        <v>1.0135441448092852</v>
      </c>
      <c r="D1931" s="1097">
        <v>1.0057039801829717</v>
      </c>
      <c r="E1931" s="1097">
        <v>1.0198528052809848</v>
      </c>
      <c r="F1931" s="1097">
        <v>1.0035455062164689</v>
      </c>
      <c r="G1931" s="1097">
        <v>0.96034681239076658</v>
      </c>
      <c r="H1931" s="1097">
        <v>1.0460843693603996</v>
      </c>
      <c r="I1931" s="1097">
        <v>1.0367989213706115</v>
      </c>
      <c r="K1931">
        <v>5.2291234238399298</v>
      </c>
      <c r="L1931">
        <v>0</v>
      </c>
      <c r="M1931">
        <v>3.5837564374666276E-3</v>
      </c>
      <c r="N1931">
        <v>0.32975355068353235</v>
      </c>
      <c r="O1931">
        <v>0.14604723666989994</v>
      </c>
      <c r="P1931">
        <v>2.077320033998618E-2</v>
      </c>
      <c r="Q1931">
        <v>1.3051239137165543E-3</v>
      </c>
      <c r="R1931">
        <v>3.5780917789524085E-3</v>
      </c>
      <c r="S1931">
        <v>0.48275714425227928</v>
      </c>
      <c r="T1931">
        <v>4.0070065640486847</v>
      </c>
      <c r="U1931">
        <v>0</v>
      </c>
      <c r="V1931">
        <v>1.1304767209823818E-2</v>
      </c>
      <c r="W1931">
        <v>0.19381982834851053</v>
      </c>
      <c r="X1931">
        <v>2.6249712490304451E-2</v>
      </c>
      <c r="Y1931">
        <v>1.0111960541703992E-2</v>
      </c>
    </row>
    <row r="1932" spans="1:25" x14ac:dyDescent="0.25">
      <c r="A1932" s="1093"/>
      <c r="B1932" s="1452">
        <v>1682</v>
      </c>
      <c r="C1932" s="1097">
        <v>0.97268050923750649</v>
      </c>
      <c r="D1932" s="1097">
        <v>1.0168986870294212</v>
      </c>
      <c r="E1932" s="1097">
        <v>1.0046637646089331</v>
      </c>
      <c r="F1932" s="1097">
        <v>0.98216485839496048</v>
      </c>
      <c r="G1932" s="1097">
        <v>1.030652029093811</v>
      </c>
      <c r="H1932" s="1097">
        <v>0.99264520013225988</v>
      </c>
      <c r="I1932" s="1097">
        <v>0.97101543964740333</v>
      </c>
      <c r="K1932">
        <v>5.0924407836375867</v>
      </c>
      <c r="L1932">
        <v>0</v>
      </c>
      <c r="M1932">
        <v>3.5653005854807437E-3</v>
      </c>
      <c r="N1932">
        <v>0.31359337269637449</v>
      </c>
      <c r="O1932">
        <v>0.14870670484495396</v>
      </c>
      <c r="P1932">
        <v>2.0019827565831025E-2</v>
      </c>
      <c r="Q1932">
        <v>1.3365697268993811E-3</v>
      </c>
      <c r="R1932">
        <v>3.5592326477980863E-3</v>
      </c>
      <c r="S1932">
        <v>0.45189565432059819</v>
      </c>
      <c r="T1932">
        <v>3.9234990404233723</v>
      </c>
      <c r="U1932">
        <v>0</v>
      </c>
      <c r="V1932">
        <v>1.1304767209823804E-2</v>
      </c>
      <c r="W1932">
        <v>0.18620750015710247</v>
      </c>
      <c r="X1932">
        <v>2.5824751433080991E-2</v>
      </c>
      <c r="Y1932">
        <v>1.0058663197235329E-2</v>
      </c>
    </row>
    <row r="1933" spans="1:25" x14ac:dyDescent="0.25">
      <c r="A1933" s="1093"/>
      <c r="B1933" s="1452">
        <v>1683</v>
      </c>
      <c r="C1933" s="1097">
        <v>1.0158888368221535</v>
      </c>
      <c r="D1933" s="1097">
        <v>0.9877537229036133</v>
      </c>
      <c r="E1933" s="1097">
        <v>0.97669155970772858</v>
      </c>
      <c r="F1933" s="1097">
        <v>1.0158911500792429</v>
      </c>
      <c r="G1933" s="1097">
        <v>1.0073118798548235</v>
      </c>
      <c r="H1933" s="1097">
        <v>1.011172726384491</v>
      </c>
      <c r="I1933" s="1097">
        <v>1.0194454233299661</v>
      </c>
      <c r="K1933">
        <v>5.2546961634175258</v>
      </c>
      <c r="L1933">
        <v>0</v>
      </c>
      <c r="M1933">
        <v>3.8591124740751555E-3</v>
      </c>
      <c r="N1933">
        <v>0.31244698690784306</v>
      </c>
      <c r="O1933">
        <v>0.14977633776577853</v>
      </c>
      <c r="P1933">
        <v>2.0317817380467746E-2</v>
      </c>
      <c r="Q1933">
        <v>1.2638446736592782E-3</v>
      </c>
      <c r="R1933">
        <v>3.8528785333215134E-3</v>
      </c>
      <c r="S1933">
        <v>0.47350494924257402</v>
      </c>
      <c r="T1933">
        <v>4.0618104127778532</v>
      </c>
      <c r="U1933">
        <v>0</v>
      </c>
      <c r="V1933">
        <v>1.1304767209823803E-2</v>
      </c>
      <c r="W1933">
        <v>0.18909045364147936</v>
      </c>
      <c r="X1933">
        <v>2.4298298870275074E-2</v>
      </c>
      <c r="Y1933">
        <v>1.088852888852734E-2</v>
      </c>
    </row>
    <row r="1934" spans="1:25" x14ac:dyDescent="0.25">
      <c r="A1934" s="1093"/>
      <c r="B1934" s="1452">
        <v>1684</v>
      </c>
      <c r="C1934" s="1097">
        <v>1.0062562549029541</v>
      </c>
      <c r="D1934" s="1097">
        <v>1.021267542401292</v>
      </c>
      <c r="E1934" s="1097">
        <v>1.0293043194323956</v>
      </c>
      <c r="F1934" s="1097">
        <v>0.97199640165614187</v>
      </c>
      <c r="G1934" s="1097">
        <v>1.0186551122891971</v>
      </c>
      <c r="H1934" s="1097">
        <v>0.98598295725452845</v>
      </c>
      <c r="I1934" s="1097">
        <v>0.96737601580506105</v>
      </c>
      <c r="K1934">
        <v>5.0003773588930311</v>
      </c>
      <c r="L1934">
        <v>0</v>
      </c>
      <c r="M1934">
        <v>3.2105671398705731E-3</v>
      </c>
      <c r="N1934">
        <v>0.30374370824856639</v>
      </c>
      <c r="O1934">
        <v>0.14135576440404057</v>
      </c>
      <c r="P1934">
        <v>2.0080504614885263E-2</v>
      </c>
      <c r="Q1934">
        <v>1.3169870963485634E-3</v>
      </c>
      <c r="R1934">
        <v>3.205008565572676E-3</v>
      </c>
      <c r="S1934">
        <v>0.42989259048515499</v>
      </c>
      <c r="T1934">
        <v>3.8798956768065764</v>
      </c>
      <c r="U1934">
        <v>0</v>
      </c>
      <c r="V1934">
        <v>1.1304767209823811E-2</v>
      </c>
      <c r="W1934">
        <v>0.17741382641164571</v>
      </c>
      <c r="X1934">
        <v>2.6321493293151553E-2</v>
      </c>
      <c r="Y1934">
        <v>9.0575988971369759E-3</v>
      </c>
    </row>
    <row r="1935" spans="1:25" x14ac:dyDescent="0.25">
      <c r="A1935" s="1093"/>
      <c r="B1935" s="1452">
        <v>1685</v>
      </c>
      <c r="C1935" s="1097">
        <v>1.0188143501302027</v>
      </c>
      <c r="D1935" s="1097">
        <v>0.98258677807922301</v>
      </c>
      <c r="E1935" s="1097">
        <v>0.98362522055360169</v>
      </c>
      <c r="F1935" s="1097">
        <v>1.0195102929499635</v>
      </c>
      <c r="G1935" s="1097">
        <v>1.0171029989638571</v>
      </c>
      <c r="H1935" s="1097">
        <v>0.99587566255294124</v>
      </c>
      <c r="I1935" s="1097">
        <v>1.0099182854868627</v>
      </c>
      <c r="K1935">
        <v>5.2580132794462733</v>
      </c>
      <c r="L1935">
        <v>0</v>
      </c>
      <c r="M1935">
        <v>3.7562077390142909E-3</v>
      </c>
      <c r="N1935">
        <v>0.31043136876602762</v>
      </c>
      <c r="O1935">
        <v>0.14999867362896904</v>
      </c>
      <c r="P1935">
        <v>2.0455443213844692E-2</v>
      </c>
      <c r="Q1935">
        <v>1.2704849796806492E-3</v>
      </c>
      <c r="R1935">
        <v>3.750068661091044E-3</v>
      </c>
      <c r="S1935">
        <v>0.46670183369055829</v>
      </c>
      <c r="T1935">
        <v>4.0753849527145647</v>
      </c>
      <c r="U1935">
        <v>0</v>
      </c>
      <c r="V1935">
        <v>1.1304767209823827E-2</v>
      </c>
      <c r="W1935">
        <v>0.18698035468040414</v>
      </c>
      <c r="X1935">
        <v>2.4893559299875707E-2</v>
      </c>
      <c r="Y1935">
        <v>1.0597980340441607E-2</v>
      </c>
    </row>
    <row r="1936" spans="1:25" x14ac:dyDescent="0.25">
      <c r="A1936" s="1093"/>
      <c r="B1936" s="1452">
        <v>1686</v>
      </c>
      <c r="C1936" s="1097">
        <v>0.9794283561476913</v>
      </c>
      <c r="D1936" s="1097">
        <v>0.97531499006386324</v>
      </c>
      <c r="E1936" s="1097">
        <v>0.99997466080694086</v>
      </c>
      <c r="F1936" s="1097">
        <v>0.96243276728959137</v>
      </c>
      <c r="G1936" s="1097">
        <v>0.999431830429929</v>
      </c>
      <c r="H1936" s="1097">
        <v>1.003140366697213</v>
      </c>
      <c r="I1936" s="1097">
        <v>0.99869155716975733</v>
      </c>
      <c r="K1936">
        <v>5.0180966175083093</v>
      </c>
      <c r="L1936">
        <v>0</v>
      </c>
      <c r="M1936">
        <v>3.6008554072781023E-3</v>
      </c>
      <c r="N1936">
        <v>0.31234622671936868</v>
      </c>
      <c r="O1936">
        <v>0.1472819042201117</v>
      </c>
      <c r="P1936">
        <v>1.9629117619544365E-2</v>
      </c>
      <c r="Q1936">
        <v>1.344310358411998E-3</v>
      </c>
      <c r="R1936">
        <v>3.5946669566275652E-3</v>
      </c>
      <c r="S1936">
        <v>0.45956989223651079</v>
      </c>
      <c r="T1936">
        <v>3.8452403460065638</v>
      </c>
      <c r="U1936">
        <v>0</v>
      </c>
      <c r="V1936">
        <v>1.1304767209823811E-2</v>
      </c>
      <c r="W1936">
        <v>0.18605475774394845</v>
      </c>
      <c r="X1936">
        <v>2.5172680585406122E-2</v>
      </c>
      <c r="Y1936">
        <v>1.0158803259268935E-2</v>
      </c>
    </row>
    <row r="1937" spans="1:25" x14ac:dyDescent="0.25">
      <c r="A1937" s="1093"/>
      <c r="B1937" s="1452">
        <v>1687</v>
      </c>
      <c r="C1937" s="1097">
        <v>1.0030066614353899</v>
      </c>
      <c r="D1937" s="1097">
        <v>1.0244044841429145</v>
      </c>
      <c r="E1937" s="1097">
        <v>0.97467091418332152</v>
      </c>
      <c r="F1937" s="1097">
        <v>1.0036618770354053</v>
      </c>
      <c r="G1937" s="1097">
        <v>0.9905570817041508</v>
      </c>
      <c r="H1937" s="1097">
        <v>1.007217640368872</v>
      </c>
      <c r="I1937" s="1097">
        <v>1.016197947274126</v>
      </c>
      <c r="K1937">
        <v>5.1893482301876697</v>
      </c>
      <c r="L1937">
        <v>0</v>
      </c>
      <c r="M1937">
        <v>3.807049870981051E-3</v>
      </c>
      <c r="N1937">
        <v>0.30638060809163753</v>
      </c>
      <c r="O1937">
        <v>0.14776121932065531</v>
      </c>
      <c r="P1937">
        <v>2.0049915548359304E-2</v>
      </c>
      <c r="Q1937">
        <v>1.2593403109519776E-3</v>
      </c>
      <c r="R1937">
        <v>3.8008007788280069E-3</v>
      </c>
      <c r="S1937">
        <v>0.46910841659959945</v>
      </c>
      <c r="T1937">
        <v>4.0131719653353928</v>
      </c>
      <c r="U1937">
        <v>0</v>
      </c>
      <c r="V1937">
        <v>1.1304767209823804E-2</v>
      </c>
      <c r="W1937">
        <v>0.18567676113571768</v>
      </c>
      <c r="X1937">
        <v>2.390013254930658E-2</v>
      </c>
      <c r="Y1937">
        <v>1.0741353178380224E-2</v>
      </c>
    </row>
    <row r="1938" spans="1:25" x14ac:dyDescent="0.25">
      <c r="A1938" s="1093"/>
      <c r="B1938" s="1452">
        <v>1688</v>
      </c>
      <c r="C1938" s="1097">
        <v>0.98900877784715935</v>
      </c>
      <c r="D1938" s="1097">
        <v>0.96070453447452153</v>
      </c>
      <c r="E1938" s="1097">
        <v>0.97550932689738501</v>
      </c>
      <c r="F1938" s="1097">
        <v>1.0042461376762808</v>
      </c>
      <c r="G1938" s="1097">
        <v>1.0026996139108204</v>
      </c>
      <c r="H1938" s="1097">
        <v>1.0162272456624561</v>
      </c>
      <c r="I1938" s="1097">
        <v>0.98916912396992029</v>
      </c>
      <c r="K1938">
        <v>5.2258632771626026</v>
      </c>
      <c r="L1938">
        <v>0</v>
      </c>
      <c r="M1938">
        <v>3.9920954871922199E-3</v>
      </c>
      <c r="N1938">
        <v>0.32207812749166925</v>
      </c>
      <c r="O1938">
        <v>0.15381602875357134</v>
      </c>
      <c r="P1938">
        <v>2.0080976361000487E-2</v>
      </c>
      <c r="Q1938">
        <v>1.311343558578227E-3</v>
      </c>
      <c r="R1938">
        <v>3.9856045194827799E-3</v>
      </c>
      <c r="S1938">
        <v>0.47096346532300887</v>
      </c>
      <c r="T1938">
        <v>4.0154012033099686</v>
      </c>
      <c r="U1938">
        <v>0</v>
      </c>
      <c r="V1938">
        <v>1.130476720982383E-2</v>
      </c>
      <c r="W1938">
        <v>0.19507751053300112</v>
      </c>
      <c r="X1938">
        <v>2.4572722931115211E-2</v>
      </c>
      <c r="Y1938">
        <v>1.1263622658568763E-2</v>
      </c>
    </row>
    <row r="1939" spans="1:25" x14ac:dyDescent="0.25">
      <c r="A1939" s="1093"/>
      <c r="B1939" s="1452">
        <v>1689</v>
      </c>
      <c r="C1939" s="1097">
        <v>1.0374840605633056</v>
      </c>
      <c r="D1939" s="1097">
        <v>0.99923337134557266</v>
      </c>
      <c r="E1939" s="1097">
        <v>0.97170348144619501</v>
      </c>
      <c r="F1939" s="1097">
        <v>0.98511206202872903</v>
      </c>
      <c r="G1939" s="1097">
        <v>1.0270853336974934</v>
      </c>
      <c r="H1939" s="1097">
        <v>1.0065298214267147</v>
      </c>
      <c r="I1939" s="1097">
        <v>0.98003931506934172</v>
      </c>
      <c r="K1939">
        <v>5.0493096775090125</v>
      </c>
      <c r="L1939">
        <v>0</v>
      </c>
      <c r="M1939">
        <v>3.6690223564808024E-3</v>
      </c>
      <c r="N1939">
        <v>0.29267326910864194</v>
      </c>
      <c r="O1939">
        <v>0.14169131336310808</v>
      </c>
      <c r="P1939">
        <v>1.9513305361506937E-2</v>
      </c>
      <c r="Q1939">
        <v>1.2264892845877788E-3</v>
      </c>
      <c r="R1939">
        <v>3.6628824229554186E-3</v>
      </c>
      <c r="S1939">
        <v>0.43257740492435204</v>
      </c>
      <c r="T1939">
        <v>3.9393716076456986</v>
      </c>
      <c r="U1939">
        <v>0</v>
      </c>
      <c r="V1939">
        <v>1.1304767209823806E-2</v>
      </c>
      <c r="W1939">
        <v>0.17773231931038919</v>
      </c>
      <c r="X1939">
        <v>2.287375585931551E-2</v>
      </c>
      <c r="Y1939">
        <v>1.0351585375115935E-2</v>
      </c>
    </row>
    <row r="1940" spans="1:25" x14ac:dyDescent="0.25">
      <c r="A1940" s="1093"/>
      <c r="B1940" s="1452">
        <v>1690</v>
      </c>
      <c r="C1940" s="1097">
        <v>0.99682392733301006</v>
      </c>
      <c r="D1940" s="1097">
        <v>1.0309235302066684</v>
      </c>
      <c r="E1940" s="1097">
        <v>0.99419677356537273</v>
      </c>
      <c r="F1940" s="1097">
        <v>1.0031684229900948</v>
      </c>
      <c r="G1940" s="1097">
        <v>0.99284706783774346</v>
      </c>
      <c r="H1940" s="1097">
        <v>1.0049417837245238</v>
      </c>
      <c r="I1940" s="1097">
        <v>0.99715943922711436</v>
      </c>
      <c r="K1940">
        <v>5.1850793216434061</v>
      </c>
      <c r="L1940">
        <v>0</v>
      </c>
      <c r="M1940">
        <v>3.6573082113813726E-3</v>
      </c>
      <c r="N1940">
        <v>0.31187973420406723</v>
      </c>
      <c r="O1940">
        <v>0.14768787657264668</v>
      </c>
      <c r="P1940">
        <v>2.0295757294515833E-2</v>
      </c>
      <c r="Q1940">
        <v>1.2854837667427938E-3</v>
      </c>
      <c r="R1940">
        <v>3.6512883628264949E-3</v>
      </c>
      <c r="S1940">
        <v>0.461993659031114</v>
      </c>
      <c r="T1940">
        <v>4.008721622339662</v>
      </c>
      <c r="U1940">
        <v>0</v>
      </c>
      <c r="V1940">
        <v>1.1304767209823811E-2</v>
      </c>
      <c r="W1940">
        <v>0.18650522607489045</v>
      </c>
      <c r="X1940">
        <v>2.5092395322468177E-2</v>
      </c>
      <c r="Y1940">
        <v>1.0318819676026977E-2</v>
      </c>
    </row>
    <row r="1941" spans="1:25" x14ac:dyDescent="0.25">
      <c r="A1941" s="1093"/>
      <c r="B1941" s="1452">
        <v>1691</v>
      </c>
      <c r="C1941" s="1097">
        <v>0.99542276530453178</v>
      </c>
      <c r="D1941" s="1097">
        <v>0.9921960836631134</v>
      </c>
      <c r="E1941" s="1097">
        <v>1.0103353951173486</v>
      </c>
      <c r="F1941" s="1097">
        <v>1.003351148105907</v>
      </c>
      <c r="G1941" s="1097">
        <v>0.98333903739009809</v>
      </c>
      <c r="H1941" s="1097">
        <v>0.99544849741968167</v>
      </c>
      <c r="I1941" s="1097">
        <v>0.98778876490730516</v>
      </c>
      <c r="K1941">
        <v>5.1938331190585227</v>
      </c>
      <c r="L1941">
        <v>0</v>
      </c>
      <c r="M1941">
        <v>3.5613565104724442E-3</v>
      </c>
      <c r="N1941">
        <v>0.31856497044163912</v>
      </c>
      <c r="O1941">
        <v>0.14975146667599595</v>
      </c>
      <c r="P1941">
        <v>2.0525967316017361E-2</v>
      </c>
      <c r="Q1941">
        <v>1.3253399761582543E-3</v>
      </c>
      <c r="R1941">
        <v>3.555439768964927E-3</v>
      </c>
      <c r="S1941">
        <v>0.46002640878751777</v>
      </c>
      <c r="T1941">
        <v>4.007420931508948</v>
      </c>
      <c r="U1941">
        <v>0</v>
      </c>
      <c r="V1941">
        <v>1.1304767209823817E-2</v>
      </c>
      <c r="W1941">
        <v>0.18843951089015024</v>
      </c>
      <c r="X1941">
        <v>2.6431728761697939E-2</v>
      </c>
      <c r="Y1941">
        <v>1.0047944232080218E-2</v>
      </c>
    </row>
    <row r="1942" spans="1:25" x14ac:dyDescent="0.25">
      <c r="A1942" s="1093"/>
      <c r="B1942" s="1452">
        <v>1692</v>
      </c>
      <c r="C1942" s="1097">
        <v>0.99016003171960698</v>
      </c>
      <c r="D1942" s="1097">
        <v>0.96855150749673957</v>
      </c>
      <c r="E1942" s="1097">
        <v>1.0033737088055386</v>
      </c>
      <c r="F1942" s="1097">
        <v>1.0106905424693664</v>
      </c>
      <c r="G1942" s="1097">
        <v>0.99023349360628787</v>
      </c>
      <c r="H1942" s="1097">
        <v>1.0268663966123903</v>
      </c>
      <c r="I1942" s="1097">
        <v>0.95996193431995014</v>
      </c>
      <c r="K1942">
        <v>5.2538831437804241</v>
      </c>
      <c r="L1942">
        <v>0</v>
      </c>
      <c r="M1942">
        <v>3.8118566965146079E-3</v>
      </c>
      <c r="N1942">
        <v>0.33403546806614226</v>
      </c>
      <c r="O1942">
        <v>0.15331913086416452</v>
      </c>
      <c r="P1942">
        <v>2.055880941351499E-2</v>
      </c>
      <c r="Q1942">
        <v>1.3373327801250719E-3</v>
      </c>
      <c r="R1942">
        <v>3.8057620498926272E-3</v>
      </c>
      <c r="S1942">
        <v>0.46020082230455733</v>
      </c>
      <c r="T1942">
        <v>4.0376152921660786</v>
      </c>
      <c r="U1942">
        <v>0</v>
      </c>
      <c r="V1942">
        <v>1.1304767209823813E-2</v>
      </c>
      <c r="W1942">
        <v>0.19851828473952821</v>
      </c>
      <c r="X1942">
        <v>2.6243956773926744E-2</v>
      </c>
      <c r="Y1942">
        <v>1.0755374109183971E-2</v>
      </c>
    </row>
    <row r="1943" spans="1:25" x14ac:dyDescent="0.25">
      <c r="A1943" s="1093"/>
      <c r="B1943" s="1452">
        <v>1693</v>
      </c>
      <c r="C1943" s="1097">
        <v>1.0148527886612231</v>
      </c>
      <c r="D1943" s="1097">
        <v>1.0298847512653597</v>
      </c>
      <c r="E1943" s="1097">
        <v>1.0216195156796448</v>
      </c>
      <c r="F1943" s="1097">
        <v>1.0201216463688108</v>
      </c>
      <c r="G1943" s="1097">
        <v>1.0135773371630481</v>
      </c>
      <c r="H1943" s="1097">
        <v>0.99995742970781387</v>
      </c>
      <c r="I1943" s="1097">
        <v>0.99254399233564039</v>
      </c>
      <c r="K1943">
        <v>5.2509369646014772</v>
      </c>
      <c r="L1943">
        <v>0</v>
      </c>
      <c r="M1943">
        <v>3.4320041617270079E-3</v>
      </c>
      <c r="N1943">
        <v>0.31743050930902073</v>
      </c>
      <c r="O1943">
        <v>0.14681686620528558</v>
      </c>
      <c r="P1943">
        <v>2.0987101639811358E-2</v>
      </c>
      <c r="Q1943">
        <v>1.2930429720006847E-3</v>
      </c>
      <c r="R1943">
        <v>3.4264211951053193E-3</v>
      </c>
      <c r="S1943">
        <v>0.45727562003859767</v>
      </c>
      <c r="T1943">
        <v>4.072968538615938</v>
      </c>
      <c r="U1943">
        <v>0</v>
      </c>
      <c r="V1943">
        <v>1.1304767209823829E-2</v>
      </c>
      <c r="W1943">
        <v>0.18635713996232214</v>
      </c>
      <c r="X1943">
        <v>2.6825633723042624E-2</v>
      </c>
      <c r="Y1943">
        <v>9.6833278922508221E-3</v>
      </c>
    </row>
    <row r="1944" spans="1:25" x14ac:dyDescent="0.25">
      <c r="A1944" s="1093"/>
      <c r="B1944" s="1452">
        <v>1694</v>
      </c>
      <c r="C1944" s="1097">
        <v>0.98942480386916198</v>
      </c>
      <c r="D1944" s="1097">
        <v>0.97416950558754489</v>
      </c>
      <c r="E1944" s="1097">
        <v>1.0264682895587944</v>
      </c>
      <c r="F1944" s="1097">
        <v>1.011445072467678</v>
      </c>
      <c r="G1944" s="1097">
        <v>1.0043955434630121</v>
      </c>
      <c r="H1944" s="1097">
        <v>0.9884957645666429</v>
      </c>
      <c r="I1944" s="1097">
        <v>1.0026888111695453</v>
      </c>
      <c r="K1944">
        <v>5.2543763684823039</v>
      </c>
      <c r="L1944">
        <v>0</v>
      </c>
      <c r="M1944">
        <v>3.4919538692316822E-3</v>
      </c>
      <c r="N1944">
        <v>0.32762974513846999</v>
      </c>
      <c r="O1944">
        <v>0.15252860013814115</v>
      </c>
      <c r="P1944">
        <v>2.0972525019503099E-2</v>
      </c>
      <c r="Q1944">
        <v>1.3616711964728819E-3</v>
      </c>
      <c r="R1944">
        <v>3.4861583010144799E-3</v>
      </c>
      <c r="S1944">
        <v>0.47333506576587858</v>
      </c>
      <c r="T1944">
        <v>4.0377174316123812</v>
      </c>
      <c r="U1944">
        <v>0</v>
      </c>
      <c r="V1944">
        <v>1.1304767209823824E-2</v>
      </c>
      <c r="W1944">
        <v>0.19172573118452416</v>
      </c>
      <c r="X1944">
        <v>2.795447727105755E-2</v>
      </c>
      <c r="Y1944">
        <v>9.8521495142623993E-3</v>
      </c>
    </row>
    <row r="1945" spans="1:25" x14ac:dyDescent="0.25">
      <c r="A1945" s="1093"/>
      <c r="B1945" s="1452">
        <v>1695</v>
      </c>
      <c r="C1945" s="1097">
        <v>0.95738583725413284</v>
      </c>
      <c r="D1945" s="1097">
        <v>0.99803436438142812</v>
      </c>
      <c r="E1945" s="1097">
        <v>1.0180388417400588</v>
      </c>
      <c r="F1945" s="1097">
        <v>0.99077215047079703</v>
      </c>
      <c r="G1945" s="1097">
        <v>1.0151205852513385</v>
      </c>
      <c r="H1945" s="1097">
        <v>0.98725520382369059</v>
      </c>
      <c r="I1945" s="1097">
        <v>0.99307197007185743</v>
      </c>
      <c r="K1945">
        <v>5.1710776159476914</v>
      </c>
      <c r="L1945">
        <v>0</v>
      </c>
      <c r="M1945">
        <v>3.5595620499343839E-3</v>
      </c>
      <c r="N1945">
        <v>0.32573638945179456</v>
      </c>
      <c r="O1945">
        <v>0.15316655374086421</v>
      </c>
      <c r="P1945">
        <v>2.0469729170827757E-2</v>
      </c>
      <c r="Q1945">
        <v>1.3837900332489197E-3</v>
      </c>
      <c r="R1945">
        <v>3.5535236326803663E-3</v>
      </c>
      <c r="S1945">
        <v>0.47368335815038137</v>
      </c>
      <c r="T1945">
        <v>3.9562281019853289</v>
      </c>
      <c r="U1945">
        <v>0</v>
      </c>
      <c r="V1945">
        <v>1.1304767209823824E-2</v>
      </c>
      <c r="W1945">
        <v>0.19169053406899048</v>
      </c>
      <c r="X1945">
        <v>2.7377901469030311E-2</v>
      </c>
      <c r="Y1945">
        <v>1.0042529084649966E-2</v>
      </c>
    </row>
    <row r="1946" spans="1:25" x14ac:dyDescent="0.25">
      <c r="A1946" s="1093"/>
      <c r="B1946" s="1452">
        <v>1696</v>
      </c>
      <c r="C1946" s="1097">
        <v>1.0028031419825265</v>
      </c>
      <c r="D1946" s="1097">
        <v>0.97755482631321722</v>
      </c>
      <c r="E1946" s="1097">
        <v>1.0250785074330269</v>
      </c>
      <c r="F1946" s="1097">
        <v>0.99494196012479375</v>
      </c>
      <c r="G1946" s="1097">
        <v>1.0202050343775944</v>
      </c>
      <c r="H1946" s="1097">
        <v>0.99010453575863133</v>
      </c>
      <c r="I1946" s="1097">
        <v>1.0462320996061552</v>
      </c>
      <c r="K1946">
        <v>5.1743339118050473</v>
      </c>
      <c r="L1946">
        <v>0</v>
      </c>
      <c r="M1946">
        <v>3.4000283570445274E-3</v>
      </c>
      <c r="N1946">
        <v>0.31768860695065265</v>
      </c>
      <c r="O1946">
        <v>0.14787167693658929</v>
      </c>
      <c r="P1946">
        <v>2.0680716971622624E-2</v>
      </c>
      <c r="Q1946">
        <v>1.3400710687550184E-3</v>
      </c>
      <c r="R1946">
        <v>3.3943012333367004E-3</v>
      </c>
      <c r="S1946">
        <v>0.4806353366040978</v>
      </c>
      <c r="T1946">
        <v>3.9720080344709801</v>
      </c>
      <c r="U1946">
        <v>0</v>
      </c>
      <c r="V1946">
        <v>1.1304767209823829E-2</v>
      </c>
      <c r="W1946">
        <v>0.18607996273373698</v>
      </c>
      <c r="X1946">
        <v>2.7137911554440876E-2</v>
      </c>
      <c r="Y1946">
        <v>9.5925544280496319E-3</v>
      </c>
    </row>
    <row r="1947" spans="1:25" x14ac:dyDescent="0.25">
      <c r="A1947" s="1093"/>
      <c r="B1947" s="1452">
        <v>1697</v>
      </c>
      <c r="C1947" s="1097">
        <v>1.0115280241446443</v>
      </c>
      <c r="D1947" s="1097">
        <v>0.99559499359739378</v>
      </c>
      <c r="E1947" s="1097">
        <v>0.97397492308722855</v>
      </c>
      <c r="F1947" s="1097">
        <v>0.9757568955028959</v>
      </c>
      <c r="G1947" s="1097">
        <v>1.0242430525870305</v>
      </c>
      <c r="H1947" s="1097">
        <v>1.010418315492255</v>
      </c>
      <c r="I1947" s="1097">
        <v>1.0265356593148693</v>
      </c>
      <c r="K1947">
        <v>5.0548173392656572</v>
      </c>
      <c r="L1947">
        <v>0</v>
      </c>
      <c r="M1947">
        <v>3.7295511659159236E-3</v>
      </c>
      <c r="N1947">
        <v>0.2995117818413528</v>
      </c>
      <c r="O1947">
        <v>0.14409617696212204</v>
      </c>
      <c r="P1947">
        <v>1.9510797541737783E-2</v>
      </c>
      <c r="Q1947">
        <v>1.2622959271585722E-3</v>
      </c>
      <c r="R1947">
        <v>3.7232744523282668E-3</v>
      </c>
      <c r="S1947">
        <v>0.46209508859513798</v>
      </c>
      <c r="T1947">
        <v>3.9016793546461126</v>
      </c>
      <c r="U1947">
        <v>0</v>
      </c>
      <c r="V1947">
        <v>1.130476720982383E-2</v>
      </c>
      <c r="W1947">
        <v>0.18160093663121671</v>
      </c>
      <c r="X1947">
        <v>2.324015876374224E-2</v>
      </c>
      <c r="Y1947">
        <v>1.0522257860836928E-2</v>
      </c>
    </row>
    <row r="1948" spans="1:25" x14ac:dyDescent="0.25">
      <c r="A1948" s="1093"/>
      <c r="B1948" s="1452">
        <v>1698</v>
      </c>
      <c r="C1948" s="1097">
        <v>0.99832742934917518</v>
      </c>
      <c r="D1948" s="1097">
        <v>1.0074885080293567</v>
      </c>
      <c r="E1948" s="1097">
        <v>0.98670238957694378</v>
      </c>
      <c r="F1948" s="1097">
        <v>1.0244559719818489</v>
      </c>
      <c r="G1948" s="1097">
        <v>1.0052140441856172</v>
      </c>
      <c r="H1948" s="1097">
        <v>1.0132751359645407</v>
      </c>
      <c r="I1948" s="1097">
        <v>1.0140317138509884</v>
      </c>
      <c r="K1948">
        <v>5.3123420053236217</v>
      </c>
      <c r="L1948">
        <v>0</v>
      </c>
      <c r="M1948">
        <v>3.8551091496426761E-3</v>
      </c>
      <c r="N1948">
        <v>0.32153799856002546</v>
      </c>
      <c r="O1948">
        <v>0.15219962548234522</v>
      </c>
      <c r="P1948">
        <v>2.065564468414665E-2</v>
      </c>
      <c r="Q1948">
        <v>1.2870639477370388E-3</v>
      </c>
      <c r="R1948">
        <v>3.8489464687044045E-3</v>
      </c>
      <c r="S1948">
        <v>0.48121304666675391</v>
      </c>
      <c r="T1948">
        <v>4.0947562316997281</v>
      </c>
      <c r="U1948">
        <v>0</v>
      </c>
      <c r="V1948">
        <v>1.1304767209823815E-2</v>
      </c>
      <c r="W1948">
        <v>0.19326370062749765</v>
      </c>
      <c r="X1948">
        <v>2.5252672552779E-2</v>
      </c>
      <c r="Y1948">
        <v>1.0877416573720463E-2</v>
      </c>
    </row>
    <row r="1949" spans="1:25" x14ac:dyDescent="0.25">
      <c r="A1949" s="1093"/>
      <c r="B1949" s="1452">
        <v>1699</v>
      </c>
      <c r="C1949" s="1097">
        <v>1.0129499527889381</v>
      </c>
      <c r="D1949" s="1097">
        <v>1.0071351430746776</v>
      </c>
      <c r="E1949" s="1097">
        <v>1.00761488003141</v>
      </c>
      <c r="F1949" s="1097">
        <v>0.99478336213777996</v>
      </c>
      <c r="G1949" s="1097">
        <v>1.0333157497246179</v>
      </c>
      <c r="H1949" s="1097">
        <v>1.0048913967551993</v>
      </c>
      <c r="I1949" s="1097">
        <v>1.0098131844266984</v>
      </c>
      <c r="K1949">
        <v>5.1411238125688197</v>
      </c>
      <c r="L1949">
        <v>0</v>
      </c>
      <c r="M1949">
        <v>3.5019715857770033E-3</v>
      </c>
      <c r="N1949">
        <v>0.31074016541852889</v>
      </c>
      <c r="O1949">
        <v>0.1451082683056048</v>
      </c>
      <c r="P1949">
        <v>2.032617136998123E-2</v>
      </c>
      <c r="Q1949">
        <v>1.2916473468514128E-3</v>
      </c>
      <c r="R1949">
        <v>3.4961586211078965E-3</v>
      </c>
      <c r="S1949">
        <v>0.45924502317782223</v>
      </c>
      <c r="T1949">
        <v>3.9735392335099382</v>
      </c>
      <c r="U1949">
        <v>0</v>
      </c>
      <c r="V1949">
        <v>1.1304767209823825E-2</v>
      </c>
      <c r="W1949">
        <v>0.18414716959286026</v>
      </c>
      <c r="X1949">
        <v>2.5546768419738849E-2</v>
      </c>
      <c r="Y1949">
        <v>9.8804111823347137E-3</v>
      </c>
    </row>
    <row r="1950" spans="1:25" x14ac:dyDescent="0.25">
      <c r="A1950" s="1093"/>
      <c r="B1950" s="1452">
        <v>1700</v>
      </c>
      <c r="C1950" s="1097">
        <v>0.99972081706717186</v>
      </c>
      <c r="D1950" s="1097">
        <v>1.0133858593639826</v>
      </c>
      <c r="E1950" s="1097">
        <v>1.0335992947294903</v>
      </c>
      <c r="F1950" s="1097">
        <v>1.0132115739220116</v>
      </c>
      <c r="G1950" s="1097">
        <v>0.98406663860484822</v>
      </c>
      <c r="H1950" s="1097">
        <v>1.0317828555319832</v>
      </c>
      <c r="I1950" s="1097">
        <v>0.98651664120240978</v>
      </c>
      <c r="K1950">
        <v>5.2611738445819984</v>
      </c>
      <c r="L1950">
        <v>0</v>
      </c>
      <c r="M1950">
        <v>3.5037638360592297E-3</v>
      </c>
      <c r="N1950">
        <v>0.33576617452808222</v>
      </c>
      <c r="O1950">
        <v>0.14865265734574806</v>
      </c>
      <c r="P1950">
        <v>2.10763515978338E-2</v>
      </c>
      <c r="Q1950">
        <v>1.3345175366909403E-3</v>
      </c>
      <c r="R1950">
        <v>3.4982023319970594E-3</v>
      </c>
      <c r="S1950">
        <v>0.46610100104558111</v>
      </c>
      <c r="T1950">
        <v>4.0438750823239786</v>
      </c>
      <c r="U1950">
        <v>0</v>
      </c>
      <c r="V1950">
        <v>1.1304767209823818E-2</v>
      </c>
      <c r="W1950">
        <v>0.19556130713354167</v>
      </c>
      <c r="X1950">
        <v>2.7621360499443311E-2</v>
      </c>
      <c r="Y1950">
        <v>9.8861868653374319E-3</v>
      </c>
    </row>
    <row r="1951" spans="1:25" x14ac:dyDescent="0.25">
      <c r="A1951" s="1093"/>
      <c r="B1951" s="1452">
        <v>1701</v>
      </c>
      <c r="C1951" s="1097">
        <v>0.98191977668887731</v>
      </c>
      <c r="D1951" s="1097">
        <v>1.0297510182516605</v>
      </c>
      <c r="E1951" s="1097">
        <v>0.98956699444585239</v>
      </c>
      <c r="F1951" s="1097">
        <v>0.98704731059790685</v>
      </c>
      <c r="G1951" s="1097">
        <v>1.0091524029277061</v>
      </c>
      <c r="H1951" s="1097">
        <v>0.99714876511035033</v>
      </c>
      <c r="I1951" s="1097">
        <v>0.98422687006456477</v>
      </c>
      <c r="K1951">
        <v>5.1083265710553283</v>
      </c>
      <c r="L1951">
        <v>0</v>
      </c>
      <c r="M1951">
        <v>3.6620613905964054E-3</v>
      </c>
      <c r="N1951">
        <v>0.30801557338275204</v>
      </c>
      <c r="O1951">
        <v>0.14771534696089225</v>
      </c>
      <c r="P1951">
        <v>1.9907169468033236E-2</v>
      </c>
      <c r="Q1951">
        <v>1.3003928644670338E-3</v>
      </c>
      <c r="R1951">
        <v>3.6558875597815245E-3</v>
      </c>
      <c r="S1951">
        <v>0.45533751863278094</v>
      </c>
      <c r="T1951">
        <v>3.9448766248668532</v>
      </c>
      <c r="U1951">
        <v>0</v>
      </c>
      <c r="V1951">
        <v>1.1304767209823806E-2</v>
      </c>
      <c r="W1951">
        <v>0.18477491537041243</v>
      </c>
      <c r="X1951">
        <v>2.4768618772375312E-2</v>
      </c>
      <c r="Y1951">
        <v>1.0331817357753967E-2</v>
      </c>
    </row>
    <row r="1952" spans="1:25" x14ac:dyDescent="0.25">
      <c r="A1952" s="1093"/>
      <c r="B1952" s="1452">
        <v>1702</v>
      </c>
      <c r="C1952" s="1097">
        <v>0.99715252426897749</v>
      </c>
      <c r="D1952" s="1097">
        <v>1.0080037512540181</v>
      </c>
      <c r="E1952" s="1097">
        <v>1.0448978366300141</v>
      </c>
      <c r="F1952" s="1097">
        <v>1.0206252135647951</v>
      </c>
      <c r="G1952" s="1097">
        <v>1.014625683117083</v>
      </c>
      <c r="H1952" s="1097">
        <v>0.9798243318448806</v>
      </c>
      <c r="I1952" s="1097">
        <v>0.99536825947887031</v>
      </c>
      <c r="K1952">
        <v>5.2734569756952503</v>
      </c>
      <c r="L1952">
        <v>0</v>
      </c>
      <c r="M1952">
        <v>3.287783405797965E-3</v>
      </c>
      <c r="N1952">
        <v>0.32573976208198918</v>
      </c>
      <c r="O1952">
        <v>0.15012518285549017</v>
      </c>
      <c r="P1952">
        <v>2.1375794523720317E-2</v>
      </c>
      <c r="Q1952">
        <v>1.3535321068146001E-3</v>
      </c>
      <c r="R1952">
        <v>3.2823278407920747E-3</v>
      </c>
      <c r="S1952">
        <v>0.46501113436523572</v>
      </c>
      <c r="T1952">
        <v>4.0720430607958864</v>
      </c>
      <c r="U1952">
        <v>0</v>
      </c>
      <c r="V1952">
        <v>1.1304767209823836E-2</v>
      </c>
      <c r="W1952">
        <v>0.1883159206247832</v>
      </c>
      <c r="X1952">
        <v>2.8917167624551245E-2</v>
      </c>
      <c r="Y1952">
        <v>9.2761090719544106E-3</v>
      </c>
    </row>
    <row r="1953" spans="1:25" x14ac:dyDescent="0.25">
      <c r="A1953" s="1093"/>
      <c r="B1953" s="1452">
        <v>1703</v>
      </c>
      <c r="C1953" s="1097">
        <v>1.0107404448276567</v>
      </c>
      <c r="D1953" s="1097">
        <v>0.99454939852504332</v>
      </c>
      <c r="E1953" s="1097">
        <v>0.96335254356986222</v>
      </c>
      <c r="F1953" s="1097">
        <v>0.9948579711350285</v>
      </c>
      <c r="G1953" s="1097">
        <v>1.012725342018842</v>
      </c>
      <c r="H1953" s="1097">
        <v>1.0025178954038458</v>
      </c>
      <c r="I1953" s="1097">
        <v>1.0230676266484477</v>
      </c>
      <c r="K1953">
        <v>5.1442578791579869</v>
      </c>
      <c r="L1953">
        <v>0</v>
      </c>
      <c r="M1953">
        <v>3.8622525303991682E-3</v>
      </c>
      <c r="N1953">
        <v>0.3005423773386855</v>
      </c>
      <c r="O1953">
        <v>0.14738463904467233</v>
      </c>
      <c r="P1953">
        <v>1.9718078353587111E-2</v>
      </c>
      <c r="Q1953">
        <v>1.2521270971166275E-3</v>
      </c>
      <c r="R1953">
        <v>3.8558268338923949E-3</v>
      </c>
      <c r="S1953">
        <v>0.46702851556509389</v>
      </c>
      <c r="T1953">
        <v>3.9794035292061536</v>
      </c>
      <c r="U1953">
        <v>0</v>
      </c>
      <c r="V1953">
        <v>1.1304767209823827E-2</v>
      </c>
      <c r="W1953">
        <v>0.18356722359982228</v>
      </c>
      <c r="X1953">
        <v>2.3166186428499078E-2</v>
      </c>
      <c r="Y1953">
        <v>1.0896861011032757E-2</v>
      </c>
    </row>
    <row r="1954" spans="1:25" x14ac:dyDescent="0.25">
      <c r="A1954" s="1093"/>
      <c r="B1954" s="1452">
        <v>1704</v>
      </c>
      <c r="C1954" s="1097">
        <v>1.0109997976793645</v>
      </c>
      <c r="D1954" s="1097">
        <v>0.95774759171670498</v>
      </c>
      <c r="E1954" s="1097">
        <v>1.0226957935876366</v>
      </c>
      <c r="F1954" s="1097">
        <v>0.97019474313504594</v>
      </c>
      <c r="G1954" s="1097">
        <v>1.0345289863651783</v>
      </c>
      <c r="H1954" s="1097">
        <v>1.0345050821954542</v>
      </c>
      <c r="I1954" s="1097">
        <v>0.99098841699177587</v>
      </c>
      <c r="K1954">
        <v>5.0509896949187612</v>
      </c>
      <c r="L1954">
        <v>0</v>
      </c>
      <c r="M1954">
        <v>3.4819421371106852E-3</v>
      </c>
      <c r="N1954">
        <v>0.32306773410613815</v>
      </c>
      <c r="O1954">
        <v>0.14426528592024299</v>
      </c>
      <c r="P1954">
        <v>2.0057126358340085E-2</v>
      </c>
      <c r="Q1954">
        <v>1.3374420124954865E-3</v>
      </c>
      <c r="R1954">
        <v>3.4761858247656639E-3</v>
      </c>
      <c r="S1954">
        <v>0.45208236627532039</v>
      </c>
      <c r="T1954">
        <v>3.8734991435407018</v>
      </c>
      <c r="U1954">
        <v>0</v>
      </c>
      <c r="V1954">
        <v>1.1304767209823825E-2</v>
      </c>
      <c r="W1954">
        <v>0.18953077538441324</v>
      </c>
      <c r="X1954">
        <v>2.6026843888604288E-2</v>
      </c>
      <c r="Y1954">
        <v>9.8239665350206961E-3</v>
      </c>
    </row>
    <row r="1955" spans="1:25" x14ac:dyDescent="0.25">
      <c r="A1955" s="1093"/>
      <c r="B1955" s="1452">
        <v>1705</v>
      </c>
      <c r="C1955" s="1097">
        <v>1.0332815035066782</v>
      </c>
      <c r="D1955" s="1097">
        <v>1.0009803256460996</v>
      </c>
      <c r="E1955" s="1097">
        <v>1.0114139382783582</v>
      </c>
      <c r="F1955" s="1097">
        <v>1.0037993449726956</v>
      </c>
      <c r="G1955" s="1097">
        <v>0.98518115682789276</v>
      </c>
      <c r="H1955" s="1097">
        <v>0.97767641653245363</v>
      </c>
      <c r="I1955" s="1097">
        <v>1.0152369546814621</v>
      </c>
      <c r="K1955">
        <v>5.1513632814606636</v>
      </c>
      <c r="L1955">
        <v>0</v>
      </c>
      <c r="M1955">
        <v>3.35162215538082E-3</v>
      </c>
      <c r="N1955">
        <v>0.30075410328507557</v>
      </c>
      <c r="O1955">
        <v>0.14379198660675263</v>
      </c>
      <c r="P1955">
        <v>2.0511186738241999E-2</v>
      </c>
      <c r="Q1955">
        <v>1.2734551989566367E-3</v>
      </c>
      <c r="R1955">
        <v>3.3459551683531126E-3</v>
      </c>
      <c r="S1955">
        <v>0.45158620130251381</v>
      </c>
      <c r="T1955">
        <v>4.0090758137961897</v>
      </c>
      <c r="U1955">
        <v>0</v>
      </c>
      <c r="V1955">
        <v>1.1304767209823811E-2</v>
      </c>
      <c r="W1955">
        <v>0.17777523108215343</v>
      </c>
      <c r="X1955">
        <v>2.5840278470628562E-2</v>
      </c>
      <c r="Y1955">
        <v>9.4559247573585605E-3</v>
      </c>
    </row>
    <row r="1956" spans="1:25" x14ac:dyDescent="0.25">
      <c r="A1956" s="1093"/>
      <c r="B1956" s="1452">
        <v>1706</v>
      </c>
      <c r="C1956" s="1097">
        <v>0.98422750283877825</v>
      </c>
      <c r="D1956" s="1097">
        <v>0.97922637171556914</v>
      </c>
      <c r="E1956" s="1097">
        <v>0.99047236114946513</v>
      </c>
      <c r="F1956" s="1097">
        <v>0.99324702428343115</v>
      </c>
      <c r="G1956" s="1097">
        <v>0.99388545375012194</v>
      </c>
      <c r="H1956" s="1097">
        <v>0.97953707758666064</v>
      </c>
      <c r="I1956" s="1097">
        <v>0.98597534717168089</v>
      </c>
      <c r="K1956">
        <v>5.144138299000506</v>
      </c>
      <c r="L1956">
        <v>0</v>
      </c>
      <c r="M1956">
        <v>3.677855788199107E-3</v>
      </c>
      <c r="N1956">
        <v>0.31016950938808757</v>
      </c>
      <c r="O1956">
        <v>0.15128347213376936</v>
      </c>
      <c r="P1956">
        <v>2.0047305972214706E-2</v>
      </c>
      <c r="Q1956">
        <v>1.3247498225274822E-3</v>
      </c>
      <c r="R1956">
        <v>3.6715831804546529E-3</v>
      </c>
      <c r="S1956">
        <v>0.45870276562968282</v>
      </c>
      <c r="T1956">
        <v>3.9695412397467056</v>
      </c>
      <c r="U1956">
        <v>0</v>
      </c>
      <c r="V1956">
        <v>1.1304767209823813E-2</v>
      </c>
      <c r="W1956">
        <v>0.18595243987851542</v>
      </c>
      <c r="X1956">
        <v>2.5442147446839723E-2</v>
      </c>
      <c r="Y1956">
        <v>1.0376174380080185E-2</v>
      </c>
    </row>
    <row r="1957" spans="1:25" x14ac:dyDescent="0.25">
      <c r="A1957" s="1093"/>
      <c r="B1957" s="1452">
        <v>1707</v>
      </c>
      <c r="C1957" s="1097">
        <v>0.99587474811854704</v>
      </c>
      <c r="D1957" s="1097">
        <v>0.97538759108355533</v>
      </c>
      <c r="E1957" s="1097">
        <v>1.0261059237989214</v>
      </c>
      <c r="F1957" s="1097">
        <v>0.95575489724393736</v>
      </c>
      <c r="G1957" s="1097">
        <v>1.0099299776452362</v>
      </c>
      <c r="H1957" s="1097">
        <v>1.0044709854419558</v>
      </c>
      <c r="I1957" s="1097">
        <v>1.0197280679071887</v>
      </c>
      <c r="K1957">
        <v>4.9809069980892318</v>
      </c>
      <c r="L1957">
        <v>0</v>
      </c>
      <c r="M1957">
        <v>3.3325031049826538E-3</v>
      </c>
      <c r="N1957">
        <v>0.31231306805673059</v>
      </c>
      <c r="O1957">
        <v>0.14313511226859607</v>
      </c>
      <c r="P1957">
        <v>1.987039272914469E-2</v>
      </c>
      <c r="Q1957">
        <v>1.3517631506032939E-3</v>
      </c>
      <c r="R1957">
        <v>3.3267435389734909E-3</v>
      </c>
      <c r="S1957">
        <v>0.45908088037419648</v>
      </c>
      <c r="T1957">
        <v>3.8154436150537463</v>
      </c>
      <c r="U1957">
        <v>0</v>
      </c>
      <c r="V1957">
        <v>1.130476720982383E-2</v>
      </c>
      <c r="W1957">
        <v>0.18280653879378267</v>
      </c>
      <c r="X1957">
        <v>2.6204988792615506E-2</v>
      </c>
      <c r="Y1957">
        <v>9.4016312259932334E-3</v>
      </c>
    </row>
    <row r="1958" spans="1:25" x14ac:dyDescent="0.25">
      <c r="A1958" s="1093"/>
      <c r="B1958" s="1452">
        <v>1708</v>
      </c>
      <c r="C1958" s="1097">
        <v>0.99694443314654935</v>
      </c>
      <c r="D1958" s="1097">
        <v>1.0082727680527466</v>
      </c>
      <c r="E1958" s="1097">
        <v>1.0426332681418922</v>
      </c>
      <c r="F1958" s="1097">
        <v>0.97643096925363426</v>
      </c>
      <c r="G1958" s="1097">
        <v>1.0279364809748046</v>
      </c>
      <c r="H1958" s="1097">
        <v>0.97871796800045896</v>
      </c>
      <c r="I1958" s="1097">
        <v>1.0030973706929402</v>
      </c>
      <c r="K1958">
        <v>5.0513475073787708</v>
      </c>
      <c r="L1958">
        <v>0</v>
      </c>
      <c r="M1958">
        <v>3.157539759106947E-3</v>
      </c>
      <c r="N1958">
        <v>0.31072650973443827</v>
      </c>
      <c r="O1958">
        <v>0.14370078440218009</v>
      </c>
      <c r="P1958">
        <v>2.0451404079863695E-2</v>
      </c>
      <c r="Q1958">
        <v>1.3511171674342702E-3</v>
      </c>
      <c r="R1958">
        <v>3.1520573831786232E-3</v>
      </c>
      <c r="S1958">
        <v>0.45144358147728253</v>
      </c>
      <c r="T1958">
        <v>3.8959907882013978</v>
      </c>
      <c r="U1958">
        <v>0</v>
      </c>
      <c r="V1958">
        <v>1.1304767209823803E-2</v>
      </c>
      <c r="W1958">
        <v>0.17990363645580976</v>
      </c>
      <c r="X1958">
        <v>2.7572446213411379E-2</v>
      </c>
      <c r="Y1958">
        <v>8.9079548130598461E-3</v>
      </c>
    </row>
    <row r="1959" spans="1:25" x14ac:dyDescent="0.25">
      <c r="A1959" s="1093"/>
      <c r="B1959" s="1452">
        <v>1709</v>
      </c>
      <c r="C1959" s="1097">
        <v>0.99196556806040137</v>
      </c>
      <c r="D1959" s="1097">
        <v>0.98958351714287485</v>
      </c>
      <c r="E1959" s="1097">
        <v>0.97800084757833106</v>
      </c>
      <c r="F1959" s="1097">
        <v>1.0045679388913684</v>
      </c>
      <c r="G1959" s="1097">
        <v>1.0033100037964993</v>
      </c>
      <c r="H1959" s="1097">
        <v>1.0308834857878266</v>
      </c>
      <c r="I1959" s="1097">
        <v>0.9851053181169358</v>
      </c>
      <c r="K1959">
        <v>5.2217297743123376</v>
      </c>
      <c r="L1959">
        <v>0</v>
      </c>
      <c r="M1959">
        <v>3.9705134877566738E-3</v>
      </c>
      <c r="N1959">
        <v>0.32272222944727813</v>
      </c>
      <c r="O1959">
        <v>0.15152953059600621</v>
      </c>
      <c r="P1959">
        <v>2.0108990198615832E-2</v>
      </c>
      <c r="Q1959">
        <v>1.2948402641765227E-3</v>
      </c>
      <c r="R1959">
        <v>3.9641514309564519E-3</v>
      </c>
      <c r="S1959">
        <v>0.46773350326893931</v>
      </c>
      <c r="T1959">
        <v>4.0163702314491543</v>
      </c>
      <c r="U1959">
        <v>0</v>
      </c>
      <c r="V1959">
        <v>1.1304767209823822E-2</v>
      </c>
      <c r="W1959">
        <v>0.19513351191667139</v>
      </c>
      <c r="X1959">
        <v>2.4335537425942043E-2</v>
      </c>
      <c r="Y1959">
        <v>1.1202994592527537E-2</v>
      </c>
    </row>
    <row r="1960" spans="1:25" x14ac:dyDescent="0.25">
      <c r="A1960" s="1093"/>
      <c r="B1960" s="1452">
        <v>1710</v>
      </c>
      <c r="C1960" s="1097">
        <v>0.99839764080182769</v>
      </c>
      <c r="D1960" s="1097">
        <v>1.0119035939889605</v>
      </c>
      <c r="E1960" s="1097">
        <v>1.0045927885150223</v>
      </c>
      <c r="F1960" s="1097">
        <v>0.98017772603113684</v>
      </c>
      <c r="G1960" s="1097">
        <v>1.0324333259248777</v>
      </c>
      <c r="H1960" s="1097">
        <v>1.0251129370404497</v>
      </c>
      <c r="I1960" s="1097">
        <v>1.0155472244254327</v>
      </c>
      <c r="K1960">
        <v>5.0972997678936833</v>
      </c>
      <c r="L1960">
        <v>0</v>
      </c>
      <c r="M1960">
        <v>3.5874246739417076E-3</v>
      </c>
      <c r="N1960">
        <v>0.31548899488345933</v>
      </c>
      <c r="O1960">
        <v>0.14487013423314418</v>
      </c>
      <c r="P1960">
        <v>2.0047642246162532E-2</v>
      </c>
      <c r="Q1960">
        <v>1.3046300180598414E-3</v>
      </c>
      <c r="R1960">
        <v>3.581500495119109E-3</v>
      </c>
      <c r="S1960">
        <v>0.46614673221786163</v>
      </c>
      <c r="T1960">
        <v>3.915569667151332</v>
      </c>
      <c r="U1960">
        <v>0</v>
      </c>
      <c r="V1960">
        <v>1.130476720982382E-2</v>
      </c>
      <c r="W1960">
        <v>0.18734205354739214</v>
      </c>
      <c r="X1960">
        <v>2.510947673143234E-2</v>
      </c>
      <c r="Y1960">
        <v>1.0121593833834255E-2</v>
      </c>
    </row>
    <row r="1961" spans="1:25" x14ac:dyDescent="0.25">
      <c r="A1961" s="1093"/>
      <c r="B1961" s="1452">
        <v>1711</v>
      </c>
      <c r="C1961" s="1097">
        <v>1.0001862385224154</v>
      </c>
      <c r="D1961" s="1097">
        <v>0.98489223618838795</v>
      </c>
      <c r="E1961" s="1097">
        <v>0.99831521273114765</v>
      </c>
      <c r="F1961" s="1097">
        <v>0.97064010129398559</v>
      </c>
      <c r="G1961" s="1097">
        <v>0.96087135820996561</v>
      </c>
      <c r="H1961" s="1097">
        <v>0.96444341102792053</v>
      </c>
      <c r="I1961" s="1097">
        <v>0.9739680793903237</v>
      </c>
      <c r="K1961">
        <v>4.9952442963269723</v>
      </c>
      <c r="L1961">
        <v>0</v>
      </c>
      <c r="M1961">
        <v>3.4175432411452946E-3</v>
      </c>
      <c r="N1961">
        <v>0.29497530151184614</v>
      </c>
      <c r="O1961">
        <v>0.14493279042494481</v>
      </c>
      <c r="P1961">
        <v>1.9639561737948893E-2</v>
      </c>
      <c r="Q1961">
        <v>1.3094105282537918E-3</v>
      </c>
      <c r="R1961">
        <v>3.4114857369162816E-3</v>
      </c>
      <c r="S1961">
        <v>0.43423213899746455</v>
      </c>
      <c r="T1961">
        <v>3.8782336994292903</v>
      </c>
      <c r="U1961">
        <v>0</v>
      </c>
      <c r="V1961">
        <v>1.1304767209823804E-2</v>
      </c>
      <c r="W1961">
        <v>0.17590474231976255</v>
      </c>
      <c r="X1961">
        <v>2.5076822524727607E-2</v>
      </c>
      <c r="Y1961">
        <v>9.6411191471403139E-3</v>
      </c>
    </row>
    <row r="1962" spans="1:25" x14ac:dyDescent="0.25">
      <c r="A1962" s="1093"/>
      <c r="B1962" s="1452">
        <v>1712</v>
      </c>
      <c r="C1962" s="1097">
        <v>0.99948658600427076</v>
      </c>
      <c r="D1962" s="1097">
        <v>0.9864496212293502</v>
      </c>
      <c r="E1962" s="1097">
        <v>0.97461812190820707</v>
      </c>
      <c r="F1962" s="1097">
        <v>1.0390118566901654</v>
      </c>
      <c r="G1962" s="1097">
        <v>0.98725939810930219</v>
      </c>
      <c r="H1962" s="1097">
        <v>0.98687605351502716</v>
      </c>
      <c r="I1962" s="1097">
        <v>1.0086140900244411</v>
      </c>
      <c r="K1962">
        <v>5.3690462689729905</v>
      </c>
      <c r="L1962">
        <v>0</v>
      </c>
      <c r="M1962">
        <v>3.9343234534686125E-3</v>
      </c>
      <c r="N1962">
        <v>0.31658092639452023</v>
      </c>
      <c r="O1962">
        <v>0.15584156129986051</v>
      </c>
      <c r="P1962">
        <v>2.0731004631124483E-2</v>
      </c>
      <c r="Q1962">
        <v>1.282946679183671E-3</v>
      </c>
      <c r="R1962">
        <v>3.9279562241460644E-3</v>
      </c>
      <c r="S1962">
        <v>0.48058794184744397</v>
      </c>
      <c r="T1962">
        <v>4.1545268824472084</v>
      </c>
      <c r="U1962">
        <v>0</v>
      </c>
      <c r="V1962">
        <v>1.1304767209823801E-2</v>
      </c>
      <c r="W1962">
        <v>0.19186545569583002</v>
      </c>
      <c r="X1962">
        <v>2.5230445822613443E-2</v>
      </c>
      <c r="Y1962">
        <v>1.1100704174708062E-2</v>
      </c>
    </row>
    <row r="1963" spans="1:25" x14ac:dyDescent="0.25">
      <c r="A1963" s="1093"/>
      <c r="B1963" s="1452">
        <v>1713</v>
      </c>
      <c r="C1963" s="1097">
        <v>0.99575483794728958</v>
      </c>
      <c r="D1963" s="1097">
        <v>1.0110056038728779</v>
      </c>
      <c r="E1963" s="1097">
        <v>0.99790030039045075</v>
      </c>
      <c r="F1963" s="1097">
        <v>0.96668468853303524</v>
      </c>
      <c r="G1963" s="1097">
        <v>0.99352802973429377</v>
      </c>
      <c r="H1963" s="1097">
        <v>1.0064344551827</v>
      </c>
      <c r="I1963" s="1097">
        <v>1.0074898181731484</v>
      </c>
      <c r="K1963">
        <v>5.014112162907634</v>
      </c>
      <c r="L1963">
        <v>0</v>
      </c>
      <c r="M1963">
        <v>3.5335747860638371E-3</v>
      </c>
      <c r="N1963">
        <v>0.30463590860393991</v>
      </c>
      <c r="O1963">
        <v>0.14348601065661265</v>
      </c>
      <c r="P1963">
        <v>1.9656281251890655E-2</v>
      </c>
      <c r="Q1963">
        <v>1.3010791599124664E-3</v>
      </c>
      <c r="R1963">
        <v>3.5275484187137713E-3</v>
      </c>
      <c r="S1963">
        <v>0.45500107570695275</v>
      </c>
      <c r="T1963">
        <v>3.8624800827457042</v>
      </c>
      <c r="U1963">
        <v>0</v>
      </c>
      <c r="V1963">
        <v>1.1304767209823813E-2</v>
      </c>
      <c r="W1963">
        <v>0.18171673848923386</v>
      </c>
      <c r="X1963">
        <v>2.456712430404593E-2</v>
      </c>
      <c r="Y1963">
        <v>9.9691211468665962E-3</v>
      </c>
    </row>
    <row r="1964" spans="1:25" x14ac:dyDescent="0.25">
      <c r="A1964" s="1093"/>
      <c r="B1964" s="1452">
        <v>1714</v>
      </c>
      <c r="C1964" s="1097">
        <v>0.9694127398374891</v>
      </c>
      <c r="D1964" s="1097">
        <v>0.96893724226512001</v>
      </c>
      <c r="E1964" s="1097">
        <v>1.0041603555107639</v>
      </c>
      <c r="F1964" s="1097">
        <v>0.990219849257859</v>
      </c>
      <c r="G1964" s="1097">
        <v>1.0021135835565649</v>
      </c>
      <c r="H1964" s="1097">
        <v>1.0241070189124104</v>
      </c>
      <c r="I1964" s="1097">
        <v>1.0408518699565867</v>
      </c>
      <c r="K1964">
        <v>5.2112259211237939</v>
      </c>
      <c r="L1964">
        <v>0</v>
      </c>
      <c r="M1964">
        <v>3.7975521693654063E-3</v>
      </c>
      <c r="N1964">
        <v>0.33354579743670099</v>
      </c>
      <c r="O1964">
        <v>0.1533815560916531</v>
      </c>
      <c r="P1964">
        <v>2.0380801940570046E-2</v>
      </c>
      <c r="Q1964">
        <v>1.3666555840965414E-3</v>
      </c>
      <c r="R1964">
        <v>3.7913383854526754E-3</v>
      </c>
      <c r="S1964">
        <v>0.50040807974421342</v>
      </c>
      <c r="T1964">
        <v>3.9557391385287817</v>
      </c>
      <c r="U1964">
        <v>0</v>
      </c>
      <c r="V1964">
        <v>1.1304767209823813E-2</v>
      </c>
      <c r="W1964">
        <v>0.19812217645629496</v>
      </c>
      <c r="X1964">
        <v>2.6268550183291921E-2</v>
      </c>
      <c r="Y1964">
        <v>1.0714611732281977E-2</v>
      </c>
    </row>
    <row r="1965" spans="1:25" x14ac:dyDescent="0.25">
      <c r="A1965" s="1093"/>
      <c r="B1965" s="1452">
        <v>1715</v>
      </c>
      <c r="C1965" s="1097">
        <v>0.99675552931879752</v>
      </c>
      <c r="D1965" s="1097">
        <v>0.98646494886535141</v>
      </c>
      <c r="E1965" s="1097">
        <v>1.043263540500829</v>
      </c>
      <c r="F1965" s="1097">
        <v>1.03424452445955</v>
      </c>
      <c r="G1965" s="1097">
        <v>0.98946837611942029</v>
      </c>
      <c r="H1965" s="1097">
        <v>0.99206430668634726</v>
      </c>
      <c r="I1965" s="1097">
        <v>0.96511446799646849</v>
      </c>
      <c r="K1965">
        <v>5.3453598780835909</v>
      </c>
      <c r="L1965">
        <v>0</v>
      </c>
      <c r="M1965">
        <v>3.4156408737641983E-3</v>
      </c>
      <c r="N1965">
        <v>0.33679209632156781</v>
      </c>
      <c r="O1965">
        <v>0.15355709951635052</v>
      </c>
      <c r="P1965">
        <v>2.1584762951707095E-2</v>
      </c>
      <c r="Q1965">
        <v>1.3639616389408778E-3</v>
      </c>
      <c r="R1965">
        <v>3.4101166724823033E-3</v>
      </c>
      <c r="S1965">
        <v>0.46031909082831235</v>
      </c>
      <c r="T1965">
        <v>4.1265885434188379</v>
      </c>
      <c r="U1965">
        <v>0</v>
      </c>
      <c r="V1965">
        <v>1.1304767209823822E-2</v>
      </c>
      <c r="W1965">
        <v>0.19491434753200312</v>
      </c>
      <c r="X1965">
        <v>2.930348280079878E-2</v>
      </c>
      <c r="Y1965">
        <v>9.6372500665267667E-3</v>
      </c>
    </row>
    <row r="1966" spans="1:25" x14ac:dyDescent="0.25">
      <c r="A1966" s="1093"/>
      <c r="B1966" s="1452">
        <v>1716</v>
      </c>
      <c r="C1966" s="1097">
        <v>0.99791003590066829</v>
      </c>
      <c r="D1966" s="1097">
        <v>1.0374389779519066</v>
      </c>
      <c r="E1966" s="1097">
        <v>0.99361147758023338</v>
      </c>
      <c r="F1966" s="1097">
        <v>1.0393388164653417</v>
      </c>
      <c r="G1966" s="1097">
        <v>0.98723393752259181</v>
      </c>
      <c r="H1966" s="1097">
        <v>1.0185752453995593</v>
      </c>
      <c r="I1966" s="1097">
        <v>0.97865932410251455</v>
      </c>
      <c r="K1966">
        <v>5.3659074157224387</v>
      </c>
      <c r="L1966">
        <v>0</v>
      </c>
      <c r="M1966">
        <v>3.8312411558050646E-3</v>
      </c>
      <c r="N1966">
        <v>0.32617127667207912</v>
      </c>
      <c r="O1966">
        <v>0.1524784191223395</v>
      </c>
      <c r="P1966">
        <v>2.0971668113107987E-2</v>
      </c>
      <c r="Q1966">
        <v>1.2802079514890961E-3</v>
      </c>
      <c r="R1966">
        <v>3.825235603035011E-3</v>
      </c>
      <c r="S1966">
        <v>0.46867867799204121</v>
      </c>
      <c r="T1966">
        <v>4.1533372951205676</v>
      </c>
      <c r="U1966">
        <v>0</v>
      </c>
      <c r="V1966">
        <v>1.1304767209823813E-2</v>
      </c>
      <c r="W1966">
        <v>0.19512911616738066</v>
      </c>
      <c r="X1966">
        <v>2.575158506928029E-2</v>
      </c>
      <c r="Y1966">
        <v>1.0810407857099798E-2</v>
      </c>
    </row>
    <row r="1967" spans="1:25" x14ac:dyDescent="0.25">
      <c r="A1967" s="1093"/>
      <c r="B1967" s="1452">
        <v>1717</v>
      </c>
      <c r="C1967" s="1097">
        <v>0.97933010192451597</v>
      </c>
      <c r="D1967" s="1097">
        <v>1.0288977019152672</v>
      </c>
      <c r="E1967" s="1097">
        <v>1.0122547658418117</v>
      </c>
      <c r="F1967" s="1097">
        <v>1.006024628214693</v>
      </c>
      <c r="G1967" s="1097">
        <v>1.0349273223299118</v>
      </c>
      <c r="H1967" s="1097">
        <v>0.99013026493212075</v>
      </c>
      <c r="I1967" s="1097">
        <v>0.97156851593318283</v>
      </c>
      <c r="K1967">
        <v>5.2019426857921101</v>
      </c>
      <c r="L1967">
        <v>0</v>
      </c>
      <c r="M1967">
        <v>3.5436664845229274E-3</v>
      </c>
      <c r="N1967">
        <v>0.31878746289413767</v>
      </c>
      <c r="O1967">
        <v>0.15036218075649518</v>
      </c>
      <c r="P1967">
        <v>2.0587744330343903E-2</v>
      </c>
      <c r="Q1967">
        <v>1.3298577059655842E-3</v>
      </c>
      <c r="R1967">
        <v>3.5377632138871786E-3</v>
      </c>
      <c r="S1967">
        <v>0.45671106034295417</v>
      </c>
      <c r="T1967">
        <v>4.017857764006397</v>
      </c>
      <c r="U1967">
        <v>0</v>
      </c>
      <c r="V1967">
        <v>1.1304767209823806E-2</v>
      </c>
      <c r="W1967">
        <v>0.1883285176597182</v>
      </c>
      <c r="X1967">
        <v>2.6681245219024017E-2</v>
      </c>
      <c r="Y1967">
        <v>9.9979889378893627E-3</v>
      </c>
    </row>
    <row r="1968" spans="1:25" x14ac:dyDescent="0.25">
      <c r="A1968" s="1093"/>
      <c r="B1968" s="1452">
        <v>1718</v>
      </c>
      <c r="C1968" s="1097">
        <v>1.0248735687286146</v>
      </c>
      <c r="D1968" s="1097">
        <v>1.0223282170960544</v>
      </c>
      <c r="E1968" s="1097">
        <v>1.0371140864040738</v>
      </c>
      <c r="F1968" s="1097">
        <v>0.9953526178459795</v>
      </c>
      <c r="G1968" s="1097">
        <v>0.96382502666121073</v>
      </c>
      <c r="H1968" s="1097">
        <v>1.0063879370702467</v>
      </c>
      <c r="I1968" s="1097">
        <v>0.99842117544772824</v>
      </c>
      <c r="K1968">
        <v>5.1272423025930216</v>
      </c>
      <c r="L1968">
        <v>0</v>
      </c>
      <c r="M1968">
        <v>3.2393059460391494E-3</v>
      </c>
      <c r="N1968">
        <v>0.31364256428827886</v>
      </c>
      <c r="O1968">
        <v>0.14185459719350302</v>
      </c>
      <c r="P1968">
        <v>2.0710000947044123E-2</v>
      </c>
      <c r="Q1968">
        <v>1.3010253058716016E-3</v>
      </c>
      <c r="R1968">
        <v>3.2339400444498056E-3</v>
      </c>
      <c r="S1968">
        <v>0.44795494672291802</v>
      </c>
      <c r="T1968">
        <v>3.9721654875062429</v>
      </c>
      <c r="U1968">
        <v>0</v>
      </c>
      <c r="V1968">
        <v>1.1304767209823834E-2</v>
      </c>
      <c r="W1968">
        <v>0.18225256165080617</v>
      </c>
      <c r="X1968">
        <v>2.6922356204856127E-2</v>
      </c>
      <c r="Y1968">
        <v>9.1393614652576661E-3</v>
      </c>
    </row>
    <row r="1969" spans="1:25" x14ac:dyDescent="0.25">
      <c r="A1969" s="1093"/>
      <c r="B1969" s="1452">
        <v>1719</v>
      </c>
      <c r="C1969" s="1097">
        <v>1.0074686108801518</v>
      </c>
      <c r="D1969" s="1097">
        <v>0.9817962880804092</v>
      </c>
      <c r="E1969" s="1097">
        <v>1.0250956489080352</v>
      </c>
      <c r="F1969" s="1097">
        <v>1.0065459422767589</v>
      </c>
      <c r="G1969" s="1097">
        <v>0.96954100925022901</v>
      </c>
      <c r="H1969" s="1097">
        <v>1.0118019102656854</v>
      </c>
      <c r="I1969" s="1097">
        <v>1.0039993374857707</v>
      </c>
      <c r="K1969">
        <v>5.2222502035076275</v>
      </c>
      <c r="L1969">
        <v>0</v>
      </c>
      <c r="M1969">
        <v>3.4925353409630297E-3</v>
      </c>
      <c r="N1969">
        <v>0.3263667400226189</v>
      </c>
      <c r="O1969">
        <v>0.14864541145342008</v>
      </c>
      <c r="P1969">
        <v>2.0833673082527517E-2</v>
      </c>
      <c r="Q1969">
        <v>1.3315766407706727E-3</v>
      </c>
      <c r="R1969">
        <v>3.4868448087757896E-3</v>
      </c>
      <c r="S1969">
        <v>0.46727695721594575</v>
      </c>
      <c r="T1969">
        <v>4.0183313200737363</v>
      </c>
      <c r="U1969">
        <v>0</v>
      </c>
      <c r="V1969">
        <v>1.130476720982381E-2</v>
      </c>
      <c r="W1969">
        <v>0.19116083405062492</v>
      </c>
      <c r="X1969">
        <v>2.7150524652737474E-2</v>
      </c>
      <c r="Y1969">
        <v>9.8540896376082439E-3</v>
      </c>
    </row>
    <row r="1970" spans="1:25" x14ac:dyDescent="0.25">
      <c r="A1970" s="1093"/>
      <c r="B1970" s="1452">
        <v>1720</v>
      </c>
      <c r="C1970" s="1097">
        <v>1.0060345139003493</v>
      </c>
      <c r="D1970" s="1097">
        <v>0.98036098736931065</v>
      </c>
      <c r="E1970" s="1097">
        <v>0.99495481996994117</v>
      </c>
      <c r="F1970" s="1097">
        <v>1.0192732636756174</v>
      </c>
      <c r="G1970" s="1097">
        <v>1.0325581857670814</v>
      </c>
      <c r="H1970" s="1097">
        <v>0.98879998734985985</v>
      </c>
      <c r="I1970" s="1097">
        <v>0.99999053112640413</v>
      </c>
      <c r="K1970">
        <v>5.264844669071266</v>
      </c>
      <c r="L1970">
        <v>0</v>
      </c>
      <c r="M1970">
        <v>3.6904860097793815E-3</v>
      </c>
      <c r="N1970">
        <v>0.31541677957413283</v>
      </c>
      <c r="O1970">
        <v>0.1516846690046294</v>
      </c>
      <c r="P1970">
        <v>2.0619971561811147E-2</v>
      </c>
      <c r="Q1970">
        <v>1.3004434364259825E-3</v>
      </c>
      <c r="R1970">
        <v>3.6844097743747098E-3</v>
      </c>
      <c r="S1970">
        <v>0.46674832924165643</v>
      </c>
      <c r="T1970">
        <v>4.0729802820093246</v>
      </c>
      <c r="U1970">
        <v>0</v>
      </c>
      <c r="V1970">
        <v>1.1304767209823822E-2</v>
      </c>
      <c r="W1970">
        <v>0.18852342202239988</v>
      </c>
      <c r="X1970">
        <v>2.5859657932700609E-2</v>
      </c>
      <c r="Y1970">
        <v>1.0412423313762386E-2</v>
      </c>
    </row>
    <row r="1971" spans="1:25" x14ac:dyDescent="0.25">
      <c r="A1971" s="1093"/>
      <c r="B1971" s="1452">
        <v>1721</v>
      </c>
      <c r="C1971" s="1097">
        <v>1.0104755092528781</v>
      </c>
      <c r="D1971" s="1097">
        <v>0.98159160767979325</v>
      </c>
      <c r="E1971" s="1097">
        <v>0.99448485257557384</v>
      </c>
      <c r="F1971" s="1097">
        <v>1.0460037080835449</v>
      </c>
      <c r="G1971" s="1097">
        <v>1.0087834635743986</v>
      </c>
      <c r="H1971" s="1097">
        <v>1.0275988573664954</v>
      </c>
      <c r="I1971" s="1097">
        <v>1.0004759085988555</v>
      </c>
      <c r="K1971">
        <v>5.42299046181388</v>
      </c>
      <c r="L1971">
        <v>0</v>
      </c>
      <c r="M1971">
        <v>3.9203233182395179E-3</v>
      </c>
      <c r="N1971">
        <v>0.33462836389860634</v>
      </c>
      <c r="O1971">
        <v>0.15491436279304374</v>
      </c>
      <c r="P1971">
        <v>2.1168615950001982E-2</v>
      </c>
      <c r="Q1971">
        <v>1.2935556466766342E-3</v>
      </c>
      <c r="R1971">
        <v>3.9142708400947065E-3</v>
      </c>
      <c r="S1971">
        <v>0.48260801211050913</v>
      </c>
      <c r="T1971">
        <v>4.1798560756408802</v>
      </c>
      <c r="U1971">
        <v>0</v>
      </c>
      <c r="V1971">
        <v>1.1304767209823817E-2</v>
      </c>
      <c r="W1971">
        <v>0.20006988171087026</v>
      </c>
      <c r="X1971">
        <v>2.6090851097059223E-2</v>
      </c>
      <c r="Y1971">
        <v>1.1062028234549281E-2</v>
      </c>
    </row>
    <row r="1972" spans="1:25" x14ac:dyDescent="0.25">
      <c r="A1972" s="1093"/>
      <c r="B1972" s="1452">
        <v>1722</v>
      </c>
      <c r="C1972" s="1097">
        <v>0.9912917345568758</v>
      </c>
      <c r="D1972" s="1097">
        <v>0.99213672265700037</v>
      </c>
      <c r="E1972" s="1097">
        <v>1.0001887261151228</v>
      </c>
      <c r="F1972" s="1097">
        <v>1.013594193928449</v>
      </c>
      <c r="G1972" s="1097">
        <v>0.9971966610204841</v>
      </c>
      <c r="H1972" s="1097">
        <v>0.96263909379309742</v>
      </c>
      <c r="I1972" s="1097">
        <v>0.98901885165932624</v>
      </c>
      <c r="K1972">
        <v>5.2260456257996344</v>
      </c>
      <c r="L1972">
        <v>0</v>
      </c>
      <c r="M1972">
        <v>3.5691774705377136E-3</v>
      </c>
      <c r="N1972">
        <v>0.30980040897865879</v>
      </c>
      <c r="O1972">
        <v>0.15220404807764726</v>
      </c>
      <c r="P1972">
        <v>2.0564914873545927E-2</v>
      </c>
      <c r="Q1972">
        <v>1.3194099503672752E-3</v>
      </c>
      <c r="R1972">
        <v>3.5631074985795065E-3</v>
      </c>
      <c r="S1972">
        <v>0.46024196016812896</v>
      </c>
      <c r="T1972">
        <v>4.0496200918538516</v>
      </c>
      <c r="U1972">
        <v>0</v>
      </c>
      <c r="V1972">
        <v>1.1304767209823813E-2</v>
      </c>
      <c r="W1972">
        <v>0.18451159890559898</v>
      </c>
      <c r="X1972">
        <v>2.6414881932592227E-2</v>
      </c>
      <c r="Y1972">
        <v>1.0069613821374482E-2</v>
      </c>
    </row>
    <row r="1973" spans="1:25" x14ac:dyDescent="0.25">
      <c r="A1973" s="1093"/>
      <c r="B1973" s="1452">
        <v>1723</v>
      </c>
      <c r="C1973" s="1097">
        <v>1.0089726792634328</v>
      </c>
      <c r="D1973" s="1097">
        <v>1.0157378183923615</v>
      </c>
      <c r="E1973" s="1097">
        <v>1.0186464883956854</v>
      </c>
      <c r="F1973" s="1097">
        <v>0.98110108481745739</v>
      </c>
      <c r="G1973" s="1097">
        <v>0.98732736259819898</v>
      </c>
      <c r="H1973" s="1097">
        <v>1.0265442493509593</v>
      </c>
      <c r="I1973" s="1097">
        <v>0.99544436910703904</v>
      </c>
      <c r="K1973">
        <v>5.0832785959136713</v>
      </c>
      <c r="L1973">
        <v>0</v>
      </c>
      <c r="M1973">
        <v>3.4489569837165431E-3</v>
      </c>
      <c r="N1973">
        <v>0.31619835489383508</v>
      </c>
      <c r="O1973">
        <v>0.14289181834246167</v>
      </c>
      <c r="P1973">
        <v>2.0202309943400425E-2</v>
      </c>
      <c r="Q1973">
        <v>1.3045084243465709E-3</v>
      </c>
      <c r="R1973">
        <v>3.4432747518496057E-3</v>
      </c>
      <c r="S1973">
        <v>0.45240580666598162</v>
      </c>
      <c r="T1973">
        <v>3.9175366033234091</v>
      </c>
      <c r="U1973">
        <v>0</v>
      </c>
      <c r="V1973">
        <v>1.1304767209823817E-2</v>
      </c>
      <c r="W1973">
        <v>0.18600209450707944</v>
      </c>
      <c r="X1973">
        <v>2.5707057504882662E-2</v>
      </c>
      <c r="Y1973">
        <v>9.7309573303183648E-3</v>
      </c>
    </row>
    <row r="1974" spans="1:25" x14ac:dyDescent="0.25">
      <c r="A1974" s="1093"/>
      <c r="B1974" s="1452">
        <v>1724</v>
      </c>
      <c r="C1974" s="1097">
        <v>0.97020322352076127</v>
      </c>
      <c r="D1974" s="1097">
        <v>0.99354742809219487</v>
      </c>
      <c r="E1974" s="1097">
        <v>1.0115860060921937</v>
      </c>
      <c r="F1974" s="1097">
        <v>1.0155965569724368</v>
      </c>
      <c r="G1974" s="1097">
        <v>1.0228133680480012</v>
      </c>
      <c r="H1974" s="1097">
        <v>0.9626840312758147</v>
      </c>
      <c r="I1974" s="1097">
        <v>0.98573785568762051</v>
      </c>
      <c r="K1974">
        <v>5.2612902618547821</v>
      </c>
      <c r="L1974">
        <v>0</v>
      </c>
      <c r="M1974">
        <v>3.5653545231328033E-3</v>
      </c>
      <c r="N1974">
        <v>0.32009409715491494</v>
      </c>
      <c r="O1974">
        <v>0.1553980851103241</v>
      </c>
      <c r="P1974">
        <v>2.0811284625461602E-2</v>
      </c>
      <c r="Q1974">
        <v>1.3604981823865671E-3</v>
      </c>
      <c r="R1974">
        <v>3.559303270487907E-3</v>
      </c>
      <c r="S1974">
        <v>0.46934045922233286</v>
      </c>
      <c r="T1974">
        <v>4.056170896055594</v>
      </c>
      <c r="U1974">
        <v>0</v>
      </c>
      <c r="V1974">
        <v>1.1304767209823817E-2</v>
      </c>
      <c r="W1974">
        <v>0.18918523604017495</v>
      </c>
      <c r="X1974">
        <v>2.7572126724068714E-2</v>
      </c>
      <c r="Y1974">
        <v>1.0058862782348547E-2</v>
      </c>
    </row>
    <row r="1975" spans="1:25" x14ac:dyDescent="0.25">
      <c r="A1975" s="1093"/>
      <c r="B1975" s="1452">
        <v>1725</v>
      </c>
      <c r="C1975" s="1097">
        <v>1.0047541508465012</v>
      </c>
      <c r="D1975" s="1097">
        <v>0.97073439912716863</v>
      </c>
      <c r="E1975" s="1097">
        <v>1.006183786599512</v>
      </c>
      <c r="F1975" s="1097">
        <v>0.99564268286261315</v>
      </c>
      <c r="G1975" s="1097">
        <v>1.0320340978445111</v>
      </c>
      <c r="H1975" s="1097">
        <v>0.99059987148336626</v>
      </c>
      <c r="I1975" s="1097">
        <v>1.0070942990953564</v>
      </c>
      <c r="K1975">
        <v>5.1566415781319517</v>
      </c>
      <c r="L1975">
        <v>0</v>
      </c>
      <c r="M1975">
        <v>3.5456796813086453E-3</v>
      </c>
      <c r="N1975">
        <v>0.31328088603555265</v>
      </c>
      <c r="O1975">
        <v>0.14863018279136495</v>
      </c>
      <c r="P1975">
        <v>2.0337227632045686E-2</v>
      </c>
      <c r="Q1975">
        <v>1.3198869694666705E-3</v>
      </c>
      <c r="R1975">
        <v>3.5397143982439832E-3</v>
      </c>
      <c r="S1975">
        <v>0.46276837882814681</v>
      </c>
      <c r="T1975">
        <v>3.9771499978977172</v>
      </c>
      <c r="U1975">
        <v>0</v>
      </c>
      <c r="V1975">
        <v>1.1304767209823804E-2</v>
      </c>
      <c r="W1975">
        <v>0.18583164027082194</v>
      </c>
      <c r="X1975">
        <v>2.6021072646231196E-2</v>
      </c>
      <c r="Y1975">
        <v>1.0003503133847571E-2</v>
      </c>
    </row>
    <row r="1976" spans="1:25" x14ac:dyDescent="0.25">
      <c r="A1976" s="1093"/>
      <c r="B1976" s="1452">
        <v>1726</v>
      </c>
      <c r="C1976" s="1097">
        <v>0.9726526162800645</v>
      </c>
      <c r="D1976" s="1097">
        <v>0.9577168776444086</v>
      </c>
      <c r="E1976" s="1097">
        <v>1.0078259928501243</v>
      </c>
      <c r="F1976" s="1097">
        <v>0.98076802133359098</v>
      </c>
      <c r="G1976" s="1097">
        <v>1.0034636226199862</v>
      </c>
      <c r="H1976" s="1097">
        <v>1.0051869988503463</v>
      </c>
      <c r="I1976" s="1097">
        <v>0.98756104588317672</v>
      </c>
      <c r="K1976">
        <v>5.1246855921929377</v>
      </c>
      <c r="L1976">
        <v>0</v>
      </c>
      <c r="M1976">
        <v>3.6683067871985243E-3</v>
      </c>
      <c r="N1976">
        <v>0.32569556310264081</v>
      </c>
      <c r="O1976">
        <v>0.15201386143046167</v>
      </c>
      <c r="P1976">
        <v>2.0108473212777277E-2</v>
      </c>
      <c r="Q1976">
        <v>1.3727536954011197E-3</v>
      </c>
      <c r="R1976">
        <v>3.6621326703534709E-3</v>
      </c>
      <c r="S1976">
        <v>0.46696479896968163</v>
      </c>
      <c r="T1976">
        <v>3.9175307847163006</v>
      </c>
      <c r="U1976">
        <v>0</v>
      </c>
      <c r="V1976">
        <v>1.1304767209823818E-2</v>
      </c>
      <c r="W1976">
        <v>0.19298246681512862</v>
      </c>
      <c r="X1976">
        <v>2.6368830640542296E-2</v>
      </c>
      <c r="Y1976">
        <v>1.0349466517021929E-2</v>
      </c>
    </row>
    <row r="1977" spans="1:25" x14ac:dyDescent="0.25">
      <c r="A1977" s="1093"/>
      <c r="B1977" s="1452">
        <v>1727</v>
      </c>
      <c r="C1977" s="1097">
        <v>0.9824662464235</v>
      </c>
      <c r="D1977" s="1097">
        <v>0.98818089960278255</v>
      </c>
      <c r="E1977" s="1097">
        <v>0.99911773504688695</v>
      </c>
      <c r="F1977" s="1097">
        <v>0.98612481288387177</v>
      </c>
      <c r="G1977" s="1097">
        <v>0.9733340542218214</v>
      </c>
      <c r="H1977" s="1097">
        <v>0.97356818528196543</v>
      </c>
      <c r="I1977" s="1097">
        <v>1.004395333831049</v>
      </c>
      <c r="K1977">
        <v>5.112762646170939</v>
      </c>
      <c r="L1977">
        <v>0</v>
      </c>
      <c r="M1977">
        <v>3.5572627375682645E-3</v>
      </c>
      <c r="N1977">
        <v>0.30777941059006514</v>
      </c>
      <c r="O1977">
        <v>0.14967838580554635</v>
      </c>
      <c r="P1977">
        <v>2.0064395550033309E-2</v>
      </c>
      <c r="Q1977">
        <v>1.3321677450835278E-3</v>
      </c>
      <c r="R1977">
        <v>3.5511145935951329E-3</v>
      </c>
      <c r="S1977">
        <v>0.46333960224554582</v>
      </c>
      <c r="T1977">
        <v>3.9400041004330011</v>
      </c>
      <c r="U1977">
        <v>0</v>
      </c>
      <c r="V1977">
        <v>1.1304767209823803E-2</v>
      </c>
      <c r="W1977">
        <v>0.18344069600355548</v>
      </c>
      <c r="X1977">
        <v>2.5789547775985043E-2</v>
      </c>
      <c r="Y1977">
        <v>1.0035720956273662E-2</v>
      </c>
    </row>
    <row r="1978" spans="1:25" x14ac:dyDescent="0.25">
      <c r="A1978" s="1093"/>
      <c r="B1978" s="1452">
        <v>1728</v>
      </c>
      <c r="C1978" s="1097">
        <v>0.96736937438171156</v>
      </c>
      <c r="D1978" s="1097">
        <v>0.96274431891193057</v>
      </c>
      <c r="E1978" s="1097">
        <v>1.0027798774428267</v>
      </c>
      <c r="F1978" s="1097">
        <v>1.0308896391771605</v>
      </c>
      <c r="G1978" s="1097">
        <v>0.96625744661828361</v>
      </c>
      <c r="H1978" s="1097">
        <v>0.96425839230823762</v>
      </c>
      <c r="I1978" s="1097">
        <v>0.99237040063198745</v>
      </c>
      <c r="K1978">
        <v>5.3571040273622188</v>
      </c>
      <c r="L1978">
        <v>0</v>
      </c>
      <c r="M1978">
        <v>3.7505692257338982E-3</v>
      </c>
      <c r="N1978">
        <v>0.32806399303880135</v>
      </c>
      <c r="O1978">
        <v>0.16047097402795302</v>
      </c>
      <c r="P1978">
        <v>2.1022240998137775E-2</v>
      </c>
      <c r="Q1978">
        <v>1.3714395080122361E-3</v>
      </c>
      <c r="R1978">
        <v>3.7443081398212908E-3</v>
      </c>
      <c r="S1978">
        <v>0.48310627785297117</v>
      </c>
      <c r="T1978">
        <v>4.118385565436057</v>
      </c>
      <c r="U1978">
        <v>0</v>
      </c>
      <c r="V1978">
        <v>1.1304767209823824E-2</v>
      </c>
      <c r="W1978">
        <v>0.19504752366863901</v>
      </c>
      <c r="X1978">
        <v>2.7755806040194904E-2</v>
      </c>
      <c r="Y1978">
        <v>1.058170066753829E-2</v>
      </c>
    </row>
    <row r="1979" spans="1:25" x14ac:dyDescent="0.25">
      <c r="A1979" s="1093"/>
      <c r="B1979" s="1452">
        <v>1729</v>
      </c>
      <c r="C1979" s="1097">
        <v>1.0265440041060505</v>
      </c>
      <c r="D1979" s="1097">
        <v>0.98490193994836983</v>
      </c>
      <c r="E1979" s="1097">
        <v>1.0171590127355139</v>
      </c>
      <c r="F1979" s="1097">
        <v>0.96584358966581418</v>
      </c>
      <c r="G1979" s="1097">
        <v>1.0107247171171729</v>
      </c>
      <c r="H1979" s="1097">
        <v>1.0134295515363507</v>
      </c>
      <c r="I1979" s="1097">
        <v>1.0047550914845547</v>
      </c>
      <c r="K1979">
        <v>4.9925468543378919</v>
      </c>
      <c r="L1979">
        <v>0</v>
      </c>
      <c r="M1979">
        <v>3.3460295050759914E-3</v>
      </c>
      <c r="N1979">
        <v>0.30540020521859179</v>
      </c>
      <c r="O1979">
        <v>0.14001652980095208</v>
      </c>
      <c r="P1979">
        <v>1.9858974157022639E-2</v>
      </c>
      <c r="Q1979">
        <v>1.2964530439694088E-3</v>
      </c>
      <c r="R1979">
        <v>3.3403574504923517E-3</v>
      </c>
      <c r="S1979">
        <v>0.44339522863861092</v>
      </c>
      <c r="T1979">
        <v>3.8567922804211285</v>
      </c>
      <c r="U1979">
        <v>0</v>
      </c>
      <c r="V1979">
        <v>1.1304767209823815E-2</v>
      </c>
      <c r="W1979">
        <v>0.17982866066356035</v>
      </c>
      <c r="X1979">
        <v>2.5219322059496521E-2</v>
      </c>
      <c r="Y1979">
        <v>9.4401051793185087E-3</v>
      </c>
    </row>
    <row r="1980" spans="1:25" x14ac:dyDescent="0.25">
      <c r="A1980" s="1093"/>
      <c r="B1980" s="1452">
        <v>1730</v>
      </c>
      <c r="C1980" s="1097">
        <v>0.99312117232399866</v>
      </c>
      <c r="D1980" s="1097">
        <v>0.95328372155810204</v>
      </c>
      <c r="E1980" s="1097">
        <v>0.9976879008898063</v>
      </c>
      <c r="F1980" s="1097">
        <v>1.006738667562844</v>
      </c>
      <c r="G1980" s="1097">
        <v>1.0124231220970057</v>
      </c>
      <c r="H1980" s="1097">
        <v>0.9919469380365723</v>
      </c>
      <c r="I1980" s="1097">
        <v>0.99026947800132215</v>
      </c>
      <c r="K1980">
        <v>5.2246306681780874</v>
      </c>
      <c r="L1980">
        <v>0</v>
      </c>
      <c r="M1980">
        <v>3.7245723500355546E-3</v>
      </c>
      <c r="N1980">
        <v>0.32091419329581244</v>
      </c>
      <c r="O1980">
        <v>0.15339863838347403</v>
      </c>
      <c r="P1980">
        <v>2.0432512357631796E-2</v>
      </c>
      <c r="Q1980">
        <v>1.3353259606166546E-3</v>
      </c>
      <c r="R1980">
        <v>3.7183834633190099E-3</v>
      </c>
      <c r="S1980">
        <v>0.46659585747292254</v>
      </c>
      <c r="T1980">
        <v>4.0225464184109914</v>
      </c>
      <c r="U1980">
        <v>0</v>
      </c>
      <c r="V1980">
        <v>1.130476720982381E-2</v>
      </c>
      <c r="W1980">
        <v>0.19145433462782949</v>
      </c>
      <c r="X1980">
        <v>2.6146373793213423E-2</v>
      </c>
      <c r="Y1980">
        <v>1.0508435552487426E-2</v>
      </c>
    </row>
    <row r="1981" spans="1:25" x14ac:dyDescent="0.25">
      <c r="A1981" s="1093"/>
      <c r="B1981" s="1452">
        <v>1731</v>
      </c>
      <c r="C1981" s="1097">
        <v>1.010750913871526</v>
      </c>
      <c r="D1981" s="1097">
        <v>1.0013527097116128</v>
      </c>
      <c r="E1981" s="1097">
        <v>0.99694234366415035</v>
      </c>
      <c r="F1981" s="1097">
        <v>0.99098574650377458</v>
      </c>
      <c r="G1981" s="1097">
        <v>1.0087960469935402</v>
      </c>
      <c r="H1981" s="1097">
        <v>0.97345690172161092</v>
      </c>
      <c r="I1981" s="1097">
        <v>1.0074879693634262</v>
      </c>
      <c r="K1981">
        <v>5.1018169953813528</v>
      </c>
      <c r="L1981">
        <v>0</v>
      </c>
      <c r="M1981">
        <v>3.471846185073884E-3</v>
      </c>
      <c r="N1981">
        <v>0.29846127801178551</v>
      </c>
      <c r="O1981">
        <v>0.14549397296889044</v>
      </c>
      <c r="P1981">
        <v>2.0071613032865795E-2</v>
      </c>
      <c r="Q1981">
        <v>1.285646158051763E-3</v>
      </c>
      <c r="R1981">
        <v>3.4658743711096858E-3</v>
      </c>
      <c r="S1981">
        <v>0.45242043605110166</v>
      </c>
      <c r="T1981">
        <v>3.9596965924596708</v>
      </c>
      <c r="U1981">
        <v>0</v>
      </c>
      <c r="V1981">
        <v>1.1304767209823822E-2</v>
      </c>
      <c r="W1981">
        <v>0.17814905125436697</v>
      </c>
      <c r="X1981">
        <v>2.5144784469011333E-2</v>
      </c>
      <c r="Y1981">
        <v>9.7948255797466605E-3</v>
      </c>
    </row>
    <row r="1982" spans="1:25" x14ac:dyDescent="0.25">
      <c r="A1982" s="1093"/>
      <c r="B1982" s="1452">
        <v>1732</v>
      </c>
      <c r="C1982" s="1097">
        <v>1.036656016379508</v>
      </c>
      <c r="D1982" s="1097">
        <v>0.99946920913722115</v>
      </c>
      <c r="E1982" s="1097">
        <v>1.0320984399878828</v>
      </c>
      <c r="F1982" s="1097">
        <v>1.025474361232688</v>
      </c>
      <c r="G1982" s="1097">
        <v>1.0181550804716677</v>
      </c>
      <c r="H1982" s="1097">
        <v>1.0213859162754093</v>
      </c>
      <c r="I1982" s="1097">
        <v>1.0174732633824013</v>
      </c>
      <c r="K1982">
        <v>5.2931415674153497</v>
      </c>
      <c r="L1982">
        <v>0</v>
      </c>
      <c r="M1982">
        <v>3.4149022504827943E-3</v>
      </c>
      <c r="N1982">
        <v>0.32580300288758962</v>
      </c>
      <c r="O1982">
        <v>0.14593740926596036</v>
      </c>
      <c r="P1982">
        <v>2.1289398077042838E-2</v>
      </c>
      <c r="Q1982">
        <v>1.2924787440822256E-3</v>
      </c>
      <c r="R1982">
        <v>3.4094919922726796E-3</v>
      </c>
      <c r="S1982">
        <v>0.46763847112764151</v>
      </c>
      <c r="T1982">
        <v>4.0930078904617178</v>
      </c>
      <c r="U1982">
        <v>0</v>
      </c>
      <c r="V1982">
        <v>1.1304767209823827E-2</v>
      </c>
      <c r="W1982">
        <v>0.18994678380008195</v>
      </c>
      <c r="X1982">
        <v>2.7291291427052011E-2</v>
      </c>
      <c r="Y1982">
        <v>9.6354846725622886E-3</v>
      </c>
    </row>
    <row r="1983" spans="1:25" x14ac:dyDescent="0.25">
      <c r="A1983" s="1093"/>
      <c r="B1983" s="1452">
        <v>1733</v>
      </c>
      <c r="C1983" s="1097">
        <v>0.992414856007788</v>
      </c>
      <c r="D1983" s="1097">
        <v>1.034046616701092</v>
      </c>
      <c r="E1983" s="1097">
        <v>1.0005988839627022</v>
      </c>
      <c r="F1983" s="1097">
        <v>1.0375944116880673</v>
      </c>
      <c r="G1983" s="1097">
        <v>0.998213169579102</v>
      </c>
      <c r="H1983" s="1097">
        <v>0.96333633970242349</v>
      </c>
      <c r="I1983" s="1097">
        <v>0.9837313077136649</v>
      </c>
      <c r="K1983">
        <v>5.3294170112111994</v>
      </c>
      <c r="L1983">
        <v>0</v>
      </c>
      <c r="M1983">
        <v>3.5890151797383558E-3</v>
      </c>
      <c r="N1983">
        <v>0.3119137518341476</v>
      </c>
      <c r="O1983">
        <v>0.15306542024810513</v>
      </c>
      <c r="P1983">
        <v>2.1019033925083964E-2</v>
      </c>
      <c r="Q1983">
        <v>1.2967407835765962E-3</v>
      </c>
      <c r="R1983">
        <v>3.583056743111128E-3</v>
      </c>
      <c r="S1983">
        <v>0.4628346958880909</v>
      </c>
      <c r="T1983">
        <v>4.1454549099281159</v>
      </c>
      <c r="U1983">
        <v>0</v>
      </c>
      <c r="V1983">
        <v>1.1304767209823811E-2</v>
      </c>
      <c r="W1983">
        <v>0.18571879078673126</v>
      </c>
      <c r="X1983">
        <v>2.6688867134676827E-2</v>
      </c>
      <c r="Y1983">
        <v>1.0125991909473617E-2</v>
      </c>
    </row>
    <row r="1984" spans="1:25" x14ac:dyDescent="0.25">
      <c r="A1984" s="1093"/>
      <c r="B1984" s="1452">
        <v>1734</v>
      </c>
      <c r="C1984" s="1097">
        <v>0.99466526558016732</v>
      </c>
      <c r="D1984" s="1097">
        <v>1.0424168333658927</v>
      </c>
      <c r="E1984" s="1097">
        <v>0.99748317243578655</v>
      </c>
      <c r="F1984" s="1097">
        <v>1.0022073845230883</v>
      </c>
      <c r="G1984" s="1097">
        <v>0.98746876669979167</v>
      </c>
      <c r="H1984" s="1097">
        <v>0.96808240525247491</v>
      </c>
      <c r="I1984" s="1097">
        <v>0.97709547061071977</v>
      </c>
      <c r="K1984">
        <v>5.1448894963830707</v>
      </c>
      <c r="L1984">
        <v>0</v>
      </c>
      <c r="M1984">
        <v>3.4876199413445053E-3</v>
      </c>
      <c r="N1984">
        <v>0.30030115915070932</v>
      </c>
      <c r="O1984">
        <v>0.14712165981087472</v>
      </c>
      <c r="P1984">
        <v>2.0252275111173033E-2</v>
      </c>
      <c r="Q1984">
        <v>1.2862001836681728E-3</v>
      </c>
      <c r="R1984">
        <v>3.481655121934595E-3</v>
      </c>
      <c r="S1984">
        <v>0.44566450518166045</v>
      </c>
      <c r="T1984">
        <v>4.0044669178441854</v>
      </c>
      <c r="U1984">
        <v>0</v>
      </c>
      <c r="V1984">
        <v>1.1304767209823822E-2</v>
      </c>
      <c r="W1984">
        <v>0.17918162827667514</v>
      </c>
      <c r="X1984">
        <v>2.5476925247322965E-2</v>
      </c>
      <c r="Y1984">
        <v>9.839423186381183E-3</v>
      </c>
    </row>
    <row r="1985" spans="1:25" x14ac:dyDescent="0.25">
      <c r="A1985" s="1093"/>
      <c r="B1985" s="1452">
        <v>1735</v>
      </c>
      <c r="C1985" s="1097">
        <v>0.97085060517033139</v>
      </c>
      <c r="D1985" s="1097">
        <v>0.96079510165224136</v>
      </c>
      <c r="E1985" s="1097">
        <v>0.98479665808312111</v>
      </c>
      <c r="F1985" s="1097">
        <v>0.98904178964672929</v>
      </c>
      <c r="G1985" s="1097">
        <v>1.0107805865504971</v>
      </c>
      <c r="H1985" s="1097">
        <v>0.96493439210261067</v>
      </c>
      <c r="I1985" s="1097">
        <v>1.0130565541850611</v>
      </c>
      <c r="K1985">
        <v>5.1466241261530463</v>
      </c>
      <c r="L1985">
        <v>0</v>
      </c>
      <c r="M1985">
        <v>3.7295551097596765E-3</v>
      </c>
      <c r="N1985">
        <v>0.30926931203605512</v>
      </c>
      <c r="O1985">
        <v>0.15404728062105977</v>
      </c>
      <c r="P1985">
        <v>1.9962860448193238E-2</v>
      </c>
      <c r="Q1985">
        <v>1.3466311625203106E-3</v>
      </c>
      <c r="R1985">
        <v>3.7230706604121882E-3</v>
      </c>
      <c r="S1985">
        <v>0.47505178728789937</v>
      </c>
      <c r="T1985">
        <v>3.953443778399278</v>
      </c>
      <c r="U1985">
        <v>0</v>
      </c>
      <c r="V1985">
        <v>1.130476720982381E-2</v>
      </c>
      <c r="W1985">
        <v>0.1861314011331715</v>
      </c>
      <c r="X1985">
        <v>2.5551110375067913E-2</v>
      </c>
      <c r="Y1985">
        <v>1.0521681929323314E-2</v>
      </c>
    </row>
    <row r="1986" spans="1:25" x14ac:dyDescent="0.25">
      <c r="A1986" s="1093"/>
      <c r="B1986" s="1452">
        <v>1736</v>
      </c>
      <c r="C1986" s="1097">
        <v>1.0076598717001566</v>
      </c>
      <c r="D1986" s="1097">
        <v>1.0326790430627346</v>
      </c>
      <c r="E1986" s="1097">
        <v>1.0137630476982802</v>
      </c>
      <c r="F1986" s="1097">
        <v>0.99372033752692401</v>
      </c>
      <c r="G1986" s="1097">
        <v>1.0292702843124319</v>
      </c>
      <c r="H1986" s="1097">
        <v>1.0015740888980231</v>
      </c>
      <c r="I1986" s="1097">
        <v>0.99897838921406223</v>
      </c>
      <c r="K1986">
        <v>5.1267118085604491</v>
      </c>
      <c r="L1986">
        <v>0</v>
      </c>
      <c r="M1986">
        <v>3.4253399093792753E-3</v>
      </c>
      <c r="N1986">
        <v>0.30952125498554001</v>
      </c>
      <c r="O1986">
        <v>0.14409498273739052</v>
      </c>
      <c r="P1986">
        <v>2.0369105524194128E-2</v>
      </c>
      <c r="Q1986">
        <v>1.2922299840764887E-3</v>
      </c>
      <c r="R1986">
        <v>3.4196292225109905E-3</v>
      </c>
      <c r="S1986">
        <v>0.45346824653577789</v>
      </c>
      <c r="T1986">
        <v>3.9685299031712193</v>
      </c>
      <c r="U1986">
        <v>0</v>
      </c>
      <c r="V1986">
        <v>1.1304767209823813E-2</v>
      </c>
      <c r="W1986">
        <v>0.18266969051813861</v>
      </c>
      <c r="X1986">
        <v>2.5803205321998632E-2</v>
      </c>
      <c r="Y1986">
        <v>9.6641332591566702E-3</v>
      </c>
    </row>
    <row r="1987" spans="1:25" x14ac:dyDescent="0.25">
      <c r="A1987" s="1093"/>
      <c r="B1987" s="1452">
        <v>1737</v>
      </c>
      <c r="C1987" s="1097">
        <v>0.98094160320811929</v>
      </c>
      <c r="D1987" s="1097">
        <v>1.0104214660884441</v>
      </c>
      <c r="E1987" s="1097">
        <v>1.01308638807206</v>
      </c>
      <c r="F1987" s="1097">
        <v>1.0333182016491835</v>
      </c>
      <c r="G1987" s="1097">
        <v>1.0048760498746538</v>
      </c>
      <c r="H1987" s="1097">
        <v>1.0049460469100238</v>
      </c>
      <c r="I1987" s="1097">
        <v>0.97316818857554144</v>
      </c>
      <c r="K1987">
        <v>5.3572523002076453</v>
      </c>
      <c r="L1987">
        <v>0</v>
      </c>
      <c r="M1987">
        <v>3.70835689075964E-3</v>
      </c>
      <c r="N1987">
        <v>0.33444796262344229</v>
      </c>
      <c r="O1987">
        <v>0.1552851635711554</v>
      </c>
      <c r="P1987">
        <v>2.1168711327516031E-2</v>
      </c>
      <c r="Q1987">
        <v>1.3382770418737188E-3</v>
      </c>
      <c r="R1987">
        <v>3.702430852914215E-3</v>
      </c>
      <c r="S1987">
        <v>0.47157299256114382</v>
      </c>
      <c r="T1987">
        <v>4.126755498288798</v>
      </c>
      <c r="U1987">
        <v>0</v>
      </c>
      <c r="V1987">
        <v>1.1304767209823832E-2</v>
      </c>
      <c r="W1987">
        <v>0.19747012038663095</v>
      </c>
      <c r="X1987">
        <v>2.7451380977542756E-2</v>
      </c>
      <c r="Y1987">
        <v>1.0463352257559282E-2</v>
      </c>
    </row>
    <row r="1988" spans="1:25" x14ac:dyDescent="0.25">
      <c r="A1988" s="1093"/>
      <c r="B1988" s="1452">
        <v>1738</v>
      </c>
      <c r="C1988" s="1097">
        <v>0.98643477489090681</v>
      </c>
      <c r="D1988" s="1097">
        <v>1.0342015039697925</v>
      </c>
      <c r="E1988" s="1097">
        <v>1.0093170757812662</v>
      </c>
      <c r="F1988" s="1097">
        <v>0.99165403460535073</v>
      </c>
      <c r="G1988" s="1097">
        <v>1.0239475064457839</v>
      </c>
      <c r="H1988" s="1097">
        <v>0.96010782785587834</v>
      </c>
      <c r="I1988" s="1097">
        <v>1.0061817884882205</v>
      </c>
      <c r="K1988">
        <v>5.1135902640671285</v>
      </c>
      <c r="L1988">
        <v>0</v>
      </c>
      <c r="M1988">
        <v>3.3767682674977146E-3</v>
      </c>
      <c r="N1988">
        <v>0.30111956813412977</v>
      </c>
      <c r="O1988">
        <v>0.14692563303906481</v>
      </c>
      <c r="P1988">
        <v>2.0287259480586205E-2</v>
      </c>
      <c r="Q1988">
        <v>1.3142765761596366E-3</v>
      </c>
      <c r="R1988">
        <v>3.3708831995062413E-3</v>
      </c>
      <c r="S1988">
        <v>0.45786480928860834</v>
      </c>
      <c r="T1988">
        <v>3.96082843433528</v>
      </c>
      <c r="U1988">
        <v>0</v>
      </c>
      <c r="V1988">
        <v>1.1304767209823832E-2</v>
      </c>
      <c r="W1988">
        <v>0.17824191939846545</v>
      </c>
      <c r="X1988">
        <v>2.6183108396436356E-2</v>
      </c>
      <c r="Y1988">
        <v>9.5263732765624495E-3</v>
      </c>
    </row>
    <row r="1989" spans="1:25" x14ac:dyDescent="0.25">
      <c r="A1989" s="1093"/>
      <c r="B1989" s="1452">
        <v>1739</v>
      </c>
      <c r="C1989" s="1097">
        <v>1.0053464332990938</v>
      </c>
      <c r="D1989" s="1097">
        <v>0.95849955590392499</v>
      </c>
      <c r="E1989" s="1097">
        <v>0.99836980959167432</v>
      </c>
      <c r="F1989" s="1097">
        <v>0.99613399315728757</v>
      </c>
      <c r="G1989" s="1097">
        <v>0.97785906035448156</v>
      </c>
      <c r="H1989" s="1097">
        <v>0.98061072204466537</v>
      </c>
      <c r="I1989" s="1097">
        <v>1.0075754227027078</v>
      </c>
      <c r="K1989">
        <v>5.1547629814945477</v>
      </c>
      <c r="L1989">
        <v>0</v>
      </c>
      <c r="M1989">
        <v>3.5859841601182116E-3</v>
      </c>
      <c r="N1989">
        <v>0.30958674407521908</v>
      </c>
      <c r="O1989">
        <v>0.1495910432611858</v>
      </c>
      <c r="P1989">
        <v>2.0230038908492745E-2</v>
      </c>
      <c r="Q1989">
        <v>1.3169825592366062E-3</v>
      </c>
      <c r="R1989">
        <v>3.5798926123054267E-3</v>
      </c>
      <c r="S1989">
        <v>0.46218780180100338</v>
      </c>
      <c r="T1989">
        <v>3.9800887922022667</v>
      </c>
      <c r="U1989">
        <v>0</v>
      </c>
      <c r="V1989">
        <v>1.1304767209823811E-2</v>
      </c>
      <c r="W1989">
        <v>0.18461126885277593</v>
      </c>
      <c r="X1989">
        <v>2.5734584338111891E-2</v>
      </c>
      <c r="Y1989">
        <v>1.0117049834246746E-2</v>
      </c>
    </row>
    <row r="1990" spans="1:25" x14ac:dyDescent="0.25">
      <c r="A1990" s="1093"/>
      <c r="B1990" s="1452">
        <v>1740</v>
      </c>
      <c r="C1990" s="1097">
        <v>0.98037815238771331</v>
      </c>
      <c r="D1990" s="1097">
        <v>1.0230142679359115</v>
      </c>
      <c r="E1990" s="1097">
        <v>0.98138993742554415</v>
      </c>
      <c r="F1990" s="1097">
        <v>0.99165217253039928</v>
      </c>
      <c r="G1990" s="1097">
        <v>0.96783705380705598</v>
      </c>
      <c r="H1990" s="1097">
        <v>1.0290108509559206</v>
      </c>
      <c r="I1990" s="1097">
        <v>0.9842954998692327</v>
      </c>
      <c r="K1990">
        <v>5.1561150818633905</v>
      </c>
      <c r="L1990">
        <v>0</v>
      </c>
      <c r="M1990">
        <v>3.8787157047983881E-3</v>
      </c>
      <c r="N1990">
        <v>0.31843987952499903</v>
      </c>
      <c r="O1990">
        <v>0.14925665757827247</v>
      </c>
      <c r="P1990">
        <v>1.9912103399789799E-2</v>
      </c>
      <c r="Q1990">
        <v>1.2966577016350601E-3</v>
      </c>
      <c r="R1990">
        <v>3.8724084693188255E-3</v>
      </c>
      <c r="S1990">
        <v>0.46434117115094026</v>
      </c>
      <c r="T1990">
        <v>3.9643056392388409</v>
      </c>
      <c r="U1990">
        <v>0</v>
      </c>
      <c r="V1990">
        <v>1.1304767209823822E-2</v>
      </c>
      <c r="W1990">
        <v>0.1920975388447736</v>
      </c>
      <c r="X1990">
        <v>2.4223252471095649E-2</v>
      </c>
      <c r="Y1990">
        <v>1.0943721978695829E-2</v>
      </c>
    </row>
    <row r="1991" spans="1:25" x14ac:dyDescent="0.25">
      <c r="A1991" s="1093"/>
      <c r="B1991" s="1452">
        <v>1741</v>
      </c>
      <c r="C1991" s="1097">
        <v>1.0101173101892966</v>
      </c>
      <c r="D1991" s="1097">
        <v>1.0149678547670864</v>
      </c>
      <c r="E1991" s="1097">
        <v>1.015081211763079</v>
      </c>
      <c r="F1991" s="1097">
        <v>1.0054188387275269</v>
      </c>
      <c r="G1991" s="1097">
        <v>1.0104555028156774</v>
      </c>
      <c r="H1991" s="1097">
        <v>0.98276099720478927</v>
      </c>
      <c r="I1991" s="1097">
        <v>1.0165240349098419</v>
      </c>
      <c r="K1991">
        <v>5.1848206779123389</v>
      </c>
      <c r="L1991">
        <v>0</v>
      </c>
      <c r="M1991">
        <v>3.4062932826372421E-3</v>
      </c>
      <c r="N1991">
        <v>0.30899961956809474</v>
      </c>
      <c r="O1991">
        <v>0.14641021666927992</v>
      </c>
      <c r="P1991">
        <v>2.0646231007853295E-2</v>
      </c>
      <c r="Q1991">
        <v>1.299491205863983E-3</v>
      </c>
      <c r="R1991">
        <v>3.4005728684262529E-3</v>
      </c>
      <c r="S1991">
        <v>0.46287131001758575</v>
      </c>
      <c r="T1991">
        <v>4.0150838711748991</v>
      </c>
      <c r="U1991">
        <v>0</v>
      </c>
      <c r="V1991">
        <v>1.1304767209823832E-2</v>
      </c>
      <c r="W1991">
        <v>0.1822010193917582</v>
      </c>
      <c r="X1991">
        <v>2.6399593533753617E-2</v>
      </c>
      <c r="Y1991">
        <v>9.6102785476293931E-3</v>
      </c>
    </row>
    <row r="1992" spans="1:25" x14ac:dyDescent="0.25">
      <c r="A1992" s="1093"/>
      <c r="B1992" s="1452">
        <v>1742</v>
      </c>
      <c r="C1992" s="1097">
        <v>0.99061152459787205</v>
      </c>
      <c r="D1992" s="1097">
        <v>0.96012527688496352</v>
      </c>
      <c r="E1992" s="1097">
        <v>1.0019106159932134</v>
      </c>
      <c r="F1992" s="1097">
        <v>0.99547432859594842</v>
      </c>
      <c r="G1992" s="1097">
        <v>0.99626032725083546</v>
      </c>
      <c r="H1992" s="1097">
        <v>1.0110933695192768</v>
      </c>
      <c r="I1992" s="1097">
        <v>1.0468803008113605</v>
      </c>
      <c r="K1992">
        <v>5.2086868771287547</v>
      </c>
      <c r="L1992">
        <v>0</v>
      </c>
      <c r="M1992">
        <v>3.7195917292440275E-3</v>
      </c>
      <c r="N1992">
        <v>0.32452437699411274</v>
      </c>
      <c r="O1992">
        <v>0.15151213182418199</v>
      </c>
      <c r="P1992">
        <v>2.0410014267084314E-2</v>
      </c>
      <c r="Q1992">
        <v>1.3397253609186601E-3</v>
      </c>
      <c r="R1992">
        <v>3.7134596585165908E-3</v>
      </c>
      <c r="S1992">
        <v>0.49303305786481805</v>
      </c>
      <c r="T1992">
        <v>3.9770105612539557</v>
      </c>
      <c r="U1992">
        <v>0</v>
      </c>
      <c r="V1992">
        <v>1.1304767209823829E-2</v>
      </c>
      <c r="W1992">
        <v>0.19305628576615522</v>
      </c>
      <c r="X1992">
        <v>2.6007568154225717E-2</v>
      </c>
      <c r="Y1992">
        <v>1.0494520504201075E-2</v>
      </c>
    </row>
    <row r="1993" spans="1:25" x14ac:dyDescent="0.25">
      <c r="A1993" s="1093"/>
      <c r="B1993" s="1452">
        <v>1743</v>
      </c>
      <c r="C1993" s="1097">
        <v>0.96291767666621686</v>
      </c>
      <c r="D1993" s="1097">
        <v>0.99234534901457927</v>
      </c>
      <c r="E1993" s="1097">
        <v>0.97597514113804296</v>
      </c>
      <c r="F1993" s="1097">
        <v>0.95439331792176185</v>
      </c>
      <c r="G1993" s="1097">
        <v>0.98876592971049515</v>
      </c>
      <c r="H1993" s="1097">
        <v>1.0031814181340508</v>
      </c>
      <c r="I1993" s="1097">
        <v>1.0002564188111898</v>
      </c>
      <c r="K1993">
        <v>4.9858159189177327</v>
      </c>
      <c r="L1993">
        <v>0</v>
      </c>
      <c r="M1993">
        <v>3.7937756848990373E-3</v>
      </c>
      <c r="N1993">
        <v>0.30646853151703157</v>
      </c>
      <c r="O1993">
        <v>0.14819476126113257</v>
      </c>
      <c r="P1993">
        <v>1.9163405194369994E-2</v>
      </c>
      <c r="Q1993">
        <v>1.3300695664456919E-3</v>
      </c>
      <c r="R1993">
        <v>3.7872011228315362E-3</v>
      </c>
      <c r="S1993">
        <v>0.46330954733471419</v>
      </c>
      <c r="T1993">
        <v>3.8160120734885243</v>
      </c>
      <c r="U1993">
        <v>0</v>
      </c>
      <c r="V1993">
        <v>1.1304767209823822E-2</v>
      </c>
      <c r="W1993">
        <v>0.18556362748429781</v>
      </c>
      <c r="X1993">
        <v>2.3772790911206418E-2</v>
      </c>
      <c r="Y1993">
        <v>1.070291951224958E-2</v>
      </c>
    </row>
    <row r="1994" spans="1:25" x14ac:dyDescent="0.25">
      <c r="A1994" s="1093"/>
      <c r="B1994" s="1452">
        <v>1744</v>
      </c>
      <c r="C1994" s="1097">
        <v>1.0072702891782492</v>
      </c>
      <c r="D1994" s="1097">
        <v>0.99640309155973505</v>
      </c>
      <c r="E1994" s="1097">
        <v>1.0229201750654393</v>
      </c>
      <c r="F1994" s="1097">
        <v>1.0005831955972853</v>
      </c>
      <c r="G1994" s="1097">
        <v>1.000638819576978</v>
      </c>
      <c r="H1994" s="1097">
        <v>0.96024696892088857</v>
      </c>
      <c r="I1994" s="1097">
        <v>1.0382321749355261</v>
      </c>
      <c r="K1994">
        <v>5.1657936484057796</v>
      </c>
      <c r="L1994">
        <v>0</v>
      </c>
      <c r="M1994">
        <v>3.2913124258650258E-3</v>
      </c>
      <c r="N1994">
        <v>0.30556053942614431</v>
      </c>
      <c r="O1994">
        <v>0.14698371214241412</v>
      </c>
      <c r="P1994">
        <v>2.0702139654405666E-2</v>
      </c>
      <c r="Q1994">
        <v>1.3215655892558817E-3</v>
      </c>
      <c r="R1994">
        <v>3.2856282191259761E-3</v>
      </c>
      <c r="S1994">
        <v>0.46951895426734153</v>
      </c>
      <c r="T1994">
        <v>3.9947970497817376</v>
      </c>
      <c r="U1994">
        <v>0</v>
      </c>
      <c r="V1994">
        <v>1.1304767209823817E-2</v>
      </c>
      <c r="W1994">
        <v>0.17923324507049787</v>
      </c>
      <c r="X1994">
        <v>2.7091923277799978E-2</v>
      </c>
      <c r="Y1994">
        <v>9.2854361930979762E-3</v>
      </c>
    </row>
    <row r="1995" spans="1:25" x14ac:dyDescent="0.25">
      <c r="A1995" s="1093"/>
      <c r="B1995" s="1452">
        <v>1745</v>
      </c>
      <c r="C1995" s="1097">
        <v>0.98142277572561554</v>
      </c>
      <c r="D1995" s="1097">
        <v>1.0057668306624314</v>
      </c>
      <c r="E1995" s="1097">
        <v>1.033670757814158</v>
      </c>
      <c r="F1995" s="1097">
        <v>0.95186798855192944</v>
      </c>
      <c r="G1995" s="1097">
        <v>0.95883584420011003</v>
      </c>
      <c r="H1995" s="1097">
        <v>1.0086781204633155</v>
      </c>
      <c r="I1995" s="1097">
        <v>1.0083248074613633</v>
      </c>
      <c r="K1995">
        <v>4.9657032578752593</v>
      </c>
      <c r="L1995">
        <v>0</v>
      </c>
      <c r="M1995">
        <v>3.2876793731372879E-3</v>
      </c>
      <c r="N1995">
        <v>0.31508087867990475</v>
      </c>
      <c r="O1995">
        <v>0.1426845703825125</v>
      </c>
      <c r="P1995">
        <v>1.9893652272456357E-2</v>
      </c>
      <c r="Q1995">
        <v>1.3635904099258767E-3</v>
      </c>
      <c r="R1995">
        <v>3.2819979101498444E-3</v>
      </c>
      <c r="S1995">
        <v>0.45700268539109667</v>
      </c>
      <c r="T1995">
        <v>3.7990354866262903</v>
      </c>
      <c r="U1995">
        <v>0</v>
      </c>
      <c r="V1995">
        <v>1.1304767209823811E-2</v>
      </c>
      <c r="W1995">
        <v>0.18350484344820564</v>
      </c>
      <c r="X1995">
        <v>2.6563288255259224E-2</v>
      </c>
      <c r="Y1995">
        <v>9.2751766627704527E-3</v>
      </c>
    </row>
    <row r="1996" spans="1:25" x14ac:dyDescent="0.25">
      <c r="A1996" s="1093"/>
      <c r="B1996" s="1452">
        <v>1746</v>
      </c>
      <c r="C1996" s="1097">
        <v>1.0044296259804906</v>
      </c>
      <c r="D1996" s="1097">
        <v>1.0447710077222869</v>
      </c>
      <c r="E1996" s="1097">
        <v>0.98809945849346503</v>
      </c>
      <c r="F1996" s="1097">
        <v>1.0076534951602625</v>
      </c>
      <c r="G1996" s="1097">
        <v>1.0006410021915693</v>
      </c>
      <c r="H1996" s="1097">
        <v>1.0281600537086151</v>
      </c>
      <c r="I1996" s="1097">
        <v>0.99415361676742242</v>
      </c>
      <c r="K1996">
        <v>5.2075781156142833</v>
      </c>
      <c r="L1996">
        <v>0</v>
      </c>
      <c r="M1996">
        <v>3.7580755940525555E-3</v>
      </c>
      <c r="N1996">
        <v>0.31474527645248979</v>
      </c>
      <c r="O1996">
        <v>0.14660847511601177</v>
      </c>
      <c r="P1996">
        <v>2.0286940416206302E-2</v>
      </c>
      <c r="Q1996">
        <v>1.2623081783593509E-3</v>
      </c>
      <c r="R1996">
        <v>3.7520564390303912E-3</v>
      </c>
      <c r="S1996">
        <v>0.461926729669907</v>
      </c>
      <c r="T1996">
        <v>4.0274188441543206</v>
      </c>
      <c r="U1996">
        <v>0</v>
      </c>
      <c r="V1996">
        <v>1.1304767209823813E-2</v>
      </c>
      <c r="W1996">
        <v>0.18900078258975783</v>
      </c>
      <c r="X1996">
        <v>2.4426413029770735E-2</v>
      </c>
      <c r="Y1996">
        <v>1.0603597952657867E-2</v>
      </c>
    </row>
    <row r="1997" spans="1:25" x14ac:dyDescent="0.25">
      <c r="A1997" s="1093"/>
      <c r="B1997" s="1452">
        <v>1747</v>
      </c>
      <c r="C1997" s="1097">
        <v>1.0471509262399481</v>
      </c>
      <c r="D1997" s="1097">
        <v>1.0151878403173447</v>
      </c>
      <c r="E1997" s="1097">
        <v>0.9956330101464288</v>
      </c>
      <c r="F1997" s="1097">
        <v>1.0136922345582198</v>
      </c>
      <c r="G1997" s="1097">
        <v>0.99609324884691797</v>
      </c>
      <c r="H1997" s="1097">
        <v>1.009503729215572</v>
      </c>
      <c r="I1997" s="1097">
        <v>1.0128849694257602</v>
      </c>
      <c r="K1997">
        <v>5.1989234781495579</v>
      </c>
      <c r="L1997">
        <v>0</v>
      </c>
      <c r="M1997">
        <v>3.5450474039951433E-3</v>
      </c>
      <c r="N1997">
        <v>0.30360373357322806</v>
      </c>
      <c r="O1997">
        <v>0.14290302615944062</v>
      </c>
      <c r="P1997">
        <v>2.0465886310562748E-2</v>
      </c>
      <c r="Q1997">
        <v>1.2327757814197292E-3</v>
      </c>
      <c r="R1997">
        <v>3.5392989081833659E-3</v>
      </c>
      <c r="S1997">
        <v>0.45283855512854615</v>
      </c>
      <c r="T1997">
        <v>4.0505921793922486</v>
      </c>
      <c r="U1997">
        <v>0</v>
      </c>
      <c r="V1997">
        <v>1.1304767209823811E-2</v>
      </c>
      <c r="W1997">
        <v>0.1813793845498364</v>
      </c>
      <c r="X1997">
        <v>2.460658961304929E-2</v>
      </c>
      <c r="Y1997">
        <v>1.0002328927215101E-2</v>
      </c>
    </row>
    <row r="1998" spans="1:25" x14ac:dyDescent="0.25">
      <c r="A1998" s="1093"/>
      <c r="B1998" s="1452">
        <v>1748</v>
      </c>
      <c r="C1998" s="1097">
        <v>1.0025869224226889</v>
      </c>
      <c r="D1998" s="1097">
        <v>0.97119374134741787</v>
      </c>
      <c r="E1998" s="1097">
        <v>1.033878509283934</v>
      </c>
      <c r="F1998" s="1097">
        <v>1.0139489611467967</v>
      </c>
      <c r="G1998" s="1097">
        <v>0.99203649650962245</v>
      </c>
      <c r="H1998" s="1097">
        <v>0.97013078443658696</v>
      </c>
      <c r="I1998" s="1097">
        <v>0.98929877927588361</v>
      </c>
      <c r="K1998">
        <v>5.2348446802370185</v>
      </c>
      <c r="L1998">
        <v>0</v>
      </c>
      <c r="M1998">
        <v>3.341795373657482E-3</v>
      </c>
      <c r="N1998">
        <v>0.32047711348327662</v>
      </c>
      <c r="O1998">
        <v>0.15087247618080479</v>
      </c>
      <c r="P1998">
        <v>2.1059344230455471E-2</v>
      </c>
      <c r="Q1998">
        <v>1.3538492104903585E-3</v>
      </c>
      <c r="R1998">
        <v>3.3361579603998965E-3</v>
      </c>
      <c r="S1998">
        <v>0.45863407509055965</v>
      </c>
      <c r="T1998">
        <v>4.0467831239777983</v>
      </c>
      <c r="U1998">
        <v>0</v>
      </c>
      <c r="V1998">
        <v>1.1304767209823836E-2</v>
      </c>
      <c r="W1998">
        <v>0.18662202550642365</v>
      </c>
      <c r="X1998">
        <v>2.8315305660937456E-2</v>
      </c>
      <c r="Y1998">
        <v>9.4282370997013278E-3</v>
      </c>
    </row>
    <row r="1999" spans="1:25" x14ac:dyDescent="0.25">
      <c r="A1999" s="1093"/>
      <c r="B1999" s="1452">
        <v>1749</v>
      </c>
      <c r="C1999" s="1097">
        <v>1.0216408636727088</v>
      </c>
      <c r="D1999" s="1097">
        <v>1.0015424004118407</v>
      </c>
      <c r="E1999" s="1097">
        <v>1.0109536565800139</v>
      </c>
      <c r="F1999" s="1097">
        <v>1.0169418878214487</v>
      </c>
      <c r="G1999" s="1097">
        <v>0.99564751649894112</v>
      </c>
      <c r="H1999" s="1097">
        <v>0.99860531014772647</v>
      </c>
      <c r="I1999" s="1097">
        <v>1.0124274689636319</v>
      </c>
      <c r="K1999">
        <v>5.2433927936698588</v>
      </c>
      <c r="L1999">
        <v>0</v>
      </c>
      <c r="M1999">
        <v>3.5102521117834034E-3</v>
      </c>
      <c r="N1999">
        <v>0.314577549669323</v>
      </c>
      <c r="O1999">
        <v>0.14731411950715603</v>
      </c>
      <c r="P1999">
        <v>2.0803727175775544E-2</v>
      </c>
      <c r="Q1999">
        <v>1.2871715912077435E-3</v>
      </c>
      <c r="R1999">
        <v>3.5045162748876023E-3</v>
      </c>
      <c r="S1999">
        <v>0.46435845540981557</v>
      </c>
      <c r="T1999">
        <v>4.0616242958511704</v>
      </c>
      <c r="U1999">
        <v>0</v>
      </c>
      <c r="V1999">
        <v>1.130476720982382E-2</v>
      </c>
      <c r="W1999">
        <v>0.18600366502949003</v>
      </c>
      <c r="X1999">
        <v>2.6220747512997973E-2</v>
      </c>
      <c r="Y1999">
        <v>9.9040305499928424E-3</v>
      </c>
    </row>
    <row r="2000" spans="1:25" x14ac:dyDescent="0.25">
      <c r="A2000" s="1093"/>
      <c r="B2000" s="1452">
        <v>1750</v>
      </c>
      <c r="C2000" s="1097">
        <v>1.0116973557130942</v>
      </c>
      <c r="D2000" s="1097">
        <v>1.0239590183817875</v>
      </c>
      <c r="E2000" s="1097">
        <v>0.98994595255582307</v>
      </c>
      <c r="F2000" s="1097">
        <v>0.99069629294461159</v>
      </c>
      <c r="G2000" s="1097">
        <v>1.015008345184532</v>
      </c>
      <c r="H2000" s="1097">
        <v>1.0418843508193112</v>
      </c>
      <c r="I2000" s="1097">
        <v>1.024918958305306</v>
      </c>
      <c r="K2000">
        <v>5.1441781299248284</v>
      </c>
      <c r="L2000">
        <v>0</v>
      </c>
      <c r="M2000">
        <v>3.7328820992204958E-3</v>
      </c>
      <c r="N2000">
        <v>0.31434996117955066</v>
      </c>
      <c r="O2000">
        <v>0.14421241055968451</v>
      </c>
      <c r="P2000">
        <v>2.004678876665392E-2</v>
      </c>
      <c r="Q2000">
        <v>1.2653824447230028E-3</v>
      </c>
      <c r="R2000">
        <v>3.7268812330925319E-3</v>
      </c>
      <c r="S2000">
        <v>0.47047076044342384</v>
      </c>
      <c r="T2000">
        <v>3.9594129445332449</v>
      </c>
      <c r="U2000">
        <v>0</v>
      </c>
      <c r="V2000">
        <v>1.1304767209823813E-2</v>
      </c>
      <c r="W2000">
        <v>0.1885262096842131</v>
      </c>
      <c r="X2000">
        <v>2.4062455070997277E-2</v>
      </c>
      <c r="Y2000">
        <v>1.0532450898641427E-2</v>
      </c>
    </row>
    <row r="2001" spans="1:25" x14ac:dyDescent="0.25">
      <c r="A2001" s="1093"/>
      <c r="B2001" s="1452">
        <v>1751</v>
      </c>
      <c r="C2001" s="1097">
        <v>1.0258633668564199</v>
      </c>
      <c r="D2001" s="1097">
        <v>1.0193645783673533</v>
      </c>
      <c r="E2001" s="1097">
        <v>0.97264394525503117</v>
      </c>
      <c r="F2001" s="1097">
        <v>0.99066539884763172</v>
      </c>
      <c r="G2001" s="1097">
        <v>1.0346201348375514</v>
      </c>
      <c r="H2001" s="1097">
        <v>1.0168775040467584</v>
      </c>
      <c r="I2001" s="1097">
        <v>0.98924237735548937</v>
      </c>
      <c r="K2001">
        <v>5.0937090024197893</v>
      </c>
      <c r="L2001">
        <v>0</v>
      </c>
      <c r="M2001">
        <v>3.7325024754711442E-3</v>
      </c>
      <c r="N2001">
        <v>0.29857740030214902</v>
      </c>
      <c r="O2001">
        <v>0.14293391690256593</v>
      </c>
      <c r="P2001">
        <v>1.9675616854068226E-2</v>
      </c>
      <c r="Q2001">
        <v>1.2315355174981966E-3</v>
      </c>
      <c r="R2001">
        <v>3.726354471131441E-3</v>
      </c>
      <c r="S2001">
        <v>0.44376865950080857</v>
      </c>
      <c r="T2001">
        <v>3.9614603859416593</v>
      </c>
      <c r="U2001">
        <v>0</v>
      </c>
      <c r="V2001">
        <v>1.1304767209823824E-2</v>
      </c>
      <c r="W2001">
        <v>0.18120031533872316</v>
      </c>
      <c r="X2001">
        <v>2.3031590627705129E-2</v>
      </c>
      <c r="Y2001">
        <v>1.0530962229123015E-2</v>
      </c>
    </row>
    <row r="2002" spans="1:25" x14ac:dyDescent="0.25">
      <c r="A2002" s="1093"/>
      <c r="B2002" s="1452">
        <v>1752</v>
      </c>
      <c r="C2002" s="1097">
        <v>0.98413994726346021</v>
      </c>
      <c r="D2002" s="1097">
        <v>1.0247213200542122</v>
      </c>
      <c r="E2002" s="1097">
        <v>0.99669642267856917</v>
      </c>
      <c r="F2002" s="1097">
        <v>1.0088632392834418</v>
      </c>
      <c r="G2002" s="1097">
        <v>1.0433135899357122</v>
      </c>
      <c r="H2002" s="1097">
        <v>0.99612459903521522</v>
      </c>
      <c r="I2002" s="1097">
        <v>1.0107096905737005</v>
      </c>
      <c r="K2002">
        <v>5.231757538615323</v>
      </c>
      <c r="L2002">
        <v>0</v>
      </c>
      <c r="M2002">
        <v>3.6822564125853288E-3</v>
      </c>
      <c r="N2002">
        <v>0.31634063673981178</v>
      </c>
      <c r="O2002">
        <v>0.15073347708116483</v>
      </c>
      <c r="P2002">
        <v>2.049655156260103E-2</v>
      </c>
      <c r="Q2002">
        <v>1.308005415987444E-3</v>
      </c>
      <c r="R2002">
        <v>3.6761763103592849E-3</v>
      </c>
      <c r="S2002">
        <v>0.47543094635920147</v>
      </c>
      <c r="T2002">
        <v>4.0311611545309187</v>
      </c>
      <c r="U2002">
        <v>0</v>
      </c>
      <c r="V2002">
        <v>1.1304767209823808E-2</v>
      </c>
      <c r="W2002">
        <v>0.18885254629718803</v>
      </c>
      <c r="X2002">
        <v>2.5746378604997084E-2</v>
      </c>
      <c r="Y2002">
        <v>1.0389154915859553E-2</v>
      </c>
    </row>
    <row r="2003" spans="1:25" x14ac:dyDescent="0.25">
      <c r="A2003" s="1093"/>
      <c r="B2003" s="1452">
        <v>1753</v>
      </c>
      <c r="C2003" s="1097">
        <v>1.0134291115391416</v>
      </c>
      <c r="D2003" s="1097">
        <v>0.99062978220334841</v>
      </c>
      <c r="E2003" s="1097">
        <v>0.96652226548998355</v>
      </c>
      <c r="F2003" s="1097">
        <v>1.0362464881262232</v>
      </c>
      <c r="G2003" s="1097">
        <v>0.98099266950147102</v>
      </c>
      <c r="H2003" s="1097">
        <v>0.98100598500349845</v>
      </c>
      <c r="I2003" s="1097">
        <v>0.99875944685544382</v>
      </c>
      <c r="K2003">
        <v>5.3269439176566875</v>
      </c>
      <c r="L2003">
        <v>0</v>
      </c>
      <c r="M2003">
        <v>3.9060930567250134E-3</v>
      </c>
      <c r="N2003">
        <v>0.30683908130633941</v>
      </c>
      <c r="O2003">
        <v>0.15326049103593192</v>
      </c>
      <c r="P2003">
        <v>2.0497358778277415E-2</v>
      </c>
      <c r="Q2003">
        <v>1.2542588363340516E-3</v>
      </c>
      <c r="R2003">
        <v>3.8997167448606754E-3</v>
      </c>
      <c r="S2003">
        <v>0.4667837309370691</v>
      </c>
      <c r="T2003">
        <v>4.1445372644322322</v>
      </c>
      <c r="U2003">
        <v>0</v>
      </c>
      <c r="V2003">
        <v>1.130476720982383E-2</v>
      </c>
      <c r="W2003">
        <v>0.18700240544249783</v>
      </c>
      <c r="X2003">
        <v>2.4450038739776751E-2</v>
      </c>
      <c r="Y2003">
        <v>1.1020897250265302E-2</v>
      </c>
    </row>
    <row r="2004" spans="1:25" x14ac:dyDescent="0.25">
      <c r="A2004" s="1093"/>
      <c r="B2004" s="1452">
        <v>1754</v>
      </c>
      <c r="C2004" s="1097">
        <v>1.0119456954197046</v>
      </c>
      <c r="D2004" s="1097">
        <v>0.99869784175589482</v>
      </c>
      <c r="E2004" s="1097">
        <v>0.95695396664380838</v>
      </c>
      <c r="F2004" s="1097">
        <v>1.043705799877513</v>
      </c>
      <c r="G2004" s="1097">
        <v>0.9953327643546872</v>
      </c>
      <c r="H2004" s="1097">
        <v>0.97471699603770723</v>
      </c>
      <c r="I2004" s="1097">
        <v>1.0151011151028964</v>
      </c>
      <c r="K2004">
        <v>5.3648589548744097</v>
      </c>
      <c r="L2004">
        <v>0</v>
      </c>
      <c r="M2004">
        <v>3.9809304612668205E-3</v>
      </c>
      <c r="N2004">
        <v>0.303952506849896</v>
      </c>
      <c r="O2004">
        <v>0.15436374189489724</v>
      </c>
      <c r="P2004">
        <v>2.0524075933102584E-2</v>
      </c>
      <c r="Q2004">
        <v>1.2415515906327478E-3</v>
      </c>
      <c r="R2004">
        <v>3.9744367254007399E-3</v>
      </c>
      <c r="S2004">
        <v>0.47601439986798993</v>
      </c>
      <c r="T2004">
        <v>4.1756475291795114</v>
      </c>
      <c r="U2004">
        <v>0</v>
      </c>
      <c r="V2004">
        <v>1.1304767209823825E-2</v>
      </c>
      <c r="W2004">
        <v>0.18647690301432587</v>
      </c>
      <c r="X2004">
        <v>2.4107911450218362E-2</v>
      </c>
      <c r="Y2004">
        <v>1.1232061619872178E-2</v>
      </c>
    </row>
    <row r="2005" spans="1:25" x14ac:dyDescent="0.25">
      <c r="A2005" s="1093"/>
      <c r="B2005" s="1452">
        <v>1755</v>
      </c>
      <c r="C2005" s="1097">
        <v>0.96882715854076751</v>
      </c>
      <c r="D2005" s="1097">
        <v>0.99553115029705153</v>
      </c>
      <c r="E2005" s="1097">
        <v>1.0042516015280376</v>
      </c>
      <c r="F2005" s="1097">
        <v>1.0155724378660733</v>
      </c>
      <c r="G2005" s="1097">
        <v>0.97657234919508407</v>
      </c>
      <c r="H2005" s="1097">
        <v>0.96703376557140608</v>
      </c>
      <c r="I2005" s="1097">
        <v>0.99626835025154403</v>
      </c>
      <c r="K2005">
        <v>5.2688028452622939</v>
      </c>
      <c r="L2005">
        <v>0</v>
      </c>
      <c r="M2005">
        <v>3.6394552512656383E-3</v>
      </c>
      <c r="N2005">
        <v>0.31972917303307119</v>
      </c>
      <c r="O2005">
        <v>0.15570541423205364</v>
      </c>
      <c r="P2005">
        <v>2.0731372360918078E-2</v>
      </c>
      <c r="Q2005">
        <v>1.3528563606076112E-3</v>
      </c>
      <c r="R2005">
        <v>3.6333058706376569E-3</v>
      </c>
      <c r="S2005">
        <v>0.4756887339731205</v>
      </c>
      <c r="T2005">
        <v>4.0570062753981331</v>
      </c>
      <c r="U2005">
        <v>0</v>
      </c>
      <c r="V2005">
        <v>1.1304767209823825E-2</v>
      </c>
      <c r="W2005">
        <v>0.18990358986815345</v>
      </c>
      <c r="X2005">
        <v>2.7118812426832485E-2</v>
      </c>
      <c r="Y2005">
        <v>1.0267999780202989E-2</v>
      </c>
    </row>
    <row r="2006" spans="1:25" x14ac:dyDescent="0.25">
      <c r="A2006" s="1093"/>
      <c r="B2006" s="1452">
        <v>1756</v>
      </c>
      <c r="C2006" s="1097">
        <v>0.9710969753790345</v>
      </c>
      <c r="D2006" s="1097">
        <v>0.97241522222699162</v>
      </c>
      <c r="E2006" s="1097">
        <v>1.0064948594753655</v>
      </c>
      <c r="F2006" s="1097">
        <v>1.024453855546835</v>
      </c>
      <c r="G2006" s="1097">
        <v>0.97938928780599632</v>
      </c>
      <c r="H2006" s="1097">
        <v>0.98249325886101946</v>
      </c>
      <c r="I2006" s="1097">
        <v>1.0108625777179208</v>
      </c>
      <c r="K2006">
        <v>5.3391693755798046</v>
      </c>
      <c r="L2006">
        <v>0</v>
      </c>
      <c r="M2006">
        <v>3.7386192849591252E-3</v>
      </c>
      <c r="N2006">
        <v>0.3306438295089128</v>
      </c>
      <c r="O2006">
        <v>0.15811286515225714</v>
      </c>
      <c r="P2006">
        <v>2.0993937927619707E-2</v>
      </c>
      <c r="Q2006">
        <v>1.3650505490503315E-3</v>
      </c>
      <c r="R2006">
        <v>3.7324555642873629E-3</v>
      </c>
      <c r="S2006">
        <v>0.49039142909573685</v>
      </c>
      <c r="T2006">
        <v>4.0921979356794322</v>
      </c>
      <c r="U2006">
        <v>0</v>
      </c>
      <c r="V2006">
        <v>1.1304767209823822E-2</v>
      </c>
      <c r="W2006">
        <v>0.19608991894871161</v>
      </c>
      <c r="X2006">
        <v>2.7527600844752028E-2</v>
      </c>
      <c r="Y2006">
        <v>1.0548204384178075E-2</v>
      </c>
    </row>
    <row r="2007" spans="1:25" x14ac:dyDescent="0.25">
      <c r="A2007" s="1093"/>
      <c r="B2007" s="1452">
        <v>1757</v>
      </c>
      <c r="C2007" s="1097">
        <v>1.0175265154807751</v>
      </c>
      <c r="D2007" s="1097">
        <v>1.020531142751842</v>
      </c>
      <c r="E2007" s="1097">
        <v>0.98052924883616444</v>
      </c>
      <c r="F2007" s="1097">
        <v>0.98257830040509375</v>
      </c>
      <c r="G2007" s="1097">
        <v>1.0139831765038361</v>
      </c>
      <c r="H2007" s="1097">
        <v>1.0361030095120096</v>
      </c>
      <c r="I2007" s="1097">
        <v>1.0325339610131701</v>
      </c>
      <c r="K2007">
        <v>5.0951629444188988</v>
      </c>
      <c r="L2007">
        <v>0</v>
      </c>
      <c r="M2007">
        <v>3.7388697408297124E-3</v>
      </c>
      <c r="N2007">
        <v>0.30617456219439365</v>
      </c>
      <c r="O2007">
        <v>0.14265316308494613</v>
      </c>
      <c r="P2007">
        <v>1.9750024862352195E-2</v>
      </c>
      <c r="Q2007">
        <v>1.2496003567493516E-3</v>
      </c>
      <c r="R2007">
        <v>3.7327758602496894E-3</v>
      </c>
      <c r="S2007">
        <v>0.46724231579754361</v>
      </c>
      <c r="T2007">
        <v>3.9281383516212069</v>
      </c>
      <c r="U2007">
        <v>0</v>
      </c>
      <c r="V2007">
        <v>1.130476720982383E-2</v>
      </c>
      <c r="W2007">
        <v>0.18480741177409646</v>
      </c>
      <c r="X2007">
        <v>2.3299731833341802E-2</v>
      </c>
      <c r="Y2007">
        <v>1.0549109565021052E-2</v>
      </c>
    </row>
    <row r="2008" spans="1:25" x14ac:dyDescent="0.25">
      <c r="A2008" s="1093"/>
      <c r="B2008" s="1452">
        <v>1758</v>
      </c>
      <c r="C2008" s="1097">
        <v>0.988555140878836</v>
      </c>
      <c r="D2008" s="1097">
        <v>1.0023004968449973</v>
      </c>
      <c r="E2008" s="1097">
        <v>0.96779775268828705</v>
      </c>
      <c r="F2008" s="1097">
        <v>1.0090390304398533</v>
      </c>
      <c r="G2008" s="1097">
        <v>0.9996793285590071</v>
      </c>
      <c r="H2008" s="1097">
        <v>1.0101343881819334</v>
      </c>
      <c r="I2008" s="1097">
        <v>1.001423399477021</v>
      </c>
      <c r="K2008">
        <v>5.2350639853177245</v>
      </c>
      <c r="L2008">
        <v>0</v>
      </c>
      <c r="M2008">
        <v>3.985759438465037E-3</v>
      </c>
      <c r="N2008">
        <v>0.31428697370021352</v>
      </c>
      <c r="O2008">
        <v>0.15224035480764816</v>
      </c>
      <c r="P2008">
        <v>2.0064553298863388E-2</v>
      </c>
      <c r="Q2008">
        <v>1.2812380248327134E-3</v>
      </c>
      <c r="R2008">
        <v>3.9792706008973285E-3</v>
      </c>
      <c r="S2008">
        <v>0.47372079706194153</v>
      </c>
      <c r="T2008">
        <v>4.0355551436240082</v>
      </c>
      <c r="U2008">
        <v>0</v>
      </c>
      <c r="V2008">
        <v>1.1304767209823824E-2</v>
      </c>
      <c r="W2008">
        <v>0.1913727235682765</v>
      </c>
      <c r="X2008">
        <v>2.3998200338607868E-2</v>
      </c>
      <c r="Y2008">
        <v>1.1245722521074471E-2</v>
      </c>
    </row>
    <row r="2009" spans="1:25" x14ac:dyDescent="0.25">
      <c r="A2009" s="1093"/>
      <c r="B2009" s="1452">
        <v>1759</v>
      </c>
      <c r="C2009" s="1097">
        <v>1.0018546551113943</v>
      </c>
      <c r="D2009" s="1097">
        <v>0.9996994870325725</v>
      </c>
      <c r="E2009" s="1097">
        <v>0.98592880625538826</v>
      </c>
      <c r="F2009" s="1097">
        <v>1.0059470637285763</v>
      </c>
      <c r="G2009" s="1097">
        <v>1.0179640366028437</v>
      </c>
      <c r="H2009" s="1097">
        <v>1.0199992344881263</v>
      </c>
      <c r="I2009" s="1097">
        <v>1.009827739609451</v>
      </c>
      <c r="K2009">
        <v>5.2192612100030109</v>
      </c>
      <c r="L2009">
        <v>0</v>
      </c>
      <c r="M2009">
        <v>3.8152803002934428E-3</v>
      </c>
      <c r="N2009">
        <v>0.3174808354974919</v>
      </c>
      <c r="O2009">
        <v>0.14940832129162318</v>
      </c>
      <c r="P2009">
        <v>2.0270798084051626E-2</v>
      </c>
      <c r="Q2009">
        <v>1.2856602270793283E-3</v>
      </c>
      <c r="R2009">
        <v>3.8091102000074981E-3</v>
      </c>
      <c r="S2009">
        <v>0.47225644205356615</v>
      </c>
      <c r="T2009">
        <v>4.0208743530458495</v>
      </c>
      <c r="U2009">
        <v>0</v>
      </c>
      <c r="V2009">
        <v>1.1304767209823806E-2</v>
      </c>
      <c r="W2009">
        <v>0.19092583214371275</v>
      </c>
      <c r="X2009">
        <v>2.469553431307166E-2</v>
      </c>
      <c r="Y2009">
        <v>1.0764836237027765E-2</v>
      </c>
    </row>
    <row r="2010" spans="1:25" x14ac:dyDescent="0.25">
      <c r="A2010" s="1093"/>
      <c r="B2010" s="1452">
        <v>1760</v>
      </c>
      <c r="C2010" s="1097">
        <v>0.9713187450857278</v>
      </c>
      <c r="D2010" s="1097">
        <v>1.01227095128178</v>
      </c>
      <c r="E2010" s="1097">
        <v>0.99860685808559746</v>
      </c>
      <c r="F2010" s="1097">
        <v>0.97743829817244876</v>
      </c>
      <c r="G2010" s="1097">
        <v>0.99393502216586671</v>
      </c>
      <c r="H2010" s="1097">
        <v>1.0033275028116679</v>
      </c>
      <c r="I2010" s="1097">
        <v>1.0123071224708444</v>
      </c>
      <c r="K2010">
        <v>5.0970764797507897</v>
      </c>
      <c r="L2010">
        <v>0</v>
      </c>
      <c r="M2010">
        <v>3.6441408126219048E-3</v>
      </c>
      <c r="N2010">
        <v>0.31483075309506031</v>
      </c>
      <c r="O2010">
        <v>0.14863801784274561</v>
      </c>
      <c r="P2010">
        <v>1.9940182806762154E-2</v>
      </c>
      <c r="Q2010">
        <v>1.333952505375042E-3</v>
      </c>
      <c r="R2010">
        <v>3.6379751049100888E-3</v>
      </c>
      <c r="S2010">
        <v>0.47232278526644011</v>
      </c>
      <c r="T2010">
        <v>3.9053603667235173</v>
      </c>
      <c r="U2010">
        <v>0</v>
      </c>
      <c r="V2010">
        <v>1.1304767209823822E-2</v>
      </c>
      <c r="W2010">
        <v>0.18770824397772432</v>
      </c>
      <c r="X2010">
        <v>2.5362380638311068E-2</v>
      </c>
      <c r="Y2010">
        <v>1.0281195392736057E-2</v>
      </c>
    </row>
    <row r="2011" spans="1:25" x14ac:dyDescent="0.25">
      <c r="A2011" s="1093"/>
      <c r="B2011" s="1452">
        <v>1761</v>
      </c>
      <c r="C2011" s="1097">
        <v>1.0023767240630297</v>
      </c>
      <c r="D2011" s="1097">
        <v>0.99869171259755751</v>
      </c>
      <c r="E2011" s="1097">
        <v>1.0423511172402384</v>
      </c>
      <c r="F2011" s="1097">
        <v>1.02486558050226</v>
      </c>
      <c r="G2011" s="1097">
        <v>0.96969094793747612</v>
      </c>
      <c r="H2011" s="1097">
        <v>1.0179348302236269</v>
      </c>
      <c r="I2011" s="1097">
        <v>1.0396661822121642</v>
      </c>
      <c r="K2011">
        <v>5.3404632363734166</v>
      </c>
      <c r="L2011">
        <v>0</v>
      </c>
      <c r="M2011">
        <v>3.4431825124500094E-3</v>
      </c>
      <c r="N2011">
        <v>0.33860311949262673</v>
      </c>
      <c r="O2011">
        <v>0.15059352277381613</v>
      </c>
      <c r="P2011">
        <v>2.1550480038624881E-2</v>
      </c>
      <c r="Q2011">
        <v>1.3486193909910925E-3</v>
      </c>
      <c r="R2011">
        <v>3.4377057092982513E-3</v>
      </c>
      <c r="S2011">
        <v>0.4933202015109111</v>
      </c>
      <c r="T2011">
        <v>4.0892820113070405</v>
      </c>
      <c r="U2011">
        <v>0</v>
      </c>
      <c r="V2011">
        <v>1.1304767209823827E-2</v>
      </c>
      <c r="W2011">
        <v>0.19607989608008292</v>
      </c>
      <c r="X2011">
        <v>2.8670876581756731E-2</v>
      </c>
      <c r="Y2011">
        <v>9.7152187908919555E-3</v>
      </c>
    </row>
    <row r="2012" spans="1:25" x14ac:dyDescent="0.25">
      <c r="A2012" s="1093"/>
      <c r="B2012" s="1452">
        <v>1762</v>
      </c>
      <c r="C2012" s="1097">
        <v>0.98997757532156783</v>
      </c>
      <c r="D2012" s="1097">
        <v>0.98083342146528807</v>
      </c>
      <c r="E2012" s="1097">
        <v>1.0127847659440865</v>
      </c>
      <c r="F2012" s="1097">
        <v>0.99306938442163606</v>
      </c>
      <c r="G2012" s="1097">
        <v>0.97256910022709586</v>
      </c>
      <c r="H2012" s="1097">
        <v>1.0082270366474102</v>
      </c>
      <c r="I2012" s="1097">
        <v>1.0175919964467024</v>
      </c>
      <c r="K2012">
        <v>5.1755034933234345</v>
      </c>
      <c r="L2012">
        <v>0</v>
      </c>
      <c r="M2012">
        <v>3.5877983564759678E-3</v>
      </c>
      <c r="N2012">
        <v>0.32326711612560127</v>
      </c>
      <c r="O2012">
        <v>0.1496514170589924</v>
      </c>
      <c r="P2012">
        <v>2.0446385315581388E-2</v>
      </c>
      <c r="Q2012">
        <v>1.3415763756470338E-3</v>
      </c>
      <c r="R2012">
        <v>3.5818524024034204E-3</v>
      </c>
      <c r="S2012">
        <v>0.47596864769402236</v>
      </c>
      <c r="T2012">
        <v>3.9660514631078163</v>
      </c>
      <c r="U2012">
        <v>0</v>
      </c>
      <c r="V2012">
        <v>1.1304767209823799E-2</v>
      </c>
      <c r="W2012">
        <v>0.19090712062249279</v>
      </c>
      <c r="X2012">
        <v>2.6448357416847326E-2</v>
      </c>
      <c r="Y2012">
        <v>1.0122588350686568E-2</v>
      </c>
    </row>
    <row r="2013" spans="1:25" x14ac:dyDescent="0.25">
      <c r="A2013" s="1093"/>
      <c r="B2013" s="1452">
        <v>1763</v>
      </c>
      <c r="C2013" s="1097">
        <v>1.0327165342598457</v>
      </c>
      <c r="D2013" s="1097">
        <v>0.95143202356586942</v>
      </c>
      <c r="E2013" s="1097">
        <v>0.97112779722627651</v>
      </c>
      <c r="F2013" s="1097">
        <v>0.98651813276363709</v>
      </c>
      <c r="G2013" s="1097">
        <v>0.98531051666010616</v>
      </c>
      <c r="H2013" s="1097">
        <v>0.98354964935352229</v>
      </c>
      <c r="I2013" s="1097">
        <v>0.99713780483036885</v>
      </c>
      <c r="K2013">
        <v>5.0707738015641164</v>
      </c>
      <c r="L2013">
        <v>0</v>
      </c>
      <c r="M2013">
        <v>3.6828031507272234E-3</v>
      </c>
      <c r="N2013">
        <v>0.29326004425494789</v>
      </c>
      <c r="O2013">
        <v>0.1453868877325134</v>
      </c>
      <c r="P2013">
        <v>1.957598899289029E-2</v>
      </c>
      <c r="Q2013">
        <v>1.2559186532444405E-3</v>
      </c>
      <c r="R2013">
        <v>3.6765051343864625E-3</v>
      </c>
      <c r="S2013">
        <v>0.4428973280769839</v>
      </c>
      <c r="T2013">
        <v>3.9450666123480818</v>
      </c>
      <c r="U2013">
        <v>0</v>
      </c>
      <c r="V2013">
        <v>1.1304767209823824E-2</v>
      </c>
      <c r="W2013">
        <v>0.17815931997741993</v>
      </c>
      <c r="X2013">
        <v>2.3483148136882452E-2</v>
      </c>
      <c r="Y2013">
        <v>1.0390084197664882E-2</v>
      </c>
    </row>
    <row r="2014" spans="1:25" x14ac:dyDescent="0.25">
      <c r="A2014" s="1093"/>
      <c r="B2014" s="1452">
        <v>1764</v>
      </c>
      <c r="C2014" s="1097">
        <v>1.0016294046697971</v>
      </c>
      <c r="D2014" s="1097">
        <v>0.97990206555650028</v>
      </c>
      <c r="E2014" s="1097">
        <v>0.97098465982546189</v>
      </c>
      <c r="F2014" s="1097">
        <v>1.0022142182442044</v>
      </c>
      <c r="G2014" s="1097">
        <v>0.97038446051696947</v>
      </c>
      <c r="H2014" s="1097">
        <v>0.99244224599793962</v>
      </c>
      <c r="I2014" s="1097">
        <v>1.0067326368117648</v>
      </c>
      <c r="K2014">
        <v>5.1843039965804776</v>
      </c>
      <c r="L2014">
        <v>0</v>
      </c>
      <c r="M2014">
        <v>3.847812709713128E-3</v>
      </c>
      <c r="N2014">
        <v>0.30628231686904089</v>
      </c>
      <c r="O2014">
        <v>0.15050274352931994</v>
      </c>
      <c r="P2014">
        <v>1.9956368153433626E-2</v>
      </c>
      <c r="Q2014">
        <v>1.2795561329423612E-3</v>
      </c>
      <c r="R2014">
        <v>3.8413934314804935E-3</v>
      </c>
      <c r="S2014">
        <v>0.46607886683932415</v>
      </c>
      <c r="T2014">
        <v>4.0078532046340287</v>
      </c>
      <c r="U2014">
        <v>0</v>
      </c>
      <c r="V2014">
        <v>1.1304767209823822E-2</v>
      </c>
      <c r="W2014">
        <v>0.18608888145954694</v>
      </c>
      <c r="X2014">
        <v>2.4107639917365399E-2</v>
      </c>
      <c r="Y2014">
        <v>1.0856071113878575E-2</v>
      </c>
    </row>
    <row r="2015" spans="1:25" x14ac:dyDescent="0.25">
      <c r="A2015" s="1093"/>
      <c r="B2015" s="1452">
        <v>1765</v>
      </c>
      <c r="C2015" s="1097">
        <v>0.96610009667671126</v>
      </c>
      <c r="D2015" s="1097">
        <v>0.97924914352076609</v>
      </c>
      <c r="E2015" s="1097">
        <v>1.0056240706789439</v>
      </c>
      <c r="F2015" s="1097">
        <v>1.0219457737674598</v>
      </c>
      <c r="G2015" s="1097">
        <v>1.031324426905385</v>
      </c>
      <c r="H2015" s="1097">
        <v>0.97300732086435382</v>
      </c>
      <c r="I2015" s="1097">
        <v>0.99176671230258806</v>
      </c>
      <c r="K2015">
        <v>5.313346086144568</v>
      </c>
      <c r="L2015">
        <v>0</v>
      </c>
      <c r="M2015">
        <v>3.7089929298676026E-3</v>
      </c>
      <c r="N2015">
        <v>0.32717219862580071</v>
      </c>
      <c r="O2015">
        <v>0.15812392302580802</v>
      </c>
      <c r="P2015">
        <v>2.0888039982926973E-2</v>
      </c>
      <c r="Q2015">
        <v>1.3672557698860086E-3</v>
      </c>
      <c r="R2015">
        <v>3.702803309586845E-3</v>
      </c>
      <c r="S2015">
        <v>0.48008107959030893</v>
      </c>
      <c r="T2015">
        <v>4.0822907720691974</v>
      </c>
      <c r="U2015">
        <v>0</v>
      </c>
      <c r="V2015">
        <v>1.1304767209823829E-2</v>
      </c>
      <c r="W2015">
        <v>0.19414481239687428</v>
      </c>
      <c r="X2015">
        <v>2.7515022245667087E-2</v>
      </c>
      <c r="Y2015">
        <v>1.0464404848551861E-2</v>
      </c>
    </row>
    <row r="2016" spans="1:25" x14ac:dyDescent="0.25">
      <c r="A2016" s="1093"/>
      <c r="B2016" s="1452">
        <v>1766</v>
      </c>
      <c r="C2016" s="1097">
        <v>1.0039082068099987</v>
      </c>
      <c r="D2016" s="1097">
        <v>0.99174375960075556</v>
      </c>
      <c r="E2016" s="1097">
        <v>1.0064686872369839</v>
      </c>
      <c r="F2016" s="1097">
        <v>1.0004336883486342</v>
      </c>
      <c r="G2016" s="1097">
        <v>1.0137203683664593</v>
      </c>
      <c r="H2016" s="1097">
        <v>1.0245237031889587</v>
      </c>
      <c r="I2016" s="1097">
        <v>1.0189735946149632</v>
      </c>
      <c r="K2016">
        <v>5.2034277423973565</v>
      </c>
      <c r="L2016">
        <v>0</v>
      </c>
      <c r="M2016">
        <v>3.6541799984150169E-3</v>
      </c>
      <c r="N2016">
        <v>0.32316058868427822</v>
      </c>
      <c r="O2016">
        <v>0.14818858654875147</v>
      </c>
      <c r="P2016">
        <v>2.0484660897926867E-2</v>
      </c>
      <c r="Q2016">
        <v>1.3100520120140843E-3</v>
      </c>
      <c r="R2016">
        <v>3.6482641584660719E-3</v>
      </c>
      <c r="S2016">
        <v>0.47498512581699442</v>
      </c>
      <c r="T2016">
        <v>3.9962522563775038</v>
      </c>
      <c r="U2016">
        <v>0</v>
      </c>
      <c r="V2016">
        <v>1.1304767209823806E-2</v>
      </c>
      <c r="W2016">
        <v>0.19165532218261491</v>
      </c>
      <c r="X2016">
        <v>2.5782025463781666E-2</v>
      </c>
      <c r="Y2016">
        <v>1.0310273043617342E-2</v>
      </c>
    </row>
    <row r="2017" spans="1:25" x14ac:dyDescent="0.25">
      <c r="A2017" s="1093"/>
      <c r="B2017" s="1452">
        <v>1767</v>
      </c>
      <c r="C2017" s="1097">
        <v>0.98673885928971372</v>
      </c>
      <c r="D2017" s="1097">
        <v>0.99307407974948836</v>
      </c>
      <c r="E2017" s="1097">
        <v>1.0019483420735942</v>
      </c>
      <c r="F2017" s="1097">
        <v>0.99286980561764782</v>
      </c>
      <c r="G2017" s="1097">
        <v>0.98652702138552184</v>
      </c>
      <c r="H2017" s="1097">
        <v>1.0395742724980639</v>
      </c>
      <c r="I2017" s="1097">
        <v>1.0041399111402887</v>
      </c>
      <c r="K2017">
        <v>5.1870348963801236</v>
      </c>
      <c r="L2017">
        <v>0</v>
      </c>
      <c r="M2017">
        <v>3.7777116404555922E-3</v>
      </c>
      <c r="N2017">
        <v>0.32964554848464234</v>
      </c>
      <c r="O2017">
        <v>0.14967395000457445</v>
      </c>
      <c r="P2017">
        <v>2.0285234156193363E-2</v>
      </c>
      <c r="Q2017">
        <v>1.3269955007975647E-3</v>
      </c>
      <c r="R2017">
        <v>3.7716385145027168E-3</v>
      </c>
      <c r="S2017">
        <v>0.47592516443345112</v>
      </c>
      <c r="T2017">
        <v>3.9666005562847193</v>
      </c>
      <c r="U2017">
        <v>0</v>
      </c>
      <c r="V2017">
        <v>1.1304767209823815E-2</v>
      </c>
      <c r="W2017">
        <v>0.19609782550240729</v>
      </c>
      <c r="X2017">
        <v>2.5521989536505283E-2</v>
      </c>
      <c r="Y2017">
        <v>1.0658938392963396E-2</v>
      </c>
    </row>
    <row r="2018" spans="1:25" x14ac:dyDescent="0.25">
      <c r="A2018" s="1093"/>
      <c r="B2018" s="1452">
        <v>1768</v>
      </c>
      <c r="C2018" s="1097">
        <v>1.0230058359926568</v>
      </c>
      <c r="D2018" s="1097">
        <v>1.0083331488772633</v>
      </c>
      <c r="E2018" s="1097">
        <v>0.99382015636852084</v>
      </c>
      <c r="F2018" s="1097">
        <v>1.0244597865480578</v>
      </c>
      <c r="G2018" s="1097">
        <v>1.0297343477632541</v>
      </c>
      <c r="H2018" s="1097">
        <v>1.0452291215087215</v>
      </c>
      <c r="I2018" s="1097">
        <v>0.99862605565341878</v>
      </c>
      <c r="K2018">
        <v>5.2998289687957136</v>
      </c>
      <c r="L2018">
        <v>0</v>
      </c>
      <c r="M2018">
        <v>3.8218331914710297E-3</v>
      </c>
      <c r="N2018">
        <v>0.32557747973566536</v>
      </c>
      <c r="O2018">
        <v>0.14828111970842536</v>
      </c>
      <c r="P2018">
        <v>2.070424130324712E-2</v>
      </c>
      <c r="Q2018">
        <v>1.2633252844613076E-3</v>
      </c>
      <c r="R2018">
        <v>3.8159105014574008E-3</v>
      </c>
      <c r="S2018">
        <v>0.46836330369051615</v>
      </c>
      <c r="T2018">
        <v>4.0938517757958692</v>
      </c>
      <c r="U2018">
        <v>0</v>
      </c>
      <c r="V2018">
        <v>1.1304767209823806E-2</v>
      </c>
      <c r="W2018">
        <v>0.19474629578624586</v>
      </c>
      <c r="X2018">
        <v>2.4958528563370844E-2</v>
      </c>
      <c r="Y2018">
        <v>1.0784054408103644E-2</v>
      </c>
    </row>
    <row r="2019" spans="1:25" x14ac:dyDescent="0.25">
      <c r="A2019" s="1093"/>
      <c r="B2019" s="1452">
        <v>1769</v>
      </c>
      <c r="C2019" s="1097">
        <v>1.004893975302231</v>
      </c>
      <c r="D2019" s="1097">
        <v>0.96534108001141317</v>
      </c>
      <c r="E2019" s="1097">
        <v>0.9806369769575628</v>
      </c>
      <c r="F2019" s="1097">
        <v>1.0190653806142898</v>
      </c>
      <c r="G2019" s="1097">
        <v>1.0038280435656441</v>
      </c>
      <c r="H2019" s="1097">
        <v>0.95880790395608706</v>
      </c>
      <c r="I2019" s="1097">
        <v>0.99080461959283694</v>
      </c>
      <c r="K2019">
        <v>5.2424404530156137</v>
      </c>
      <c r="L2019">
        <v>0</v>
      </c>
      <c r="M2019">
        <v>3.714181132570194E-3</v>
      </c>
      <c r="N2019">
        <v>0.30422920574593826</v>
      </c>
      <c r="O2019">
        <v>0.15317617758980401</v>
      </c>
      <c r="P2019">
        <v>2.036658635357556E-2</v>
      </c>
      <c r="Q2019">
        <v>1.2938842288368316E-3</v>
      </c>
      <c r="R2019">
        <v>3.7078733110867484E-3</v>
      </c>
      <c r="S2019">
        <v>0.45859440423580322</v>
      </c>
      <c r="T2019">
        <v>4.0739920025966914</v>
      </c>
      <c r="U2019">
        <v>0</v>
      </c>
      <c r="V2019">
        <v>1.1304767209823822E-2</v>
      </c>
      <c r="W2019">
        <v>0.18361964408348075</v>
      </c>
      <c r="X2019">
        <v>2.5391355733272631E-2</v>
      </c>
      <c r="Y2019">
        <v>1.0478733059866888E-2</v>
      </c>
    </row>
    <row r="2020" spans="1:25" x14ac:dyDescent="0.25">
      <c r="A2020" s="1093"/>
      <c r="B2020" s="1452">
        <v>1770</v>
      </c>
      <c r="C2020" s="1097">
        <v>0.99042996822167118</v>
      </c>
      <c r="D2020" s="1097">
        <v>1.0035025212214543</v>
      </c>
      <c r="E2020" s="1097">
        <v>0.9898258679618881</v>
      </c>
      <c r="F2020" s="1097">
        <v>0.99595105964022979</v>
      </c>
      <c r="G2020" s="1097">
        <v>0.98964170665703177</v>
      </c>
      <c r="H2020" s="1097">
        <v>0.99263286365935932</v>
      </c>
      <c r="I2020" s="1097">
        <v>0.96602701044646455</v>
      </c>
      <c r="K2020">
        <v>5.1415585570085263</v>
      </c>
      <c r="L2020">
        <v>0</v>
      </c>
      <c r="M2020">
        <v>3.68255439802753E-3</v>
      </c>
      <c r="N2020">
        <v>0.30997940255880752</v>
      </c>
      <c r="O2020">
        <v>0.14929399630216714</v>
      </c>
      <c r="P2020">
        <v>2.0037722913961404E-2</v>
      </c>
      <c r="Q2020">
        <v>1.3028946636430222E-3</v>
      </c>
      <c r="R2020">
        <v>3.6763734359484801E-3</v>
      </c>
      <c r="S2020">
        <v>0.44785474781178836</v>
      </c>
      <c r="T2020">
        <v>3.9804292118942799</v>
      </c>
      <c r="U2020">
        <v>0</v>
      </c>
      <c r="V2020">
        <v>1.1304767209823806E-2</v>
      </c>
      <c r="W2020">
        <v>0.185920232260223</v>
      </c>
      <c r="X2020">
        <v>2.5052050348088453E-2</v>
      </c>
      <c r="Y2020">
        <v>1.0389712007824441E-2</v>
      </c>
    </row>
    <row r="2021" spans="1:25" x14ac:dyDescent="0.25">
      <c r="A2021" s="1093"/>
      <c r="B2021" s="1452">
        <v>1771</v>
      </c>
      <c r="C2021" s="1097">
        <v>0.97296925916095922</v>
      </c>
      <c r="D2021" s="1097">
        <v>1.003956588906795</v>
      </c>
      <c r="E2021" s="1097">
        <v>1.0437252377926178</v>
      </c>
      <c r="F2021" s="1097">
        <v>1.0181361564151885</v>
      </c>
      <c r="G2021" s="1097">
        <v>0.99968074487422809</v>
      </c>
      <c r="H2021" s="1097">
        <v>0.99213104942324915</v>
      </c>
      <c r="I2021" s="1097">
        <v>0.99590874464696522</v>
      </c>
      <c r="K2021">
        <v>5.3002877341681662</v>
      </c>
      <c r="L2021">
        <v>0</v>
      </c>
      <c r="M2021">
        <v>3.4174822671809912E-3</v>
      </c>
      <c r="N2021">
        <v>0.3374248764191064</v>
      </c>
      <c r="O2021">
        <v>0.1537626391189455</v>
      </c>
      <c r="P2021">
        <v>2.1375803466980953E-2</v>
      </c>
      <c r="Q2021">
        <v>1.388051422706346E-3</v>
      </c>
      <c r="R2021">
        <v>3.4118681601192969E-3</v>
      </c>
      <c r="S2021">
        <v>0.47861847874685154</v>
      </c>
      <c r="T2021">
        <v>4.0622590850314904</v>
      </c>
      <c r="U2021">
        <v>0</v>
      </c>
      <c r="V2021">
        <v>1.1304767209823811E-2</v>
      </c>
      <c r="W2021">
        <v>0.19522139564751426</v>
      </c>
      <c r="X2021">
        <v>2.9296051307497694E-2</v>
      </c>
      <c r="Y2021">
        <v>9.6421999043086633E-3</v>
      </c>
    </row>
    <row r="2022" spans="1:25" x14ac:dyDescent="0.25">
      <c r="A2022" s="1093"/>
      <c r="B2022" s="1452">
        <v>1772</v>
      </c>
      <c r="C2022" s="1097">
        <v>0.99052277697876812</v>
      </c>
      <c r="D2022" s="1097">
        <v>0.98075546118342927</v>
      </c>
      <c r="E2022" s="1097">
        <v>0.99583837140604248</v>
      </c>
      <c r="F2022" s="1097">
        <v>0.9997600536439557</v>
      </c>
      <c r="G2022" s="1097">
        <v>0.95978043001537128</v>
      </c>
      <c r="H2022" s="1097">
        <v>0.99044025863178908</v>
      </c>
      <c r="I2022" s="1097">
        <v>0.99693625667537022</v>
      </c>
      <c r="K2022">
        <v>5.1832863070689212</v>
      </c>
      <c r="L2022">
        <v>0</v>
      </c>
      <c r="M2022">
        <v>3.6753047615215072E-3</v>
      </c>
      <c r="N2022">
        <v>0.31493373273157516</v>
      </c>
      <c r="O2022">
        <v>0.15106138248990983</v>
      </c>
      <c r="P2022">
        <v>2.027304647009056E-2</v>
      </c>
      <c r="Q2022">
        <v>1.3215993652224971E-3</v>
      </c>
      <c r="R2022">
        <v>3.6691458267469074E-3</v>
      </c>
      <c r="S2022">
        <v>0.46530259715134908</v>
      </c>
      <c r="T2022">
        <v>3.9948950318777472</v>
      </c>
      <c r="U2022">
        <v>0</v>
      </c>
      <c r="V2022">
        <v>1.130476720982382E-2</v>
      </c>
      <c r="W2022">
        <v>0.18812198059319202</v>
      </c>
      <c r="X2022">
        <v>2.5709041882366796E-2</v>
      </c>
      <c r="Y2022">
        <v>1.0369286232418942E-2</v>
      </c>
    </row>
    <row r="2023" spans="1:25" x14ac:dyDescent="0.25">
      <c r="A2023" s="1093"/>
      <c r="B2023" s="1452">
        <v>1773</v>
      </c>
      <c r="C2023" s="1097">
        <v>1.0204586766738268</v>
      </c>
      <c r="D2023" s="1097">
        <v>1.0193008190902226</v>
      </c>
      <c r="E2023" s="1097">
        <v>0.96282935159310146</v>
      </c>
      <c r="F2023" s="1097">
        <v>1.0006817603493134</v>
      </c>
      <c r="G2023" s="1097">
        <v>0.99930726960041594</v>
      </c>
      <c r="H2023" s="1097">
        <v>0.97265501135442978</v>
      </c>
      <c r="I2023" s="1097">
        <v>0.99337684404265758</v>
      </c>
      <c r="K2023">
        <v>5.1210090475132448</v>
      </c>
      <c r="L2023">
        <v>0</v>
      </c>
      <c r="M2023">
        <v>3.7007314507792122E-3</v>
      </c>
      <c r="N2023">
        <v>0.287514430299951</v>
      </c>
      <c r="O2023">
        <v>0.14541299444191344</v>
      </c>
      <c r="P2023">
        <v>1.9710596733712761E-2</v>
      </c>
      <c r="Q2023">
        <v>1.2275038169756172E-3</v>
      </c>
      <c r="R2023">
        <v>3.6944223170206998E-3</v>
      </c>
      <c r="S2023">
        <v>0.44378144646097539</v>
      </c>
      <c r="T2023">
        <v>4.0027653870414222</v>
      </c>
      <c r="U2023">
        <v>0</v>
      </c>
      <c r="V2023">
        <v>1.1304767209823827E-2</v>
      </c>
      <c r="W2023">
        <v>0.17567362096781133</v>
      </c>
      <c r="X2023">
        <v>2.318389015071012E-2</v>
      </c>
      <c r="Y2023">
        <v>1.0440719523701417E-2</v>
      </c>
    </row>
    <row r="2024" spans="1:25" x14ac:dyDescent="0.25">
      <c r="A2024" s="1093"/>
      <c r="B2024" s="1452">
        <v>1774</v>
      </c>
      <c r="C2024" s="1097">
        <v>0.97284942940536134</v>
      </c>
      <c r="D2024" s="1097">
        <v>0.95580715773072811</v>
      </c>
      <c r="E2024" s="1097">
        <v>1.0248328120663046</v>
      </c>
      <c r="F2024" s="1097">
        <v>1.0372237598435772</v>
      </c>
      <c r="G2024" s="1097">
        <v>1.0249283036307757</v>
      </c>
      <c r="H2024" s="1097">
        <v>1.0168304180705388</v>
      </c>
      <c r="I2024" s="1097">
        <v>0.96598000898042014</v>
      </c>
      <c r="K2024">
        <v>5.4168287780169191</v>
      </c>
      <c r="L2024">
        <v>0</v>
      </c>
      <c r="M2024">
        <v>3.7879057357837463E-3</v>
      </c>
      <c r="N2024">
        <v>0.35371296891284121</v>
      </c>
      <c r="O2024">
        <v>0.16034603255735322</v>
      </c>
      <c r="P2024">
        <v>2.1460724872254446E-2</v>
      </c>
      <c r="Q2024">
        <v>1.3935296554924428E-3</v>
      </c>
      <c r="R2024">
        <v>3.7819458144790329E-3</v>
      </c>
      <c r="S2024">
        <v>0.48100743054429296</v>
      </c>
      <c r="T2024">
        <v>4.1408370858302739</v>
      </c>
      <c r="U2024">
        <v>0</v>
      </c>
      <c r="V2024">
        <v>1.1304767209823818E-2</v>
      </c>
      <c r="W2024">
        <v>0.20721436777145491</v>
      </c>
      <c r="X2024">
        <v>2.8869762974810496E-2</v>
      </c>
      <c r="Y2024">
        <v>1.0688067609621594E-2</v>
      </c>
    </row>
    <row r="2025" spans="1:25" x14ac:dyDescent="0.25">
      <c r="A2025" s="1093"/>
      <c r="B2025" s="1452">
        <v>1775</v>
      </c>
      <c r="C2025" s="1097">
        <v>0.99749027749229091</v>
      </c>
      <c r="D2025" s="1097">
        <v>1.0253409999206904</v>
      </c>
      <c r="E2025" s="1097">
        <v>0.99878348616013679</v>
      </c>
      <c r="F2025" s="1097">
        <v>1.0053521884208458</v>
      </c>
      <c r="G2025" s="1097">
        <v>1.0313525803888062</v>
      </c>
      <c r="H2025" s="1097">
        <v>1.0029074209454691</v>
      </c>
      <c r="I2025" s="1097">
        <v>1.0028476048140771</v>
      </c>
      <c r="K2025">
        <v>5.1995507527037699</v>
      </c>
      <c r="L2025">
        <v>0</v>
      </c>
      <c r="M2025">
        <v>3.6281451379246233E-3</v>
      </c>
      <c r="N2025">
        <v>0.31362744458947578</v>
      </c>
      <c r="O2025">
        <v>0.14810471173991011</v>
      </c>
      <c r="P2025">
        <v>2.0417430332148257E-2</v>
      </c>
      <c r="Q2025">
        <v>1.2925002694548534E-3</v>
      </c>
      <c r="R2025">
        <v>3.6221741540061799E-3</v>
      </c>
      <c r="S2025">
        <v>0.46527456413422646</v>
      </c>
      <c r="T2025">
        <v>4.0168681679027465</v>
      </c>
      <c r="U2025">
        <v>0</v>
      </c>
      <c r="V2025">
        <v>1.1304767209823815E-2</v>
      </c>
      <c r="W2025">
        <v>0.18696846684705021</v>
      </c>
      <c r="X2025">
        <v>2.5462129963716842E-2</v>
      </c>
      <c r="Y2025">
        <v>1.0236540699136076E-2</v>
      </c>
    </row>
    <row r="2026" spans="1:25" x14ac:dyDescent="0.25">
      <c r="A2026" s="1093"/>
      <c r="B2026" s="1452">
        <v>1776</v>
      </c>
      <c r="C2026" s="1097">
        <v>0.99300276996646397</v>
      </c>
      <c r="D2026" s="1097">
        <v>0.97392443800788475</v>
      </c>
      <c r="E2026" s="1097">
        <v>1.0012516442129202</v>
      </c>
      <c r="F2026" s="1097">
        <v>1.0291933181571145</v>
      </c>
      <c r="G2026" s="1097">
        <v>0.95600584394054688</v>
      </c>
      <c r="H2026" s="1097">
        <v>0.99668294640432875</v>
      </c>
      <c r="I2026" s="1097">
        <v>0.96210676856892707</v>
      </c>
      <c r="K2026">
        <v>5.3217799022207792</v>
      </c>
      <c r="L2026">
        <v>0</v>
      </c>
      <c r="M2026">
        <v>3.7651390961848238E-3</v>
      </c>
      <c r="N2026">
        <v>0.3278677044167988</v>
      </c>
      <c r="O2026">
        <v>0.15539676523325527</v>
      </c>
      <c r="P2026">
        <v>2.0866598459495473E-2</v>
      </c>
      <c r="Q2026">
        <v>1.3281426572751913E-3</v>
      </c>
      <c r="R2026">
        <v>3.7590481611566662E-3</v>
      </c>
      <c r="S2026">
        <v>0.46075090811482727</v>
      </c>
      <c r="T2026">
        <v>4.1118060818800419</v>
      </c>
      <c r="U2026">
        <v>0</v>
      </c>
      <c r="V2026">
        <v>1.1304767209823808E-2</v>
      </c>
      <c r="W2026">
        <v>0.19513199341107362</v>
      </c>
      <c r="X2026">
        <v>2.670967468003705E-2</v>
      </c>
      <c r="Y2026">
        <v>1.0623357093179457E-2</v>
      </c>
    </row>
    <row r="2027" spans="1:25" x14ac:dyDescent="0.25">
      <c r="A2027" s="1093"/>
      <c r="B2027" s="1452">
        <v>1777</v>
      </c>
      <c r="C2027" s="1097">
        <v>0.98835450767835287</v>
      </c>
      <c r="D2027" s="1097">
        <v>1.0175217226710787</v>
      </c>
      <c r="E2027" s="1097">
        <v>1.0271134112395259</v>
      </c>
      <c r="F2027" s="1097">
        <v>1.0295568691981061</v>
      </c>
      <c r="G2027" s="1097">
        <v>1.0333377027598367</v>
      </c>
      <c r="H2027" s="1097">
        <v>0.98138661735762711</v>
      </c>
      <c r="I2027" s="1097">
        <v>1.0205071589403671</v>
      </c>
      <c r="K2027">
        <v>5.3351681084128311</v>
      </c>
      <c r="L2027">
        <v>0</v>
      </c>
      <c r="M2027">
        <v>3.466915637159191E-3</v>
      </c>
      <c r="N2027">
        <v>0.32590733864505966</v>
      </c>
      <c r="O2027">
        <v>0.15272596218777754</v>
      </c>
      <c r="P2027">
        <v>2.1366840087474567E-2</v>
      </c>
      <c r="Q2027">
        <v>1.3403391482533699E-3</v>
      </c>
      <c r="R2027">
        <v>3.4612217353134542E-3</v>
      </c>
      <c r="S2027">
        <v>0.48397768935731195</v>
      </c>
      <c r="T2027">
        <v>4.1099379023645168</v>
      </c>
      <c r="U2027">
        <v>0</v>
      </c>
      <c r="V2027">
        <v>1.1304767209823818E-2</v>
      </c>
      <c r="W2027">
        <v>0.190636149177287</v>
      </c>
      <c r="X2027">
        <v>2.8195137261397451E-2</v>
      </c>
      <c r="Y2027">
        <v>9.781676875774567E-3</v>
      </c>
    </row>
    <row r="2028" spans="1:25" x14ac:dyDescent="0.25">
      <c r="A2028" s="1093"/>
      <c r="B2028" s="1452">
        <v>1778</v>
      </c>
      <c r="C2028" s="1097">
        <v>0.99769892498783153</v>
      </c>
      <c r="D2028" s="1097">
        <v>1.0246762885570784</v>
      </c>
      <c r="E2028" s="1097">
        <v>0.99566697401473703</v>
      </c>
      <c r="F2028" s="1097">
        <v>1.0224327457606028</v>
      </c>
      <c r="G2028" s="1097">
        <v>1.0085671088503356</v>
      </c>
      <c r="H2028" s="1097">
        <v>0.99712717968635067</v>
      </c>
      <c r="I2028" s="1097">
        <v>0.97657013488438471</v>
      </c>
      <c r="K2028">
        <v>5.269289189743998</v>
      </c>
      <c r="L2028">
        <v>0</v>
      </c>
      <c r="M2028">
        <v>3.6927495159688418E-3</v>
      </c>
      <c r="N2028">
        <v>0.3162830873604226</v>
      </c>
      <c r="O2028">
        <v>0.15071655450780816</v>
      </c>
      <c r="P2028">
        <v>2.0650130827065526E-2</v>
      </c>
      <c r="Q2028">
        <v>1.2891113601196545E-3</v>
      </c>
      <c r="R2028">
        <v>3.6867389295974955E-3</v>
      </c>
      <c r="S2028">
        <v>0.4584445933582072</v>
      </c>
      <c r="T2028">
        <v>4.0855138414648158</v>
      </c>
      <c r="U2028">
        <v>0</v>
      </c>
      <c r="V2028">
        <v>1.130476720982382E-2</v>
      </c>
      <c r="W2028">
        <v>0.1889499522684884</v>
      </c>
      <c r="X2028">
        <v>2.5724156289371955E-2</v>
      </c>
      <c r="Y2028">
        <v>1.0419005684244564E-2</v>
      </c>
    </row>
    <row r="2029" spans="1:25" x14ac:dyDescent="0.25">
      <c r="A2029" s="1093"/>
      <c r="B2029" s="1452">
        <v>1779</v>
      </c>
      <c r="C2029" s="1097">
        <v>0.98481827282808243</v>
      </c>
      <c r="D2029" s="1097">
        <v>0.98728584220148163</v>
      </c>
      <c r="E2029" s="1097">
        <v>1.0377697562911516</v>
      </c>
      <c r="F2029" s="1097">
        <v>0.98010444791055429</v>
      </c>
      <c r="G2029" s="1097">
        <v>0.98100905345204659</v>
      </c>
      <c r="H2029" s="1097">
        <v>1.0066862355189794</v>
      </c>
      <c r="I2029" s="1097">
        <v>0.95574293833569623</v>
      </c>
      <c r="K2029">
        <v>5.0880991122720092</v>
      </c>
      <c r="L2029">
        <v>0</v>
      </c>
      <c r="M2029">
        <v>3.3624624629646554E-3</v>
      </c>
      <c r="N2029">
        <v>0.32619017723173604</v>
      </c>
      <c r="O2029">
        <v>0.14738665959847003</v>
      </c>
      <c r="P2029">
        <v>2.0414626793403945E-2</v>
      </c>
      <c r="Q2029">
        <v>1.3737168749619259E-3</v>
      </c>
      <c r="R2029">
        <v>3.356807720751222E-3</v>
      </c>
      <c r="S2029">
        <v>0.44361642939413842</v>
      </c>
      <c r="T2029">
        <v>3.9112351804884726</v>
      </c>
      <c r="U2029">
        <v>0</v>
      </c>
      <c r="V2029">
        <v>1.1304767209823827E-2</v>
      </c>
      <c r="W2029">
        <v>0.18946189272932451</v>
      </c>
      <c r="X2029">
        <v>2.7634721794898853E-2</v>
      </c>
      <c r="Y2029">
        <v>9.4865948989887976E-3</v>
      </c>
    </row>
    <row r="2030" spans="1:25" x14ac:dyDescent="0.25">
      <c r="A2030" s="1093"/>
      <c r="B2030" s="1452">
        <v>1780</v>
      </c>
      <c r="C2030" s="1097">
        <v>0.98873063329430755</v>
      </c>
      <c r="D2030" s="1097">
        <v>0.96709037340055404</v>
      </c>
      <c r="E2030" s="1097">
        <v>1.007551198080328</v>
      </c>
      <c r="F2030" s="1097">
        <v>0.97225526841760268</v>
      </c>
      <c r="G2030" s="1097">
        <v>0.97274710517918117</v>
      </c>
      <c r="H2030" s="1097">
        <v>1.016623232176463</v>
      </c>
      <c r="I2030" s="1097">
        <v>0.98294992460575026</v>
      </c>
      <c r="K2030">
        <v>5.064222788682847</v>
      </c>
      <c r="L2030">
        <v>0</v>
      </c>
      <c r="M2030">
        <v>3.606107616881397E-3</v>
      </c>
      <c r="N2030">
        <v>0.31991409916479535</v>
      </c>
      <c r="O2030">
        <v>0.14767515048694085</v>
      </c>
      <c r="P2030">
        <v>1.9894844524366986E-2</v>
      </c>
      <c r="Q2030">
        <v>1.3448648485042168E-3</v>
      </c>
      <c r="R2030">
        <v>3.6000540092381195E-3</v>
      </c>
      <c r="S2030">
        <v>0.45512141105743364</v>
      </c>
      <c r="T2030">
        <v>3.8835612923803247</v>
      </c>
      <c r="U2030">
        <v>0</v>
      </c>
      <c r="V2030">
        <v>1.1304767209823839E-2</v>
      </c>
      <c r="W2030">
        <v>0.18959183614990568</v>
      </c>
      <c r="X2030">
        <v>2.5646548987156709E-2</v>
      </c>
      <c r="Y2030">
        <v>1.0174027481228372E-2</v>
      </c>
    </row>
    <row r="2031" spans="1:25" x14ac:dyDescent="0.25">
      <c r="A2031" s="1093"/>
      <c r="B2031" s="1452">
        <v>1781</v>
      </c>
      <c r="C2031" s="1097">
        <v>0.96775677894378909</v>
      </c>
      <c r="D2031" s="1097">
        <v>1.0171337648071868</v>
      </c>
      <c r="E2031" s="1097">
        <v>0.99274298154492957</v>
      </c>
      <c r="F2031" s="1097">
        <v>1.0178280183835082</v>
      </c>
      <c r="G2031" s="1097">
        <v>0.99565879067715291</v>
      </c>
      <c r="H2031" s="1097">
        <v>1.0091757981832374</v>
      </c>
      <c r="I2031" s="1097">
        <v>1.0127041612541212</v>
      </c>
      <c r="K2031">
        <v>5.3097010543468919</v>
      </c>
      <c r="L2031">
        <v>0</v>
      </c>
      <c r="M2031">
        <v>3.870771646202874E-3</v>
      </c>
      <c r="N2031">
        <v>0.32867355280178073</v>
      </c>
      <c r="O2031">
        <v>0.15522270577616737</v>
      </c>
      <c r="P2031">
        <v>2.0672222164987895E-2</v>
      </c>
      <c r="Q2031">
        <v>1.329581057992246E-3</v>
      </c>
      <c r="R2031">
        <v>3.8645184013999822E-3</v>
      </c>
      <c r="S2031">
        <v>0.4913367826712936</v>
      </c>
      <c r="T2031">
        <v>4.0674886033028432</v>
      </c>
      <c r="U2031">
        <v>0</v>
      </c>
      <c r="V2031">
        <v>1.1304767209823811E-2</v>
      </c>
      <c r="W2031">
        <v>0.1967420695590322</v>
      </c>
      <c r="X2031">
        <v>2.6015599003395819E-2</v>
      </c>
      <c r="Y2031">
        <v>1.0921424044378986E-2</v>
      </c>
    </row>
    <row r="2032" spans="1:25" x14ac:dyDescent="0.25">
      <c r="A2032" s="1093"/>
      <c r="B2032" s="1452">
        <v>1782</v>
      </c>
      <c r="C2032" s="1097">
        <v>0.96171913208099125</v>
      </c>
      <c r="D2032" s="1097">
        <v>0.98222275444610974</v>
      </c>
      <c r="E2032" s="1097">
        <v>0.99029357263552442</v>
      </c>
      <c r="F2032" s="1097">
        <v>1.0266153976752239</v>
      </c>
      <c r="G2032" s="1097">
        <v>1.0030717040413886</v>
      </c>
      <c r="H2032" s="1097">
        <v>1.0159843670429494</v>
      </c>
      <c r="I2032" s="1097">
        <v>1.0238588897572289</v>
      </c>
      <c r="K2032">
        <v>5.3860607744663849</v>
      </c>
      <c r="L2032">
        <v>0</v>
      </c>
      <c r="M2032">
        <v>4.0315079378804514E-3</v>
      </c>
      <c r="N2032">
        <v>0.33985332615572972</v>
      </c>
      <c r="O2032">
        <v>0.15983541205439522</v>
      </c>
      <c r="P2032">
        <v>2.087101743967832E-2</v>
      </c>
      <c r="Q2032">
        <v>1.3538900613670182E-3</v>
      </c>
      <c r="R2032">
        <v>4.0250939536343221E-3</v>
      </c>
      <c r="S2032">
        <v>0.508347079990631</v>
      </c>
      <c r="T2032">
        <v>4.1029220842789309</v>
      </c>
      <c r="U2032">
        <v>0</v>
      </c>
      <c r="V2032">
        <v>1.1304767209823824E-2</v>
      </c>
      <c r="W2032">
        <v>0.20377322847259782</v>
      </c>
      <c r="X2032">
        <v>2.6431159973117811E-2</v>
      </c>
      <c r="Y2032">
        <v>1.1375222814356701E-2</v>
      </c>
    </row>
    <row r="2033" spans="1:25" x14ac:dyDescent="0.25">
      <c r="A2033" s="1093"/>
      <c r="B2033" s="1452">
        <v>1783</v>
      </c>
      <c r="C2033" s="1097">
        <v>0.98196556547981895</v>
      </c>
      <c r="D2033" s="1097">
        <v>1.0133764051993719</v>
      </c>
      <c r="E2033" s="1097">
        <v>1.0236377311483236</v>
      </c>
      <c r="F2033" s="1097">
        <v>0.98122481918085491</v>
      </c>
      <c r="G2033" s="1097">
        <v>0.99732391108636564</v>
      </c>
      <c r="H2033" s="1097">
        <v>0.97128697268621567</v>
      </c>
      <c r="I2033" s="1097">
        <v>0.96256677985295191</v>
      </c>
      <c r="K2033">
        <v>5.0633928331264269</v>
      </c>
      <c r="L2033">
        <v>0</v>
      </c>
      <c r="M2033">
        <v>3.3213919783012086E-3</v>
      </c>
      <c r="N2033">
        <v>0.30900390080827628</v>
      </c>
      <c r="O2033">
        <v>0.14683895346056347</v>
      </c>
      <c r="P2033">
        <v>2.0217545367303649E-2</v>
      </c>
      <c r="Q2033">
        <v>1.3473094562201535E-3</v>
      </c>
      <c r="R2033">
        <v>3.3156093305191522E-3</v>
      </c>
      <c r="S2033">
        <v>0.43984501275711696</v>
      </c>
      <c r="T2033">
        <v>3.9174219102774486</v>
      </c>
      <c r="U2033">
        <v>0</v>
      </c>
      <c r="V2033">
        <v>1.1304767209823813E-2</v>
      </c>
      <c r="W2033">
        <v>0.18116651484565119</v>
      </c>
      <c r="X2033">
        <v>2.6882536488957869E-2</v>
      </c>
      <c r="Y2033">
        <v>9.3701651028446666E-3</v>
      </c>
    </row>
    <row r="2034" spans="1:25" x14ac:dyDescent="0.25">
      <c r="A2034" s="1093"/>
      <c r="B2034" s="1452">
        <v>1784</v>
      </c>
      <c r="C2034" s="1097">
        <v>1.0141876483561456</v>
      </c>
      <c r="D2034" s="1097">
        <v>0.98280477685248235</v>
      </c>
      <c r="E2034" s="1097">
        <v>0.99421576148637369</v>
      </c>
      <c r="F2034" s="1097">
        <v>0.9820885955972728</v>
      </c>
      <c r="G2034" s="1097">
        <v>0.98138024356671927</v>
      </c>
      <c r="H2034" s="1097">
        <v>0.97557293969309677</v>
      </c>
      <c r="I2034" s="1097">
        <v>1.0097667393674035</v>
      </c>
      <c r="K2034">
        <v>5.0615167200085613</v>
      </c>
      <c r="L2034">
        <v>0</v>
      </c>
      <c r="M2034">
        <v>3.482243209249549E-3</v>
      </c>
      <c r="N2034">
        <v>0.2969421010748336</v>
      </c>
      <c r="O2034">
        <v>0.14485181136379524</v>
      </c>
      <c r="P2034">
        <v>1.986283015650123E-2</v>
      </c>
      <c r="Q2034">
        <v>1.287886244418763E-3</v>
      </c>
      <c r="R2034">
        <v>3.4762124494749662E-3</v>
      </c>
      <c r="S2034">
        <v>0.45056469140404387</v>
      </c>
      <c r="T2034">
        <v>3.9244830109246487</v>
      </c>
      <c r="U2034">
        <v>0</v>
      </c>
      <c r="V2034">
        <v>1.1304767209823822E-2</v>
      </c>
      <c r="W2034">
        <v>0.17757017878746503</v>
      </c>
      <c r="X2034">
        <v>2.4831431824322386E-2</v>
      </c>
      <c r="Y2034">
        <v>9.8240417784818887E-3</v>
      </c>
    </row>
    <row r="2035" spans="1:25" x14ac:dyDescent="0.25">
      <c r="A2035" s="1093"/>
      <c r="B2035" s="1452">
        <v>1785</v>
      </c>
      <c r="C2035" s="1097">
        <v>0.99796721026513591</v>
      </c>
      <c r="D2035" s="1097">
        <v>1.0226348300890375</v>
      </c>
      <c r="E2035" s="1097">
        <v>0.99799783886063498</v>
      </c>
      <c r="F2035" s="1097">
        <v>0.98204495081402754</v>
      </c>
      <c r="G2035" s="1097">
        <v>0.96538221891273923</v>
      </c>
      <c r="H2035" s="1097">
        <v>1.0044188200080406</v>
      </c>
      <c r="I2035" s="1097">
        <v>0.98169062203691859</v>
      </c>
      <c r="K2035">
        <v>5.072615461242628</v>
      </c>
      <c r="L2035">
        <v>0</v>
      </c>
      <c r="M2035">
        <v>3.5574488664464792E-3</v>
      </c>
      <c r="N2035">
        <v>0.30678994657598696</v>
      </c>
      <c r="O2035">
        <v>0.14477630617887052</v>
      </c>
      <c r="P2035">
        <v>1.9899403333470546E-2</v>
      </c>
      <c r="Q2035">
        <v>1.2923775886358353E-3</v>
      </c>
      <c r="R2035">
        <v>3.5514645332298165E-3</v>
      </c>
      <c r="S2035">
        <v>0.44686642901619955</v>
      </c>
      <c r="T2035">
        <v>3.9238414251908869</v>
      </c>
      <c r="U2035">
        <v>0</v>
      </c>
      <c r="V2035">
        <v>1.1304767209823817E-2</v>
      </c>
      <c r="W2035">
        <v>0.18298955161553199</v>
      </c>
      <c r="X2035">
        <v>2.4824528954039721E-2</v>
      </c>
      <c r="Y2035">
        <v>1.0036709912397909E-2</v>
      </c>
    </row>
    <row r="2036" spans="1:25" x14ac:dyDescent="0.25">
      <c r="A2036" s="1093"/>
      <c r="B2036" s="1452">
        <v>1786</v>
      </c>
      <c r="C2036" s="1097">
        <v>0.95923316001884229</v>
      </c>
      <c r="D2036" s="1097">
        <v>0.99926523483485052</v>
      </c>
      <c r="E2036" s="1097">
        <v>0.99757237124787068</v>
      </c>
      <c r="F2036" s="1097">
        <v>1.020588411096838</v>
      </c>
      <c r="G2036" s="1097">
        <v>0.99300781148304695</v>
      </c>
      <c r="H2036" s="1097">
        <v>1.0142382175602471</v>
      </c>
      <c r="I2036" s="1097">
        <v>0.97633085912292561</v>
      </c>
      <c r="K2036">
        <v>5.3282060815754182</v>
      </c>
      <c r="L2036">
        <v>0</v>
      </c>
      <c r="M2036">
        <v>3.9233075520887844E-3</v>
      </c>
      <c r="N2036">
        <v>0.3379415871187289</v>
      </c>
      <c r="O2036">
        <v>0.15800084554355009</v>
      </c>
      <c r="P2036">
        <v>2.0750291868116093E-2</v>
      </c>
      <c r="Q2036">
        <v>1.3565594887450176E-3</v>
      </c>
      <c r="R2036">
        <v>3.9170181005688132E-3</v>
      </c>
      <c r="S2036">
        <v>0.4816285503370229</v>
      </c>
      <c r="T2036">
        <v>4.0778995682802401</v>
      </c>
      <c r="U2036">
        <v>0</v>
      </c>
      <c r="V2036">
        <v>1.1304767209823824E-2</v>
      </c>
      <c r="W2036">
        <v>0.20162848331420807</v>
      </c>
      <c r="X2036">
        <v>2.6631925664104685E-2</v>
      </c>
      <c r="Y2036">
        <v>1.1069792202392523E-2</v>
      </c>
    </row>
    <row r="2037" spans="1:25" x14ac:dyDescent="0.25">
      <c r="A2037" s="1093"/>
      <c r="B2037" s="1452">
        <v>1787</v>
      </c>
      <c r="C2037" s="1097">
        <v>1.0025384855695121</v>
      </c>
      <c r="D2037" s="1097">
        <v>1.0090660401666032</v>
      </c>
      <c r="E2037" s="1097">
        <v>1.0289549416534869</v>
      </c>
      <c r="F2037" s="1097">
        <v>0.96472920011532093</v>
      </c>
      <c r="G2037" s="1097">
        <v>1.0106864745820905</v>
      </c>
      <c r="H2037" s="1097">
        <v>0.99283281259012579</v>
      </c>
      <c r="I2037" s="1097">
        <v>1.0238215333542329</v>
      </c>
      <c r="K2037">
        <v>5.0015794696931533</v>
      </c>
      <c r="L2037">
        <v>0</v>
      </c>
      <c r="M2037">
        <v>3.2385550881761475E-3</v>
      </c>
      <c r="N2037">
        <v>0.306074947728531</v>
      </c>
      <c r="O2037">
        <v>0.1415071654899345</v>
      </c>
      <c r="P2037">
        <v>2.0062842116924346E-2</v>
      </c>
      <c r="Q2037">
        <v>1.3278510963977154E-3</v>
      </c>
      <c r="R2037">
        <v>3.2329448683004925E-3</v>
      </c>
      <c r="S2037">
        <v>0.45614604776252909</v>
      </c>
      <c r="T2037">
        <v>3.8509290914235312</v>
      </c>
      <c r="U2037">
        <v>0</v>
      </c>
      <c r="V2037">
        <v>1.1304767209823808E-2</v>
      </c>
      <c r="W2037">
        <v>0.17881687816186725</v>
      </c>
      <c r="X2037">
        <v>2.6278939902009274E-2</v>
      </c>
      <c r="Y2037">
        <v>9.136549021481602E-3</v>
      </c>
    </row>
    <row r="2038" spans="1:25" x14ac:dyDescent="0.25">
      <c r="A2038" s="1093"/>
      <c r="B2038" s="1452">
        <v>1788</v>
      </c>
      <c r="C2038" s="1097">
        <v>0.98979880937380638</v>
      </c>
      <c r="D2038" s="1097">
        <v>0.96907319877776732</v>
      </c>
      <c r="E2038" s="1097">
        <v>1.0201965139975044</v>
      </c>
      <c r="F2038" s="1097">
        <v>0.98793978583025632</v>
      </c>
      <c r="G2038" s="1097">
        <v>1.0006743951615107</v>
      </c>
      <c r="H2038" s="1097">
        <v>1.0267298735376682</v>
      </c>
      <c r="I2038" s="1097">
        <v>1.0186731186562745</v>
      </c>
      <c r="K2038">
        <v>5.1691893876803174</v>
      </c>
      <c r="L2038">
        <v>0</v>
      </c>
      <c r="M2038">
        <v>3.5963220896712261E-3</v>
      </c>
      <c r="N2038">
        <v>0.33122811686399933</v>
      </c>
      <c r="O2038">
        <v>0.14941693140068094</v>
      </c>
      <c r="P2038">
        <v>2.0474300055387688E-2</v>
      </c>
      <c r="Q2038">
        <v>1.3568106287819993E-3</v>
      </c>
      <c r="R2038">
        <v>3.5904390795557101E-3</v>
      </c>
      <c r="S2038">
        <v>0.47922813451423946</v>
      </c>
      <c r="T2038">
        <v>3.9446530347378546</v>
      </c>
      <c r="U2038">
        <v>0</v>
      </c>
      <c r="V2038">
        <v>1.1304767209823829E-2</v>
      </c>
      <c r="W2038">
        <v>0.19464192421792223</v>
      </c>
      <c r="X2038">
        <v>2.6744396105856119E-2</v>
      </c>
      <c r="Y2038">
        <v>1.0146854955880731E-2</v>
      </c>
    </row>
    <row r="2039" spans="1:25" x14ac:dyDescent="0.25">
      <c r="A2039" s="1093"/>
      <c r="B2039" s="1452">
        <v>1789</v>
      </c>
      <c r="C2039" s="1097">
        <v>1.0364264513350474</v>
      </c>
      <c r="D2039" s="1097">
        <v>1.0304292051120292</v>
      </c>
      <c r="E2039" s="1097">
        <v>1.0116895166497883</v>
      </c>
      <c r="F2039" s="1097">
        <v>1.0327070894595269</v>
      </c>
      <c r="G2039" s="1097">
        <v>0.99620485150684635</v>
      </c>
      <c r="H2039" s="1097">
        <v>1.0003848624053568</v>
      </c>
      <c r="I2039" s="1097">
        <v>1.0373162499429798</v>
      </c>
      <c r="K2039">
        <v>5.3093181305722164</v>
      </c>
      <c r="L2039">
        <v>0</v>
      </c>
      <c r="M2039">
        <v>3.4747839651932499E-3</v>
      </c>
      <c r="N2039">
        <v>0.31208680964357077</v>
      </c>
      <c r="O2039">
        <v>0.14577583967989516</v>
      </c>
      <c r="P2039">
        <v>2.1142440850628202E-2</v>
      </c>
      <c r="Q2039">
        <v>1.2552453220758578E-3</v>
      </c>
      <c r="R2039">
        <v>3.4692025690412033E-3</v>
      </c>
      <c r="S2039">
        <v>0.47285707598098287</v>
      </c>
      <c r="T2039">
        <v>4.1244949640352271</v>
      </c>
      <c r="U2039">
        <v>0</v>
      </c>
      <c r="V2039">
        <v>1.1304767209823811E-2</v>
      </c>
      <c r="W2039">
        <v>0.18443988581921536</v>
      </c>
      <c r="X2039">
        <v>2.6162452105751518E-2</v>
      </c>
      <c r="Y2039">
        <v>9.8042313211970187E-3</v>
      </c>
    </row>
    <row r="2040" spans="1:25" x14ac:dyDescent="0.25">
      <c r="A2040" s="1093"/>
      <c r="B2040" s="1452">
        <v>1790</v>
      </c>
      <c r="C2040" s="1097">
        <v>1.0103316839678202</v>
      </c>
      <c r="D2040" s="1097">
        <v>0.99453752134200324</v>
      </c>
      <c r="E2040" s="1097">
        <v>0.96144376707190882</v>
      </c>
      <c r="F2040" s="1097">
        <v>0.97101556716070825</v>
      </c>
      <c r="G2040" s="1097">
        <v>0.96272071165320283</v>
      </c>
      <c r="H2040" s="1097">
        <v>0.98698523755933676</v>
      </c>
      <c r="I2040" s="1097">
        <v>0.98987562873348178</v>
      </c>
      <c r="K2040">
        <v>4.9981268837649298</v>
      </c>
      <c r="L2040">
        <v>0</v>
      </c>
      <c r="M2040">
        <v>3.727822096197935E-3</v>
      </c>
      <c r="N2040">
        <v>0.28842157720865458</v>
      </c>
      <c r="O2040">
        <v>0.14396247452852851</v>
      </c>
      <c r="P2040">
        <v>1.9150444656597512E-2</v>
      </c>
      <c r="Q2040">
        <v>1.2505424468995004E-3</v>
      </c>
      <c r="R2040">
        <v>3.7213680316592638E-3</v>
      </c>
      <c r="S2040">
        <v>0.44021906382485299</v>
      </c>
      <c r="T2040">
        <v>3.8842713881386737</v>
      </c>
      <c r="U2040">
        <v>0</v>
      </c>
      <c r="V2040">
        <v>1.1304767209823808E-2</v>
      </c>
      <c r="W2040">
        <v>0.17639732571827621</v>
      </c>
      <c r="X2040">
        <v>2.2638883926684887E-2</v>
      </c>
      <c r="Y2040">
        <v>1.0516870170477996E-2</v>
      </c>
    </row>
    <row r="2041" spans="1:25" x14ac:dyDescent="0.25">
      <c r="A2041" s="1093"/>
      <c r="B2041" s="1452">
        <v>1791</v>
      </c>
      <c r="C2041" s="1097">
        <v>1.0199132269238946</v>
      </c>
      <c r="D2041" s="1097">
        <v>1.0180427892763222</v>
      </c>
      <c r="E2041" s="1097">
        <v>0.98542398536451714</v>
      </c>
      <c r="F2041" s="1097">
        <v>0.99986645048930745</v>
      </c>
      <c r="G2041" s="1097">
        <v>1.0072381952672071</v>
      </c>
      <c r="H2041" s="1097">
        <v>1.0379567944827102</v>
      </c>
      <c r="I2041" s="1097">
        <v>1.0049003787378803</v>
      </c>
      <c r="K2041">
        <v>5.1709377753940711</v>
      </c>
      <c r="L2041">
        <v>0</v>
      </c>
      <c r="M2041">
        <v>3.7672171184054315E-3</v>
      </c>
      <c r="N2041">
        <v>0.313018060519481</v>
      </c>
      <c r="O2041">
        <v>0.14483233320144004</v>
      </c>
      <c r="P2041">
        <v>2.0103089379054355E-2</v>
      </c>
      <c r="Q2041">
        <v>1.253197330035415E-3</v>
      </c>
      <c r="R2041">
        <v>3.7611938007463563E-3</v>
      </c>
      <c r="S2041">
        <v>0.46093654373006293</v>
      </c>
      <c r="T2041">
        <v>3.9966333129485099</v>
      </c>
      <c r="U2041">
        <v>0</v>
      </c>
      <c r="V2041">
        <v>1.1304767209823811E-2</v>
      </c>
      <c r="W2041">
        <v>0.18830688654883132</v>
      </c>
      <c r="X2041">
        <v>2.3926187010017277E-2</v>
      </c>
      <c r="Y2041">
        <v>1.0629420834471751E-2</v>
      </c>
    </row>
    <row r="2042" spans="1:25" x14ac:dyDescent="0.25">
      <c r="A2042" s="1093"/>
      <c r="B2042" s="1452">
        <v>1792</v>
      </c>
      <c r="C2042" s="1097">
        <v>0.97678669580144784</v>
      </c>
      <c r="D2042" s="1097">
        <v>0.97239544307090875</v>
      </c>
      <c r="E2042" s="1097">
        <v>1.0296776400454088</v>
      </c>
      <c r="F2042" s="1097">
        <v>1.0069490277870592</v>
      </c>
      <c r="G2042" s="1097">
        <v>1.0344826462153793</v>
      </c>
      <c r="H2042" s="1097">
        <v>0.99578930523690679</v>
      </c>
      <c r="I2042" s="1097">
        <v>0.97044399912537105</v>
      </c>
      <c r="K2042">
        <v>5.2378509753392679</v>
      </c>
      <c r="L2042">
        <v>0</v>
      </c>
      <c r="M2042">
        <v>3.5259929404601749E-3</v>
      </c>
      <c r="N2042">
        <v>0.33397931935107322</v>
      </c>
      <c r="O2042">
        <v>0.153834330590261</v>
      </c>
      <c r="P2042">
        <v>2.0892210836324792E-2</v>
      </c>
      <c r="Q2042">
        <v>1.3840296648296164E-3</v>
      </c>
      <c r="R2042">
        <v>3.5201578451709635E-3</v>
      </c>
      <c r="S2042">
        <v>0.46386534335932333</v>
      </c>
      <c r="T2042">
        <v>4.0193687309192319</v>
      </c>
      <c r="U2042">
        <v>0</v>
      </c>
      <c r="V2042">
        <v>1.1304767209823811E-2</v>
      </c>
      <c r="W2042">
        <v>0.19502591764192029</v>
      </c>
      <c r="X2042">
        <v>2.8253926039977915E-2</v>
      </c>
      <c r="Y2042">
        <v>9.9482348217910209E-3</v>
      </c>
    </row>
    <row r="2043" spans="1:25" x14ac:dyDescent="0.25">
      <c r="A2043" s="1093"/>
      <c r="B2043" s="1452">
        <v>1793</v>
      </c>
      <c r="C2043" s="1097">
        <v>0.9737819055718997</v>
      </c>
      <c r="D2043" s="1097">
        <v>1.0097012380035073</v>
      </c>
      <c r="E2043" s="1097">
        <v>0.99802970439383154</v>
      </c>
      <c r="F2043" s="1097">
        <v>1.0046527669385092</v>
      </c>
      <c r="G2043" s="1097">
        <v>0.97567294168988428</v>
      </c>
      <c r="H2043" s="1097">
        <v>1.0329473949637293</v>
      </c>
      <c r="I2043" s="1097">
        <v>1.0275851093373063</v>
      </c>
      <c r="K2043">
        <v>5.2628291117490527</v>
      </c>
      <c r="L2043">
        <v>0</v>
      </c>
      <c r="M2043">
        <v>3.8548425791437783E-3</v>
      </c>
      <c r="N2043">
        <v>0.33249591322027</v>
      </c>
      <c r="O2043">
        <v>0.15256157479466548</v>
      </c>
      <c r="P2043">
        <v>2.0530870912483647E-2</v>
      </c>
      <c r="Q2043">
        <v>1.3312724422243393E-3</v>
      </c>
      <c r="R2043">
        <v>3.8486787260277352E-3</v>
      </c>
      <c r="S2043">
        <v>0.49547443144138575</v>
      </c>
      <c r="T2043">
        <v>4.0141687920009472</v>
      </c>
      <c r="U2043">
        <v>0</v>
      </c>
      <c r="V2043">
        <v>1.1304767209823825E-2</v>
      </c>
      <c r="W2043">
        <v>0.19831799122621097</v>
      </c>
      <c r="X2043">
        <v>2.577300244167538E-2</v>
      </c>
      <c r="Y2043">
        <v>1.0876659912475006E-2</v>
      </c>
    </row>
    <row r="2044" spans="1:25" x14ac:dyDescent="0.25">
      <c r="A2044" s="1093"/>
      <c r="B2044" s="1452">
        <v>1794</v>
      </c>
      <c r="C2044" s="1097">
        <v>0.98541855818206714</v>
      </c>
      <c r="D2044" s="1097">
        <v>1.0163211969767252</v>
      </c>
      <c r="E2044" s="1097">
        <v>0.99875312249039072</v>
      </c>
      <c r="F2044" s="1097">
        <v>1.0088491087869669</v>
      </c>
      <c r="G2044" s="1097">
        <v>1.0311911881895297</v>
      </c>
      <c r="H2044" s="1097">
        <v>0.9903193008286949</v>
      </c>
      <c r="I2044" s="1097">
        <v>0.97214213043430264</v>
      </c>
      <c r="K2044">
        <v>5.2113005725406421</v>
      </c>
      <c r="L2044">
        <v>0</v>
      </c>
      <c r="M2044">
        <v>3.6522053502585201E-3</v>
      </c>
      <c r="N2044">
        <v>0.31567408415987153</v>
      </c>
      <c r="O2044">
        <v>0.15097401525473755</v>
      </c>
      <c r="P2044">
        <v>2.0439856706202766E-2</v>
      </c>
      <c r="Q2044">
        <v>1.3129319058687019E-3</v>
      </c>
      <c r="R2044">
        <v>3.646139432232257E-3</v>
      </c>
      <c r="S2044">
        <v>0.45633951411943779</v>
      </c>
      <c r="T2044">
        <v>4.0308439040432784</v>
      </c>
      <c r="U2044">
        <v>0</v>
      </c>
      <c r="V2044">
        <v>1.1304767209823815E-2</v>
      </c>
      <c r="W2044">
        <v>0.18819243281972423</v>
      </c>
      <c r="X2044">
        <v>2.5920863834658314E-2</v>
      </c>
      <c r="Y2044">
        <v>1.030426840506541E-2</v>
      </c>
    </row>
    <row r="2045" spans="1:25" x14ac:dyDescent="0.25">
      <c r="A2045" s="1093"/>
      <c r="B2045" s="1452">
        <v>1795</v>
      </c>
      <c r="C2045" s="1097">
        <v>0.99541542671715821</v>
      </c>
      <c r="D2045" s="1097">
        <v>1.0330723474883807</v>
      </c>
      <c r="E2045" s="1097">
        <v>0.97831438942895321</v>
      </c>
      <c r="F2045" s="1097">
        <v>0.99318663370031768</v>
      </c>
      <c r="G2045" s="1097">
        <v>0.98029223464297344</v>
      </c>
      <c r="H2045" s="1097">
        <v>0.99586751448808564</v>
      </c>
      <c r="I2045" s="1097">
        <v>0.97526763758630108</v>
      </c>
      <c r="K2045">
        <v>5.1158582376528434</v>
      </c>
      <c r="L2045">
        <v>0</v>
      </c>
      <c r="M2045">
        <v>3.7122188251221509E-3</v>
      </c>
      <c r="N2045">
        <v>0.30198622308799039</v>
      </c>
      <c r="O2045">
        <v>0.14673858406907</v>
      </c>
      <c r="P2045">
        <v>1.9816725083301248E-2</v>
      </c>
      <c r="Q2045">
        <v>1.268689808670103E-3</v>
      </c>
      <c r="R2045">
        <v>3.7059910534940131E-3</v>
      </c>
      <c r="S2045">
        <v>0.44688877985919923</v>
      </c>
      <c r="T2045">
        <v>3.9708270559652554</v>
      </c>
      <c r="U2045">
        <v>0</v>
      </c>
      <c r="V2045">
        <v>1.1304767209823811E-2</v>
      </c>
      <c r="W2045">
        <v>0.18255624696905559</v>
      </c>
      <c r="X2045">
        <v>2.4003979715898845E-2</v>
      </c>
      <c r="Y2045">
        <v>1.0473413656206248E-2</v>
      </c>
    </row>
    <row r="2046" spans="1:25" x14ac:dyDescent="0.25">
      <c r="A2046" s="1093"/>
      <c r="B2046" s="1452">
        <v>1796</v>
      </c>
      <c r="C2046" s="1097">
        <v>1.0200143431331612</v>
      </c>
      <c r="D2046" s="1097">
        <v>0.96602529783149649</v>
      </c>
      <c r="E2046" s="1097">
        <v>0.99238479315115602</v>
      </c>
      <c r="F2046" s="1097">
        <v>0.96101892951349732</v>
      </c>
      <c r="G2046" s="1097">
        <v>1.0102201456596562</v>
      </c>
      <c r="H2046" s="1097">
        <v>1.0089072106963448</v>
      </c>
      <c r="I2046" s="1097">
        <v>0.99361239020606329</v>
      </c>
      <c r="K2046">
        <v>4.9690658736418918</v>
      </c>
      <c r="L2046">
        <v>0</v>
      </c>
      <c r="M2046">
        <v>3.541802449244675E-3</v>
      </c>
      <c r="N2046">
        <v>0.30039223497346562</v>
      </c>
      <c r="O2046">
        <v>0.14195728880293654</v>
      </c>
      <c r="P2046">
        <v>1.9409809182719819E-2</v>
      </c>
      <c r="Q2046">
        <v>1.287350006276232E-3</v>
      </c>
      <c r="R2046">
        <v>3.535741391504023E-3</v>
      </c>
      <c r="S2046">
        <v>0.44038795812179277</v>
      </c>
      <c r="T2046">
        <v>3.8405090207063886</v>
      </c>
      <c r="U2046">
        <v>0</v>
      </c>
      <c r="V2046">
        <v>1.1304767209823829E-2</v>
      </c>
      <c r="W2046">
        <v>0.1798567945591886</v>
      </c>
      <c r="X2046">
        <v>2.3974436023559913E-2</v>
      </c>
      <c r="Y2046">
        <v>9.9922751134757289E-3</v>
      </c>
    </row>
    <row r="2047" spans="1:25" x14ac:dyDescent="0.25">
      <c r="A2047" s="1093"/>
      <c r="B2047" s="1452">
        <v>1797</v>
      </c>
      <c r="C2047" s="1097">
        <v>0.95614591348947842</v>
      </c>
      <c r="D2047" s="1097">
        <v>1.0010572743473285</v>
      </c>
      <c r="E2047" s="1097">
        <v>1.0361026588895328</v>
      </c>
      <c r="F2047" s="1097">
        <v>0.97364238230648825</v>
      </c>
      <c r="G2047" s="1097">
        <v>0.98806995868084124</v>
      </c>
      <c r="H2047" s="1097">
        <v>0.98350724098083098</v>
      </c>
      <c r="I2047" s="1097">
        <v>1.0000927707925462</v>
      </c>
      <c r="K2047">
        <v>5.0881050089547131</v>
      </c>
      <c r="L2047">
        <v>0</v>
      </c>
      <c r="M2047">
        <v>3.3545294505237019E-3</v>
      </c>
      <c r="N2047">
        <v>0.32380494276957739</v>
      </c>
      <c r="O2047">
        <v>0.15001946024555021</v>
      </c>
      <c r="P2047">
        <v>2.039268857551969E-2</v>
      </c>
      <c r="Q2047">
        <v>1.4051303397986834E-3</v>
      </c>
      <c r="R2047">
        <v>3.3487168355774101E-3</v>
      </c>
      <c r="S2047">
        <v>0.46975364351607807</v>
      </c>
      <c r="T2047">
        <v>3.8856476931871926</v>
      </c>
      <c r="U2047">
        <v>0</v>
      </c>
      <c r="V2047">
        <v>1.1304767209823808E-2</v>
      </c>
      <c r="W2047">
        <v>0.18828327834916042</v>
      </c>
      <c r="X2047">
        <v>2.8035487937183204E-2</v>
      </c>
      <c r="Y2047">
        <v>9.4637294397777426E-3</v>
      </c>
    </row>
    <row r="2048" spans="1:25" x14ac:dyDescent="0.25">
      <c r="A2048" s="1093"/>
      <c r="B2048" s="1452">
        <v>1798</v>
      </c>
      <c r="C2048" s="1097">
        <v>1.0033821163392136</v>
      </c>
      <c r="D2048" s="1097">
        <v>1.0253499255158778</v>
      </c>
      <c r="E2048" s="1097">
        <v>0.96419975563586358</v>
      </c>
      <c r="F2048" s="1097">
        <v>1.0120998714288889</v>
      </c>
      <c r="G2048" s="1097">
        <v>1.0108764348516048</v>
      </c>
      <c r="H2048" s="1097">
        <v>0.98974920276319622</v>
      </c>
      <c r="I2048" s="1097">
        <v>1.02701069160067</v>
      </c>
      <c r="K2048">
        <v>5.2224972444151154</v>
      </c>
      <c r="L2048">
        <v>0</v>
      </c>
      <c r="M2048">
        <v>3.8532591629805244E-3</v>
      </c>
      <c r="N2048">
        <v>0.30060038074328782</v>
      </c>
      <c r="O2048">
        <v>0.14918357935743087</v>
      </c>
      <c r="P2048">
        <v>2.0065845192547983E-2</v>
      </c>
      <c r="Q2048">
        <v>1.246941616209915E-3</v>
      </c>
      <c r="R2048">
        <v>3.8468761637718714E-3</v>
      </c>
      <c r="S2048">
        <v>0.47383180057564894</v>
      </c>
      <c r="T2048">
        <v>4.0482611590830615</v>
      </c>
      <c r="U2048">
        <v>0</v>
      </c>
      <c r="V2048">
        <v>1.1304767209823836E-2</v>
      </c>
      <c r="W2048">
        <v>0.18349492248885615</v>
      </c>
      <c r="X2048">
        <v>2.3642665413527268E-2</v>
      </c>
      <c r="Y2048">
        <v>1.0871565733920818E-2</v>
      </c>
    </row>
    <row r="2049" spans="1:25" x14ac:dyDescent="0.25">
      <c r="A2049" s="1093"/>
      <c r="B2049" s="1452">
        <v>1799</v>
      </c>
      <c r="C2049" s="1097">
        <v>1.0137593111194427</v>
      </c>
      <c r="D2049" s="1097">
        <v>1.0278787043244531</v>
      </c>
      <c r="E2049" s="1097">
        <v>0.99838103050625193</v>
      </c>
      <c r="F2049" s="1097">
        <v>0.96814696882633222</v>
      </c>
      <c r="G2049" s="1097">
        <v>1.0036393732698583</v>
      </c>
      <c r="H2049" s="1097">
        <v>1.0143494361095187</v>
      </c>
      <c r="I2049" s="1097">
        <v>1.043975377375657</v>
      </c>
      <c r="K2049">
        <v>5.0175367122755015</v>
      </c>
      <c r="L2049">
        <v>0</v>
      </c>
      <c r="M2049">
        <v>3.4767575602762993E-3</v>
      </c>
      <c r="N2049">
        <v>0.30016966572277309</v>
      </c>
      <c r="O2049">
        <v>0.14020681086811043</v>
      </c>
      <c r="P2049">
        <v>1.9728867907892716E-2</v>
      </c>
      <c r="Q2049">
        <v>1.2700625458143754E-3</v>
      </c>
      <c r="R2049">
        <v>3.4708832307943885E-3</v>
      </c>
      <c r="S2049">
        <v>0.46364025625088673</v>
      </c>
      <c r="T2049">
        <v>3.8682642762823987</v>
      </c>
      <c r="U2049">
        <v>0</v>
      </c>
      <c r="V2049">
        <v>1.1304767209823806E-2</v>
      </c>
      <c r="W2049">
        <v>0.17899436328466409</v>
      </c>
      <c r="X2049">
        <v>2.4154535532996291E-2</v>
      </c>
      <c r="Y2049">
        <v>9.8089809996239757E-3</v>
      </c>
    </row>
    <row r="2050" spans="1:25" x14ac:dyDescent="0.25">
      <c r="A2050" s="1093"/>
      <c r="B2050" s="1452">
        <v>1800</v>
      </c>
      <c r="C2050" s="1097">
        <v>0.95767639428281204</v>
      </c>
      <c r="D2050" s="1097">
        <v>1.0202525832333849</v>
      </c>
      <c r="E2050" s="1097">
        <v>0.97402186646702293</v>
      </c>
      <c r="F2050" s="1097">
        <v>0.99063466242034848</v>
      </c>
      <c r="G2050" s="1097">
        <v>1.0381160808639767</v>
      </c>
      <c r="H2050" s="1097">
        <v>1.0044951809761891</v>
      </c>
      <c r="I2050" s="1097">
        <v>0.97250775084204022</v>
      </c>
      <c r="K2050">
        <v>5.154919236486645</v>
      </c>
      <c r="L2050">
        <v>0</v>
      </c>
      <c r="M2050">
        <v>3.9366825508470229E-3</v>
      </c>
      <c r="N2050">
        <v>0.31619498993265199</v>
      </c>
      <c r="O2050">
        <v>0.153013476893781</v>
      </c>
      <c r="P2050">
        <v>1.9789355907495049E-2</v>
      </c>
      <c r="Q2050">
        <v>1.3203469992761321E-3</v>
      </c>
      <c r="R2050">
        <v>3.930118095622148E-3</v>
      </c>
      <c r="S2050">
        <v>0.46491645354121508</v>
      </c>
      <c r="T2050">
        <v>3.9611639555582556</v>
      </c>
      <c r="U2050">
        <v>0</v>
      </c>
      <c r="V2050">
        <v>1.1304767209823817E-2</v>
      </c>
      <c r="W2050">
        <v>0.19171016118499032</v>
      </c>
      <c r="X2050">
        <v>2.4405479925827821E-2</v>
      </c>
      <c r="Y2050">
        <v>1.110681378855056E-2</v>
      </c>
    </row>
    <row r="2051" spans="1:25" x14ac:dyDescent="0.25">
      <c r="A2051" s="1093"/>
      <c r="B2051" s="1452">
        <v>1801</v>
      </c>
      <c r="C2051" s="1097">
        <v>0.97820890583915787</v>
      </c>
      <c r="D2051" s="1097">
        <v>0.99601553187978797</v>
      </c>
      <c r="E2051" s="1097">
        <v>1.0166990585477826</v>
      </c>
      <c r="F2051" s="1097">
        <v>1.0208608950628206</v>
      </c>
      <c r="G2051" s="1097">
        <v>1.0012127306193011</v>
      </c>
      <c r="H2051" s="1097">
        <v>1.0017319093829604</v>
      </c>
      <c r="I2051" s="1097">
        <v>0.98681025064713856</v>
      </c>
      <c r="K2051">
        <v>5.3075148371844341</v>
      </c>
      <c r="L2051">
        <v>0</v>
      </c>
      <c r="M2051">
        <v>3.6553228264677691E-3</v>
      </c>
      <c r="N2051">
        <v>0.33320054202260507</v>
      </c>
      <c r="O2051">
        <v>0.15462274717639399</v>
      </c>
      <c r="P2051">
        <v>2.1011264619365422E-2</v>
      </c>
      <c r="Q2051">
        <v>1.3538923591902515E-3</v>
      </c>
      <c r="R2051">
        <v>3.6493914037788642E-3</v>
      </c>
      <c r="S2051">
        <v>0.47535046214876142</v>
      </c>
      <c r="T2051">
        <v>4.0765450499842908</v>
      </c>
      <c r="U2051">
        <v>0</v>
      </c>
      <c r="V2051">
        <v>1.1304767209823818E-2</v>
      </c>
      <c r="W2051">
        <v>0.1962586265912134</v>
      </c>
      <c r="X2051">
        <v>2.7559957770544267E-2</v>
      </c>
      <c r="Y2051">
        <v>1.0313458724932402E-2</v>
      </c>
    </row>
    <row r="2052" spans="1:25" x14ac:dyDescent="0.25">
      <c r="A2052" s="1093"/>
      <c r="B2052" s="1452">
        <v>1802</v>
      </c>
      <c r="C2052" s="1097">
        <v>1.0110444439746471</v>
      </c>
      <c r="D2052" s="1097">
        <v>0.98718360001375727</v>
      </c>
      <c r="E2052" s="1097">
        <v>1.0093719191796608</v>
      </c>
      <c r="F2052" s="1097">
        <v>0.96468210740773364</v>
      </c>
      <c r="G2052" s="1097">
        <v>1.0082990484987289</v>
      </c>
      <c r="H2052" s="1097">
        <v>0.98994150011795068</v>
      </c>
      <c r="I2052" s="1097">
        <v>0.9817706380405048</v>
      </c>
      <c r="K2052">
        <v>4.9751733619038889</v>
      </c>
      <c r="L2052">
        <v>0</v>
      </c>
      <c r="M2052">
        <v>3.3664016047546073E-3</v>
      </c>
      <c r="N2052">
        <v>0.30024549157000258</v>
      </c>
      <c r="O2052">
        <v>0.14206861773384705</v>
      </c>
      <c r="P2052">
        <v>1.969042610883694E-2</v>
      </c>
      <c r="Q2052">
        <v>1.3064358221346823E-3</v>
      </c>
      <c r="R2052">
        <v>3.3605525959710461E-3</v>
      </c>
      <c r="S2052">
        <v>0.43510364061761952</v>
      </c>
      <c r="T2052">
        <v>3.8530915315734027</v>
      </c>
      <c r="U2052">
        <v>0</v>
      </c>
      <c r="V2052">
        <v>1.1304767209823806E-2</v>
      </c>
      <c r="W2052">
        <v>0.17771798058974525</v>
      </c>
      <c r="X2052">
        <v>2.5153141484991908E-2</v>
      </c>
      <c r="Y2052">
        <v>9.4971782022677167E-3</v>
      </c>
    </row>
    <row r="2053" spans="1:25" x14ac:dyDescent="0.25">
      <c r="A2053" s="1093"/>
      <c r="B2053" s="1452">
        <v>1803</v>
      </c>
      <c r="C2053" s="1097">
        <v>1.0055669771403311</v>
      </c>
      <c r="D2053" s="1097">
        <v>1.0269017613866804</v>
      </c>
      <c r="E2053" s="1097">
        <v>0.98227159272880649</v>
      </c>
      <c r="F2053" s="1097">
        <v>0.97161565257297999</v>
      </c>
      <c r="G2053" s="1097">
        <v>1.0093859937866596</v>
      </c>
      <c r="H2053" s="1097">
        <v>0.99685388483774462</v>
      </c>
      <c r="I2053" s="1097">
        <v>0.99116758134647043</v>
      </c>
      <c r="K2053">
        <v>5.0061822999951833</v>
      </c>
      <c r="L2053">
        <v>0</v>
      </c>
      <c r="M2053">
        <v>3.5774147721371104E-3</v>
      </c>
      <c r="N2053">
        <v>0.29444690105836685</v>
      </c>
      <c r="O2053">
        <v>0.14233805879391143</v>
      </c>
      <c r="P2053">
        <v>1.9465546132591768E-2</v>
      </c>
      <c r="Q2053">
        <v>1.2632260153065302E-3</v>
      </c>
      <c r="R2053">
        <v>3.5712862082023689E-3</v>
      </c>
      <c r="S2053">
        <v>0.44208146104029206</v>
      </c>
      <c r="T2053">
        <v>3.8840976240780831</v>
      </c>
      <c r="U2053">
        <v>0</v>
      </c>
      <c r="V2053">
        <v>1.1304767209823825E-2</v>
      </c>
      <c r="W2053">
        <v>0.1775167463540398</v>
      </c>
      <c r="X2053">
        <v>2.3581370397517364E-2</v>
      </c>
      <c r="Y2053">
        <v>1.0092727479183633E-2</v>
      </c>
    </row>
    <row r="2054" spans="1:25" x14ac:dyDescent="0.25">
      <c r="A2054" s="1093"/>
      <c r="B2054" s="1452">
        <v>1804</v>
      </c>
      <c r="C2054" s="1097">
        <v>1.0001178330372285</v>
      </c>
      <c r="D2054" s="1097">
        <v>1.0392216082756189</v>
      </c>
      <c r="E2054" s="1097">
        <v>0.9873388600232057</v>
      </c>
      <c r="F2054" s="1097">
        <v>1.0204610777080323</v>
      </c>
      <c r="G2054" s="1097">
        <v>1.0142602043736162</v>
      </c>
      <c r="H2054" s="1097">
        <v>0.98248224278091312</v>
      </c>
      <c r="I2054" s="1097">
        <v>1.0160078605324987</v>
      </c>
      <c r="K2054">
        <v>5.2581217650916408</v>
      </c>
      <c r="L2054">
        <v>0</v>
      </c>
      <c r="M2054">
        <v>3.6660094042237357E-3</v>
      </c>
      <c r="N2054">
        <v>0.30632638076693247</v>
      </c>
      <c r="O2054">
        <v>0.14945127603079772</v>
      </c>
      <c r="P2054">
        <v>2.0547053094211062E-2</v>
      </c>
      <c r="Q2054">
        <v>1.2696195314754661E-3</v>
      </c>
      <c r="R2054">
        <v>3.6599417146263614E-3</v>
      </c>
      <c r="S2054">
        <v>0.47095849487679253</v>
      </c>
      <c r="T2054">
        <v>4.0787065743668327</v>
      </c>
      <c r="U2054">
        <v>0</v>
      </c>
      <c r="V2054">
        <v>1.1304767209823817E-2</v>
      </c>
      <c r="W2054">
        <v>0.1840407139595707</v>
      </c>
      <c r="X2054">
        <v>2.5179678235935459E-2</v>
      </c>
      <c r="Y2054">
        <v>1.0343274708865558E-2</v>
      </c>
    </row>
    <row r="2055" spans="1:25" x14ac:dyDescent="0.25">
      <c r="A2055" s="1093"/>
      <c r="B2055" s="1452">
        <v>1805</v>
      </c>
      <c r="C2055" s="1097">
        <v>0.99278370614821743</v>
      </c>
      <c r="D2055" s="1097">
        <v>1.0026242301235997</v>
      </c>
      <c r="E2055" s="1097">
        <v>1.0195373323331511</v>
      </c>
      <c r="F2055" s="1097">
        <v>1.0124215465128501</v>
      </c>
      <c r="G2055" s="1097">
        <v>1.002181935173261</v>
      </c>
      <c r="H2055" s="1097">
        <v>1.0194818809489992</v>
      </c>
      <c r="I2055" s="1097">
        <v>1.0038706593809363</v>
      </c>
      <c r="K2055">
        <v>5.2658583577921441</v>
      </c>
      <c r="L2055">
        <v>0</v>
      </c>
      <c r="M2055">
        <v>3.6039562747328577E-3</v>
      </c>
      <c r="N2055">
        <v>0.33129385677619155</v>
      </c>
      <c r="O2055">
        <v>0.15061362870177761</v>
      </c>
      <c r="P2055">
        <v>2.0900678381112918E-2</v>
      </c>
      <c r="Q2055">
        <v>1.33369524887237E-3</v>
      </c>
      <c r="R2055">
        <v>3.5981622019057302E-3</v>
      </c>
      <c r="S2055">
        <v>0.47594823899872163</v>
      </c>
      <c r="T2055">
        <v>4.0424869884951482</v>
      </c>
      <c r="U2055">
        <v>0</v>
      </c>
      <c r="V2055">
        <v>1.1304767209823799E-2</v>
      </c>
      <c r="W2055">
        <v>0.19476615060900329</v>
      </c>
      <c r="X2055">
        <v>2.7047466355044604E-2</v>
      </c>
      <c r="Y2055">
        <v>1.0168681089274384E-2</v>
      </c>
    </row>
    <row r="2056" spans="1:25" x14ac:dyDescent="0.25">
      <c r="A2056" s="1093"/>
      <c r="B2056" s="1452">
        <v>1806</v>
      </c>
      <c r="C2056" s="1097">
        <v>0.99718727459374246</v>
      </c>
      <c r="D2056" s="1097">
        <v>1.0241047961758825</v>
      </c>
      <c r="E2056" s="1097">
        <v>0.97378643195678249</v>
      </c>
      <c r="F2056" s="1097">
        <v>0.98816594175348915</v>
      </c>
      <c r="G2056" s="1097">
        <v>0.96567713410520706</v>
      </c>
      <c r="H2056" s="1097">
        <v>1.0374844719190688</v>
      </c>
      <c r="I2056" s="1097">
        <v>1.0211389080995845</v>
      </c>
      <c r="K2056">
        <v>5.1397979253218908</v>
      </c>
      <c r="L2056">
        <v>0</v>
      </c>
      <c r="M2056">
        <v>3.8912052632259823E-3</v>
      </c>
      <c r="N2056">
        <v>0.3123392044881787</v>
      </c>
      <c r="O2056">
        <v>0.1463701417961521</v>
      </c>
      <c r="P2056">
        <v>1.9781069974672539E-2</v>
      </c>
      <c r="Q2056">
        <v>1.2658619860021634E-3</v>
      </c>
      <c r="R2056">
        <v>3.8849072943608408E-3</v>
      </c>
      <c r="S2056">
        <v>0.4736945716280459</v>
      </c>
      <c r="T2056">
        <v>3.9513220653732035</v>
      </c>
      <c r="U2056">
        <v>0</v>
      </c>
      <c r="V2056">
        <v>1.1304767209823837E-2</v>
      </c>
      <c r="W2056">
        <v>0.189403060860867</v>
      </c>
      <c r="X2056">
        <v>2.3344435361296316E-2</v>
      </c>
      <c r="Y2056">
        <v>1.0979044612504712E-2</v>
      </c>
    </row>
    <row r="2057" spans="1:25" x14ac:dyDescent="0.25">
      <c r="A2057" s="1093"/>
      <c r="B2057" s="1452">
        <v>1807</v>
      </c>
      <c r="C2057" s="1097">
        <v>0.99802722810526134</v>
      </c>
      <c r="D2057" s="1097">
        <v>0.99645448587519037</v>
      </c>
      <c r="E2057" s="1097">
        <v>0.98178332647625699</v>
      </c>
      <c r="F2057" s="1097">
        <v>1.0117299614971573</v>
      </c>
      <c r="G2057" s="1097">
        <v>1.0050503688014494</v>
      </c>
      <c r="H2057" s="1097">
        <v>1.0235634355286787</v>
      </c>
      <c r="I2057" s="1097">
        <v>1.0064799025876539</v>
      </c>
      <c r="K2057">
        <v>5.2544776266640687</v>
      </c>
      <c r="L2057">
        <v>0</v>
      </c>
      <c r="M2057">
        <v>3.9042331980714095E-3</v>
      </c>
      <c r="N2057">
        <v>0.32091682037399399</v>
      </c>
      <c r="O2057">
        <v>0.15115689349836481</v>
      </c>
      <c r="P2057">
        <v>2.0329138796190933E-2</v>
      </c>
      <c r="Q2057">
        <v>1.2876398775036018E-3</v>
      </c>
      <c r="R2057">
        <v>3.897977133595929E-3</v>
      </c>
      <c r="S2057">
        <v>0.47576439363424533</v>
      </c>
      <c r="T2057">
        <v>4.0445197636585508</v>
      </c>
      <c r="U2057">
        <v>0</v>
      </c>
      <c r="V2057">
        <v>1.1304767209823822E-2</v>
      </c>
      <c r="W2057">
        <v>0.19353962908595757</v>
      </c>
      <c r="X2057">
        <v>2.4648855617891634E-2</v>
      </c>
      <c r="Y2057">
        <v>1.1015980976018093E-2</v>
      </c>
    </row>
    <row r="2058" spans="1:25" x14ac:dyDescent="0.25">
      <c r="A2058" s="1093"/>
      <c r="B2058" s="1452">
        <v>1808</v>
      </c>
      <c r="C2058" s="1097">
        <v>1.0178845724822319</v>
      </c>
      <c r="D2058" s="1097">
        <v>1.0016064867647629</v>
      </c>
      <c r="E2058" s="1097">
        <v>0.98693638185935706</v>
      </c>
      <c r="F2058" s="1097">
        <v>0.98559156652292101</v>
      </c>
      <c r="G2058" s="1097">
        <v>1.0016252060292512</v>
      </c>
      <c r="H2058" s="1097">
        <v>0.98824271905527239</v>
      </c>
      <c r="I2058" s="1097">
        <v>1.0348164401899465</v>
      </c>
      <c r="K2058">
        <v>5.0870270859013926</v>
      </c>
      <c r="L2058">
        <v>0</v>
      </c>
      <c r="M2058">
        <v>3.5545319953762312E-3</v>
      </c>
      <c r="N2058">
        <v>0.29664276807414769</v>
      </c>
      <c r="O2058">
        <v>0.14394278974817376</v>
      </c>
      <c r="P2058">
        <v>1.9873439834108501E-2</v>
      </c>
      <c r="Q2058">
        <v>1.265550889181742E-3</v>
      </c>
      <c r="R2058">
        <v>3.5484765265003065E-3</v>
      </c>
      <c r="S2058">
        <v>0.46208978759119501</v>
      </c>
      <c r="T2058">
        <v>3.9393858521259957</v>
      </c>
      <c r="U2058">
        <v>0</v>
      </c>
      <c r="V2058">
        <v>1.1304767209823811E-2</v>
      </c>
      <c r="W2058">
        <v>0.17827171835715869</v>
      </c>
      <c r="X2058">
        <v>2.4228201963227992E-2</v>
      </c>
      <c r="Y2058">
        <v>1.0028265577256789E-2</v>
      </c>
    </row>
    <row r="2059" spans="1:25" x14ac:dyDescent="0.25">
      <c r="A2059" s="1093"/>
      <c r="B2059" s="1452">
        <v>1809</v>
      </c>
      <c r="C2059" s="1097">
        <v>1.0150079361590345</v>
      </c>
      <c r="D2059" s="1097">
        <v>0.99083106289794398</v>
      </c>
      <c r="E2059" s="1097">
        <v>1.0017798945509344</v>
      </c>
      <c r="F2059" s="1097">
        <v>0.99318251957585457</v>
      </c>
      <c r="G2059" s="1097">
        <v>0.99871533025445469</v>
      </c>
      <c r="H2059" s="1097">
        <v>1.0090106524628659</v>
      </c>
      <c r="I2059" s="1097">
        <v>0.97235673736687889</v>
      </c>
      <c r="K2059">
        <v>5.1210378385293742</v>
      </c>
      <c r="L2059">
        <v>0</v>
      </c>
      <c r="M2059">
        <v>3.5701402753440794E-3</v>
      </c>
      <c r="N2059">
        <v>0.31136228585043463</v>
      </c>
      <c r="O2059">
        <v>0.14568750930143462</v>
      </c>
      <c r="P2059">
        <v>2.0137941786528665E-2</v>
      </c>
      <c r="Q2059">
        <v>1.2910184086122158E-3</v>
      </c>
      <c r="R2059">
        <v>3.564228852836436E-3</v>
      </c>
      <c r="S2059">
        <v>0.44287954109088112</v>
      </c>
      <c r="T2059">
        <v>3.9678708620190437</v>
      </c>
      <c r="U2059">
        <v>0</v>
      </c>
      <c r="V2059">
        <v>1.1304767209823825E-2</v>
      </c>
      <c r="W2059">
        <v>0.18524263543613079</v>
      </c>
      <c r="X2059">
        <v>2.5194405994872878E-2</v>
      </c>
      <c r="Y2059">
        <v>1.0072782854115912E-2</v>
      </c>
    </row>
    <row r="2060" spans="1:25" x14ac:dyDescent="0.25">
      <c r="A2060" s="1093"/>
      <c r="B2060" s="1452">
        <v>1810</v>
      </c>
      <c r="C2060" s="1097">
        <v>0.98371116874644293</v>
      </c>
      <c r="D2060" s="1097">
        <v>1.004518555937076</v>
      </c>
      <c r="E2060" s="1097">
        <v>1.0310429747800347</v>
      </c>
      <c r="F2060" s="1097">
        <v>0.99686646184974215</v>
      </c>
      <c r="G2060" s="1097">
        <v>0.95928310566093122</v>
      </c>
      <c r="H2060" s="1097">
        <v>0.96214400949069845</v>
      </c>
      <c r="I2060" s="1097">
        <v>1.0044916847452643</v>
      </c>
      <c r="K2060">
        <v>5.1583934566244007</v>
      </c>
      <c r="L2060">
        <v>0</v>
      </c>
      <c r="M2060">
        <v>3.2962673790413021E-3</v>
      </c>
      <c r="N2060">
        <v>0.31345906881804264</v>
      </c>
      <c r="O2060">
        <v>0.14923028997630358</v>
      </c>
      <c r="P2060">
        <v>2.0722398192064648E-2</v>
      </c>
      <c r="Q2060">
        <v>1.358094536468679E-3</v>
      </c>
      <c r="R2060">
        <v>3.2905646913556942E-3</v>
      </c>
      <c r="S2060">
        <v>0.46333137622665888</v>
      </c>
      <c r="T2060">
        <v>3.9789544173592564</v>
      </c>
      <c r="U2060">
        <v>0</v>
      </c>
      <c r="V2060">
        <v>1.1304767209823811E-2</v>
      </c>
      <c r="W2060">
        <v>0.18287779204126831</v>
      </c>
      <c r="X2060">
        <v>2.7861567911697221E-2</v>
      </c>
      <c r="Y2060">
        <v>9.2993870405009907E-3</v>
      </c>
    </row>
    <row r="2061" spans="1:25" x14ac:dyDescent="0.25">
      <c r="A2061" s="1093"/>
      <c r="B2061" s="1452">
        <v>1811</v>
      </c>
      <c r="C2061" s="1097">
        <v>0.97377357625226302</v>
      </c>
      <c r="D2061" s="1097">
        <v>1.0183682553665125</v>
      </c>
      <c r="E2061" s="1097">
        <v>1.0125462446421389</v>
      </c>
      <c r="F2061" s="1097">
        <v>0.99836579740575504</v>
      </c>
      <c r="G2061" s="1097">
        <v>0.98327166982789382</v>
      </c>
      <c r="H2061" s="1097">
        <v>0.98008638074167664</v>
      </c>
      <c r="I2061" s="1097">
        <v>1.0248147329815316</v>
      </c>
      <c r="K2061">
        <v>5.191351810286811</v>
      </c>
      <c r="L2061">
        <v>0</v>
      </c>
      <c r="M2061">
        <v>3.5131961652555129E-3</v>
      </c>
      <c r="N2061">
        <v>0.31630968442724799</v>
      </c>
      <c r="O2061">
        <v>0.15067942294780012</v>
      </c>
      <c r="P2061">
        <v>2.0560284794500956E-2</v>
      </c>
      <c r="Q2061">
        <v>1.3432933596391524E-3</v>
      </c>
      <c r="R2061">
        <v>3.5072383962963397E-3</v>
      </c>
      <c r="S2061">
        <v>0.48038132044106885</v>
      </c>
      <c r="T2061">
        <v>3.9872336286846277</v>
      </c>
      <c r="U2061">
        <v>0</v>
      </c>
      <c r="V2061">
        <v>1.1304767209823811E-2</v>
      </c>
      <c r="W2061">
        <v>0.18682823115357983</v>
      </c>
      <c r="X2061">
        <v>2.6805411564561833E-2</v>
      </c>
      <c r="Y2061">
        <v>9.9117234729180735E-3</v>
      </c>
    </row>
    <row r="2062" spans="1:25" x14ac:dyDescent="0.25">
      <c r="A2062" s="1093"/>
      <c r="B2062" s="1452">
        <v>1812</v>
      </c>
      <c r="C2062" s="1097">
        <v>1.0194979301679112</v>
      </c>
      <c r="D2062" s="1097">
        <v>1.0348272967363705</v>
      </c>
      <c r="E2062" s="1097">
        <v>0.99870319679201469</v>
      </c>
      <c r="F2062" s="1097">
        <v>0.98245090761133713</v>
      </c>
      <c r="G2062" s="1097">
        <v>1.0094984478518823</v>
      </c>
      <c r="H2062" s="1097">
        <v>0.9801726699856812</v>
      </c>
      <c r="I2062" s="1097">
        <v>0.99187177396871495</v>
      </c>
      <c r="K2062">
        <v>5.035837817187673</v>
      </c>
      <c r="L2062">
        <v>0</v>
      </c>
      <c r="M2062">
        <v>3.378560151421807E-3</v>
      </c>
      <c r="N2062">
        <v>0.29196049008172004</v>
      </c>
      <c r="O2062">
        <v>0.14108815256308596</v>
      </c>
      <c r="P2062">
        <v>1.9871186648188901E-2</v>
      </c>
      <c r="Q2062">
        <v>1.2598627526502646E-3</v>
      </c>
      <c r="R2062">
        <v>3.372738558666839E-3</v>
      </c>
      <c r="S2062">
        <v>0.43681693508833641</v>
      </c>
      <c r="T2062">
        <v>3.9253763858290127</v>
      </c>
      <c r="U2062">
        <v>0</v>
      </c>
      <c r="V2062">
        <v>1.1304767209823811E-2</v>
      </c>
      <c r="W2062">
        <v>0.17406120214834925</v>
      </c>
      <c r="X2062">
        <v>2.4573039796060528E-2</v>
      </c>
      <c r="Y2062">
        <v>9.5316166632002704E-3</v>
      </c>
    </row>
    <row r="2063" spans="1:25" x14ac:dyDescent="0.25">
      <c r="A2063" s="1093"/>
      <c r="B2063" s="1452">
        <v>1813</v>
      </c>
      <c r="C2063" s="1097">
        <v>1.0302102922950949</v>
      </c>
      <c r="D2063" s="1097">
        <v>1.0132167541606425</v>
      </c>
      <c r="E2063" s="1097">
        <v>0.99345837665075687</v>
      </c>
      <c r="F2063" s="1097">
        <v>1.0350720734118113</v>
      </c>
      <c r="G2063" s="1097">
        <v>0.97608034879337968</v>
      </c>
      <c r="H2063" s="1097">
        <v>1.0019025393298127</v>
      </c>
      <c r="I2063" s="1097">
        <v>0.99200354784045386</v>
      </c>
      <c r="K2063">
        <v>5.3107442814004822</v>
      </c>
      <c r="L2063">
        <v>0</v>
      </c>
      <c r="M2063">
        <v>3.6711118931904685E-3</v>
      </c>
      <c r="N2063">
        <v>0.31238670478556552</v>
      </c>
      <c r="O2063">
        <v>0.14849227650299196</v>
      </c>
      <c r="P2063">
        <v>2.0841841330863677E-2</v>
      </c>
      <c r="Q2063">
        <v>1.2516787690883893E-3</v>
      </c>
      <c r="R2063">
        <v>3.6652375074992432E-3</v>
      </c>
      <c r="S2063">
        <v>0.45755773310056458</v>
      </c>
      <c r="T2063">
        <v>4.136306774563292</v>
      </c>
      <c r="U2063">
        <v>0</v>
      </c>
      <c r="V2063">
        <v>1.1304767209823822E-2</v>
      </c>
      <c r="W2063">
        <v>0.18690204062891544</v>
      </c>
      <c r="X2063">
        <v>2.5348097871221477E-2</v>
      </c>
      <c r="Y2063">
        <v>1.035824102383898E-2</v>
      </c>
    </row>
    <row r="2064" spans="1:25" x14ac:dyDescent="0.25">
      <c r="A2064" s="1093"/>
      <c r="B2064" s="1452">
        <v>1814</v>
      </c>
      <c r="C2064" s="1097">
        <v>1.0443425584301864</v>
      </c>
      <c r="D2064" s="1097">
        <v>1.001874365887319</v>
      </c>
      <c r="E2064" s="1097">
        <v>0.98555487991443858</v>
      </c>
      <c r="F2064" s="1097">
        <v>1.0095042676169508</v>
      </c>
      <c r="G2064" s="1097">
        <v>0.9878174464292554</v>
      </c>
      <c r="H2064" s="1097">
        <v>0.96443904265393465</v>
      </c>
      <c r="I2064" s="1097">
        <v>1.0033043583263681</v>
      </c>
      <c r="K2064">
        <v>5.1492041499416521</v>
      </c>
      <c r="L2064">
        <v>0</v>
      </c>
      <c r="M2064">
        <v>3.4726207051423348E-3</v>
      </c>
      <c r="N2064">
        <v>0.28862159816276206</v>
      </c>
      <c r="O2064">
        <v>0.1437217226179269</v>
      </c>
      <c r="P2064">
        <v>2.0189366128320237E-2</v>
      </c>
      <c r="Q2064">
        <v>1.231884490612788E-3</v>
      </c>
      <c r="R2064">
        <v>3.4667021230180514E-3</v>
      </c>
      <c r="S2064">
        <v>0.44117209875967439</v>
      </c>
      <c r="T2064">
        <v>4.0351405754331555</v>
      </c>
      <c r="U2064">
        <v>0</v>
      </c>
      <c r="V2064">
        <v>1.1304767209823824E-2</v>
      </c>
      <c r="W2064">
        <v>0.17361483489907925</v>
      </c>
      <c r="X2064">
        <v>2.4416055952579802E-2</v>
      </c>
      <c r="Y2064">
        <v>9.7971648698355705E-3</v>
      </c>
    </row>
    <row r="2065" spans="1:25" x14ac:dyDescent="0.25">
      <c r="A2065" s="1093"/>
      <c r="B2065" s="1452">
        <v>1815</v>
      </c>
      <c r="C2065" s="1097">
        <v>1.0117837577837154</v>
      </c>
      <c r="D2065" s="1097">
        <v>1.0276927749460265</v>
      </c>
      <c r="E2065" s="1097">
        <v>1.0239297655153863</v>
      </c>
      <c r="F2065" s="1097">
        <v>1.0264330395865486</v>
      </c>
      <c r="G2065" s="1097">
        <v>0.99479974367097201</v>
      </c>
      <c r="H2065" s="1097">
        <v>0.96925483177824312</v>
      </c>
      <c r="I2065" s="1097">
        <v>1.0124699479423629</v>
      </c>
      <c r="K2065">
        <v>5.2752922369338524</v>
      </c>
      <c r="L2065">
        <v>0</v>
      </c>
      <c r="M2065">
        <v>3.3438268623815093E-3</v>
      </c>
      <c r="N2065">
        <v>0.31138273408077005</v>
      </c>
      <c r="O2065">
        <v>0.14823509108886837</v>
      </c>
      <c r="P2065">
        <v>2.1172016636365639E-2</v>
      </c>
      <c r="Q2065">
        <v>1.3006066637035463E-3</v>
      </c>
      <c r="R2065">
        <v>3.3382494824605448E-3</v>
      </c>
      <c r="S2065">
        <v>0.46465802235127579</v>
      </c>
      <c r="T2065">
        <v>4.0978730729090103</v>
      </c>
      <c r="U2065">
        <v>0</v>
      </c>
      <c r="V2065">
        <v>1.1304767209823799E-2</v>
      </c>
      <c r="W2065">
        <v>0.18252575067151616</v>
      </c>
      <c r="X2065">
        <v>2.7411604801716269E-2</v>
      </c>
      <c r="Y2065">
        <v>9.4341479007248735E-3</v>
      </c>
    </row>
    <row r="2066" spans="1:25" x14ac:dyDescent="0.25">
      <c r="A2066" s="1093"/>
      <c r="B2066" s="1452">
        <v>1816</v>
      </c>
      <c r="C2066" s="1097">
        <v>0.99055424655932467</v>
      </c>
      <c r="D2066" s="1097">
        <v>1.0298656684212961</v>
      </c>
      <c r="E2066" s="1097">
        <v>1.0079875539152028</v>
      </c>
      <c r="F2066" s="1097">
        <v>0.98087872482955807</v>
      </c>
      <c r="G2066" s="1097">
        <v>0.99380435607641437</v>
      </c>
      <c r="H2066" s="1097">
        <v>1.0226715049934842</v>
      </c>
      <c r="I2066" s="1097">
        <v>0.98320382146375795</v>
      </c>
      <c r="K2066">
        <v>5.087569901249223</v>
      </c>
      <c r="L2066">
        <v>0</v>
      </c>
      <c r="M2066">
        <v>3.5589185871571826E-3</v>
      </c>
      <c r="N2066">
        <v>0.31614376437050085</v>
      </c>
      <c r="O2066">
        <v>0.14500438826617185</v>
      </c>
      <c r="P2066">
        <v>2.0049488389046015E-2</v>
      </c>
      <c r="Q2066">
        <v>1.3095273486527445E-3</v>
      </c>
      <c r="R2066">
        <v>3.5530316551377634E-3</v>
      </c>
      <c r="S2066">
        <v>0.45312796160957136</v>
      </c>
      <c r="T2066">
        <v>3.9179531507141911</v>
      </c>
      <c r="U2066">
        <v>0</v>
      </c>
      <c r="V2066">
        <v>1.1304767209823825E-2</v>
      </c>
      <c r="W2066">
        <v>0.18730245170829765</v>
      </c>
      <c r="X2066">
        <v>2.5339149846428443E-2</v>
      </c>
      <c r="Y2066">
        <v>1.004113871855386E-2</v>
      </c>
    </row>
    <row r="2067" spans="1:25" x14ac:dyDescent="0.25">
      <c r="A2067" s="1093"/>
      <c r="B2067" s="1452">
        <v>1817</v>
      </c>
      <c r="C2067" s="1097">
        <v>1.0063300106140554</v>
      </c>
      <c r="D2067" s="1097">
        <v>0.98950389925860083</v>
      </c>
      <c r="E2067" s="1097">
        <v>0.98951022706700087</v>
      </c>
      <c r="F2067" s="1097">
        <v>1.0163060824351391</v>
      </c>
      <c r="G2067" s="1097">
        <v>1.0003905367742747</v>
      </c>
      <c r="H2067" s="1097">
        <v>1.0103911747301997</v>
      </c>
      <c r="I2067" s="1097">
        <v>1.0045240314566684</v>
      </c>
      <c r="K2067">
        <v>5.2621927091758627</v>
      </c>
      <c r="L2067">
        <v>0</v>
      </c>
      <c r="M2067">
        <v>3.7882100373221269E-3</v>
      </c>
      <c r="N2067">
        <v>0.3185946033299788</v>
      </c>
      <c r="O2067">
        <v>0.15079198540331029</v>
      </c>
      <c r="P2067">
        <v>2.0504029536453784E-2</v>
      </c>
      <c r="Q2067">
        <v>1.2891836184665208E-3</v>
      </c>
      <c r="R2067">
        <v>3.7820883938918422E-3</v>
      </c>
      <c r="S2067">
        <v>0.47085386989677974</v>
      </c>
      <c r="T2067">
        <v>4.0618207963241693</v>
      </c>
      <c r="U2067">
        <v>0</v>
      </c>
      <c r="V2067">
        <v>1.1304767209823822E-2</v>
      </c>
      <c r="W2067">
        <v>0.19112853616877984</v>
      </c>
      <c r="X2067">
        <v>2.5222588781600209E-2</v>
      </c>
      <c r="Y2067">
        <v>1.0688470549927616E-2</v>
      </c>
    </row>
    <row r="2068" spans="1:25" x14ac:dyDescent="0.25">
      <c r="A2068" s="1093"/>
      <c r="B2068" s="1452">
        <v>1818</v>
      </c>
      <c r="C2068" s="1097">
        <v>0.95836606376042233</v>
      </c>
      <c r="D2068" s="1097">
        <v>1.0078226476852623</v>
      </c>
      <c r="E2068" s="1097">
        <v>1.0268894399731336</v>
      </c>
      <c r="F2068" s="1097">
        <v>0.976956515619542</v>
      </c>
      <c r="G2068" s="1097">
        <v>1.0132797268728726</v>
      </c>
      <c r="H2068" s="1097">
        <v>0.98372797827775971</v>
      </c>
      <c r="I2068" s="1097">
        <v>0.98706715012478807</v>
      </c>
      <c r="K2068">
        <v>5.091970420763487</v>
      </c>
      <c r="L2068">
        <v>0</v>
      </c>
      <c r="M2068">
        <v>3.415793283093326E-3</v>
      </c>
      <c r="N2068">
        <v>0.32086194009364138</v>
      </c>
      <c r="O2068">
        <v>0.15003799702967333</v>
      </c>
      <c r="P2068">
        <v>2.0293494169479072E-2</v>
      </c>
      <c r="Q2068">
        <v>1.3873240235568534E-3</v>
      </c>
      <c r="R2068">
        <v>3.4098958800285561E-3</v>
      </c>
      <c r="S2068">
        <v>0.46330077052172308</v>
      </c>
      <c r="T2068">
        <v>3.8999871266713368</v>
      </c>
      <c r="U2068">
        <v>0</v>
      </c>
      <c r="V2068">
        <v>1.1304767209823811E-2</v>
      </c>
      <c r="W2068">
        <v>0.18771279422863088</v>
      </c>
      <c r="X2068">
        <v>2.7453478128491086E-2</v>
      </c>
      <c r="Y2068">
        <v>9.6366260901957681E-3</v>
      </c>
    </row>
    <row r="2069" spans="1:25" x14ac:dyDescent="0.25">
      <c r="A2069" s="1093"/>
      <c r="B2069" s="1452">
        <v>1819</v>
      </c>
      <c r="C2069" s="1097">
        <v>0.97341692206936248</v>
      </c>
      <c r="D2069" s="1097">
        <v>0.96366138803016155</v>
      </c>
      <c r="E2069" s="1097">
        <v>1.0095822028732109</v>
      </c>
      <c r="F2069" s="1097">
        <v>1.0010667701275311</v>
      </c>
      <c r="G2069" s="1097">
        <v>1.0195978396182603</v>
      </c>
      <c r="H2069" s="1097">
        <v>0.98547880300301038</v>
      </c>
      <c r="I2069" s="1097">
        <v>0.97581767644913431</v>
      </c>
      <c r="K2069">
        <v>5.2060318546009885</v>
      </c>
      <c r="L2069">
        <v>0</v>
      </c>
      <c r="M2069">
        <v>3.6452178885321264E-3</v>
      </c>
      <c r="N2069">
        <v>0.32533335642545047</v>
      </c>
      <c r="O2069">
        <v>0.15460394015465267</v>
      </c>
      <c r="P2069">
        <v>2.049431765499838E-2</v>
      </c>
      <c r="Q2069">
        <v>1.3703345985426538E-3</v>
      </c>
      <c r="R2069">
        <v>3.6390866189251019E-3</v>
      </c>
      <c r="S2069">
        <v>0.46463815196349267</v>
      </c>
      <c r="T2069">
        <v>3.9983912651322364</v>
      </c>
      <c r="U2069">
        <v>0</v>
      </c>
      <c r="V2069">
        <v>1.1304767209823801E-2</v>
      </c>
      <c r="W2069">
        <v>0.19254051963186153</v>
      </c>
      <c r="X2069">
        <v>2.7076996483338774E-2</v>
      </c>
      <c r="Y2069">
        <v>1.0284336616202563E-2</v>
      </c>
    </row>
    <row r="2070" spans="1:25" x14ac:dyDescent="0.25">
      <c r="A2070" s="1093"/>
      <c r="B2070" s="1452">
        <v>1820</v>
      </c>
      <c r="C2070" s="1097">
        <v>1.0075962376232466</v>
      </c>
      <c r="D2070" s="1097">
        <v>0.9651106760951258</v>
      </c>
      <c r="E2070" s="1097">
        <v>0.9928126258045884</v>
      </c>
      <c r="F2070" s="1097">
        <v>0.98097886130627665</v>
      </c>
      <c r="G2070" s="1097">
        <v>0.97198876276854984</v>
      </c>
      <c r="H2070" s="1097">
        <v>1.0484408833990988</v>
      </c>
      <c r="I2070" s="1097">
        <v>1.0224417533031469</v>
      </c>
      <c r="K2070">
        <v>5.1249545787869915</v>
      </c>
      <c r="L2070">
        <v>0</v>
      </c>
      <c r="M2070">
        <v>3.8012195653485941E-3</v>
      </c>
      <c r="N2070">
        <v>0.32283512652494267</v>
      </c>
      <c r="O2070">
        <v>0.14673539906806174</v>
      </c>
      <c r="P2070">
        <v>1.9929731793473161E-2</v>
      </c>
      <c r="Q2070">
        <v>1.3041901811931176E-3</v>
      </c>
      <c r="R2070">
        <v>3.7950870044204015E-3</v>
      </c>
      <c r="S2070">
        <v>0.47422627203547962</v>
      </c>
      <c r="T2070">
        <v>3.9202217919947673</v>
      </c>
      <c r="U2070">
        <v>0</v>
      </c>
      <c r="V2070">
        <v>1.130476720982381E-2</v>
      </c>
      <c r="W2070">
        <v>0.19323808087764749</v>
      </c>
      <c r="X2070">
        <v>2.4440146046852077E-2</v>
      </c>
      <c r="Y2070">
        <v>1.0725205615678291E-2</v>
      </c>
    </row>
    <row r="2071" spans="1:25" x14ac:dyDescent="0.25">
      <c r="A2071" s="1093"/>
      <c r="B2071" s="1452">
        <v>1821</v>
      </c>
      <c r="C2071" s="1097">
        <v>0.96664567544492608</v>
      </c>
      <c r="D2071" s="1097">
        <v>1.0247675580747269</v>
      </c>
      <c r="E2071" s="1097">
        <v>0.96790454473224496</v>
      </c>
      <c r="F2071" s="1097">
        <v>1.0079703724769014</v>
      </c>
      <c r="G2071" s="1097">
        <v>0.99931779169572665</v>
      </c>
      <c r="H2071" s="1097">
        <v>0.98475107402059414</v>
      </c>
      <c r="I2071" s="1097">
        <v>0.98343532718024018</v>
      </c>
      <c r="K2071">
        <v>5.2211908401393643</v>
      </c>
      <c r="L2071">
        <v>0</v>
      </c>
      <c r="M2071">
        <v>3.9335474309833158E-3</v>
      </c>
      <c r="N2071">
        <v>0.31025473142441368</v>
      </c>
      <c r="O2071">
        <v>0.15415001354548058</v>
      </c>
      <c r="P2071">
        <v>2.0023784271549674E-2</v>
      </c>
      <c r="Q2071">
        <v>1.2988320879904606E-3</v>
      </c>
      <c r="R2071">
        <v>3.9269715742145253E-3</v>
      </c>
      <c r="S2071">
        <v>0.46845483542627492</v>
      </c>
      <c r="T2071">
        <v>4.0312674300874862</v>
      </c>
      <c r="U2071">
        <v>0</v>
      </c>
      <c r="V2071">
        <v>1.1304767209823822E-2</v>
      </c>
      <c r="W2071">
        <v>0.18890351072086209</v>
      </c>
      <c r="X2071">
        <v>2.4441589743420134E-2</v>
      </c>
      <c r="Y2071">
        <v>1.1097921478827068E-2</v>
      </c>
    </row>
    <row r="2072" spans="1:25" x14ac:dyDescent="0.25">
      <c r="A2072" s="1093"/>
      <c r="B2072" s="1452">
        <v>1822</v>
      </c>
      <c r="C2072" s="1097">
        <v>0.99875176277631061</v>
      </c>
      <c r="D2072" s="1097">
        <v>1.0150449330962454</v>
      </c>
      <c r="E2072" s="1097">
        <v>1.0188334987624841</v>
      </c>
      <c r="F2072" s="1097">
        <v>1.0165088477016724</v>
      </c>
      <c r="G2072" s="1097">
        <v>0.99418084398724027</v>
      </c>
      <c r="H2072" s="1097">
        <v>0.99801276186596433</v>
      </c>
      <c r="I2072" s="1097">
        <v>0.98081433311389832</v>
      </c>
      <c r="K2072">
        <v>5.2488248456054301</v>
      </c>
      <c r="L2072">
        <v>0</v>
      </c>
      <c r="M2072">
        <v>3.509028382445913E-3</v>
      </c>
      <c r="N2072">
        <v>0.32188754116055479</v>
      </c>
      <c r="O2072">
        <v>0.14959940549100095</v>
      </c>
      <c r="P2072">
        <v>2.0886010766293452E-2</v>
      </c>
      <c r="Q2072">
        <v>1.3184269148905246E-3</v>
      </c>
      <c r="R2072">
        <v>3.5032887006962226E-3</v>
      </c>
      <c r="S2072">
        <v>0.45870147680726364</v>
      </c>
      <c r="T2072">
        <v>4.0588961431717197</v>
      </c>
      <c r="U2072">
        <v>0</v>
      </c>
      <c r="V2072">
        <v>1.1304767209823806E-2</v>
      </c>
      <c r="W2072">
        <v>0.18932510009367406</v>
      </c>
      <c r="X2072">
        <v>2.7011152340353419E-2</v>
      </c>
      <c r="Y2072">
        <v>9.9005613316071502E-3</v>
      </c>
    </row>
    <row r="2073" spans="1:25" x14ac:dyDescent="0.25">
      <c r="A2073" s="1093"/>
      <c r="B2073" s="1452">
        <v>1823</v>
      </c>
      <c r="C2073" s="1097">
        <v>1.0109323458861723</v>
      </c>
      <c r="D2073" s="1097">
        <v>0.99080358245436395</v>
      </c>
      <c r="E2073" s="1097">
        <v>1.0092146515788465</v>
      </c>
      <c r="F2073" s="1097">
        <v>0.95938576444255375</v>
      </c>
      <c r="G2073" s="1097">
        <v>0.99835314950932785</v>
      </c>
      <c r="H2073" s="1097">
        <v>0.9938356450463115</v>
      </c>
      <c r="I2073" s="1097">
        <v>1.0129801775534837</v>
      </c>
      <c r="K2073">
        <v>4.9635953652872828</v>
      </c>
      <c r="L2073">
        <v>0</v>
      </c>
      <c r="M2073">
        <v>3.3576890563664038E-3</v>
      </c>
      <c r="N2073">
        <v>0.29932819360625129</v>
      </c>
      <c r="O2073">
        <v>0.14110172964045661</v>
      </c>
      <c r="P2073">
        <v>1.9647276031868978E-2</v>
      </c>
      <c r="Q2073">
        <v>1.3044943103859116E-3</v>
      </c>
      <c r="R2073">
        <v>3.3518460196524237E-3</v>
      </c>
      <c r="S2073">
        <v>0.44731177221358964</v>
      </c>
      <c r="T2073">
        <v>3.8319559682138018</v>
      </c>
      <c r="U2073">
        <v>0</v>
      </c>
      <c r="V2073">
        <v>1.1304767209823804E-2</v>
      </c>
      <c r="W2073">
        <v>0.1771937389886572</v>
      </c>
      <c r="X2073">
        <v>2.4980695356287441E-2</v>
      </c>
      <c r="Y2073">
        <v>9.4725727528756336E-3</v>
      </c>
    </row>
    <row r="2074" spans="1:25" x14ac:dyDescent="0.25">
      <c r="A2074" s="1093"/>
      <c r="B2074" s="1452">
        <v>1824</v>
      </c>
      <c r="C2074" s="1097">
        <v>1.0043730155365973</v>
      </c>
      <c r="D2074" s="1097">
        <v>0.98852336380201589</v>
      </c>
      <c r="E2074" s="1097">
        <v>0.99872454325908666</v>
      </c>
      <c r="F2074" s="1097">
        <v>0.997132789382836</v>
      </c>
      <c r="G2074" s="1097">
        <v>0.97785889230327716</v>
      </c>
      <c r="H2074" s="1097">
        <v>1.014339697607711</v>
      </c>
      <c r="I2074" s="1097">
        <v>0.99959299305817018</v>
      </c>
      <c r="K2074">
        <v>5.1695002344590657</v>
      </c>
      <c r="L2074">
        <v>0</v>
      </c>
      <c r="M2074">
        <v>3.6683266108774319E-3</v>
      </c>
      <c r="N2074">
        <v>0.31704710570325073</v>
      </c>
      <c r="O2074">
        <v>0.14803848610577638</v>
      </c>
      <c r="P2074">
        <v>2.0256320348067069E-2</v>
      </c>
      <c r="Q2074">
        <v>1.3024914333461743E-3</v>
      </c>
      <c r="R2074">
        <v>3.6623084195652298E-3</v>
      </c>
      <c r="S2074">
        <v>0.46284643109169027</v>
      </c>
      <c r="T2074">
        <v>3.98403507751611</v>
      </c>
      <c r="U2074">
        <v>0</v>
      </c>
      <c r="V2074">
        <v>1.1304767209823827E-2</v>
      </c>
      <c r="W2074">
        <v>0.18901462817689715</v>
      </c>
      <c r="X2074">
        <v>2.5310981867700734E-2</v>
      </c>
      <c r="Y2074">
        <v>1.0349963197712175E-2</v>
      </c>
    </row>
    <row r="2075" spans="1:25" x14ac:dyDescent="0.25">
      <c r="A2075" s="1093"/>
      <c r="B2075" s="1452">
        <v>1825</v>
      </c>
      <c r="C2075" s="1097">
        <v>0.97416863710869073</v>
      </c>
      <c r="D2075" s="1097">
        <v>0.95753709336878146</v>
      </c>
      <c r="E2075" s="1097">
        <v>1.0310445299047744</v>
      </c>
      <c r="F2075" s="1097">
        <v>1.0400424562044104</v>
      </c>
      <c r="G2075" s="1097">
        <v>1.0094096793340688</v>
      </c>
      <c r="H2075" s="1097">
        <v>1.0219824348626996</v>
      </c>
      <c r="I2075" s="1097">
        <v>0.99962468220473966</v>
      </c>
      <c r="K2075">
        <v>5.4511689300972019</v>
      </c>
      <c r="L2075">
        <v>0</v>
      </c>
      <c r="M2075">
        <v>3.7597834169266825E-3</v>
      </c>
      <c r="N2075">
        <v>0.35759930208859725</v>
      </c>
      <c r="O2075">
        <v>0.16026007442538556</v>
      </c>
      <c r="P2075">
        <v>2.1690690638199821E-2</v>
      </c>
      <c r="Q2075">
        <v>1.3979285385777159E-3</v>
      </c>
      <c r="R2075">
        <v>3.7539134918223318E-3</v>
      </c>
      <c r="S2075">
        <v>0.49908896692512372</v>
      </c>
      <c r="T2075">
        <v>4.151289550070997</v>
      </c>
      <c r="U2075">
        <v>0</v>
      </c>
      <c r="V2075">
        <v>1.130476720982381E-2</v>
      </c>
      <c r="W2075">
        <v>0.20862980209361254</v>
      </c>
      <c r="X2075">
        <v>2.9304871906362509E-2</v>
      </c>
      <c r="Y2075">
        <v>1.0608846125627168E-2</v>
      </c>
    </row>
    <row r="2076" spans="1:25" x14ac:dyDescent="0.25">
      <c r="A2076" s="1093"/>
      <c r="B2076" s="1452">
        <v>1826</v>
      </c>
      <c r="C2076" s="1097">
        <v>0.98874374372651186</v>
      </c>
      <c r="D2076" s="1097">
        <v>0.96349668608176298</v>
      </c>
      <c r="E2076" s="1097">
        <v>0.9741552882430905</v>
      </c>
      <c r="F2076" s="1097">
        <v>1.0266270222496456</v>
      </c>
      <c r="G2076" s="1097">
        <v>0.99203068499706293</v>
      </c>
      <c r="H2076" s="1097">
        <v>0.9957126720682371</v>
      </c>
      <c r="I2076" s="1097">
        <v>1.0039968660435041</v>
      </c>
      <c r="K2076">
        <v>5.3316447599347416</v>
      </c>
      <c r="L2076">
        <v>0</v>
      </c>
      <c r="M2076">
        <v>4.0063301480258891E-3</v>
      </c>
      <c r="N2076">
        <v>0.32193082102266912</v>
      </c>
      <c r="O2076">
        <v>0.15714337323784497</v>
      </c>
      <c r="P2076">
        <v>2.0512553463926015E-2</v>
      </c>
      <c r="Q2076">
        <v>1.3086291674660262E-3</v>
      </c>
      <c r="R2076">
        <v>3.999826527599371E-3</v>
      </c>
      <c r="S2076">
        <v>0.48270906604948599</v>
      </c>
      <c r="T2076">
        <v>4.1050660423919814</v>
      </c>
      <c r="U2076">
        <v>0</v>
      </c>
      <c r="V2076">
        <v>1.1304767209823836E-2</v>
      </c>
      <c r="W2076">
        <v>0.19516990252383837</v>
      </c>
      <c r="X2076">
        <v>2.5202293348818051E-2</v>
      </c>
      <c r="Y2076">
        <v>1.130381513930521E-2</v>
      </c>
    </row>
    <row r="2077" spans="1:25" x14ac:dyDescent="0.25">
      <c r="A2077" s="1093"/>
      <c r="B2077" s="1452">
        <v>1827</v>
      </c>
      <c r="C2077" s="1097">
        <v>0.96577898738154644</v>
      </c>
      <c r="D2077" s="1097">
        <v>1.0010915948052279</v>
      </c>
      <c r="E2077" s="1097">
        <v>0.97555157636515899</v>
      </c>
      <c r="F2077" s="1097">
        <v>0.9769740666006862</v>
      </c>
      <c r="G2077" s="1097">
        <v>0.95603030004518363</v>
      </c>
      <c r="H2077" s="1097">
        <v>0.97400845263019264</v>
      </c>
      <c r="I2077" s="1097">
        <v>1.0095833610169505</v>
      </c>
      <c r="K2077">
        <v>5.0790207201754205</v>
      </c>
      <c r="L2077">
        <v>0</v>
      </c>
      <c r="M2077">
        <v>3.7494366533995299E-3</v>
      </c>
      <c r="N2077">
        <v>0.30250292066373663</v>
      </c>
      <c r="O2077">
        <v>0.15073351976606003</v>
      </c>
      <c r="P2077">
        <v>1.9585972787676265E-2</v>
      </c>
      <c r="Q2077">
        <v>1.3209952752834941E-3</v>
      </c>
      <c r="R2077">
        <v>3.7428987310169103E-3</v>
      </c>
      <c r="S2077">
        <v>0.46900002824757525</v>
      </c>
      <c r="T2077">
        <v>3.906350675783842</v>
      </c>
      <c r="U2077">
        <v>0</v>
      </c>
      <c r="V2077">
        <v>1.130476720982383E-2</v>
      </c>
      <c r="W2077">
        <v>0.18321580476583058</v>
      </c>
      <c r="X2077">
        <v>2.4434856027319228E-2</v>
      </c>
      <c r="Y2077">
        <v>1.0577717570653841E-2</v>
      </c>
    </row>
    <row r="2078" spans="1:25" x14ac:dyDescent="0.25">
      <c r="A2078" s="1093"/>
      <c r="B2078" s="1452">
        <v>1828</v>
      </c>
      <c r="C2078" s="1097">
        <v>1.0241348621086754</v>
      </c>
      <c r="D2078" s="1097">
        <v>0.99785742298511004</v>
      </c>
      <c r="E2078" s="1097">
        <v>0.99353176179725777</v>
      </c>
      <c r="F2078" s="1097">
        <v>1.0155048946420679</v>
      </c>
      <c r="G2078" s="1097">
        <v>0.98388661423924062</v>
      </c>
      <c r="H2078" s="1097">
        <v>1.0280997630423299</v>
      </c>
      <c r="I2078" s="1097">
        <v>0.99422543344971848</v>
      </c>
      <c r="K2078">
        <v>5.2429998215081968</v>
      </c>
      <c r="L2078">
        <v>0</v>
      </c>
      <c r="M2078">
        <v>3.7401367494132053E-3</v>
      </c>
      <c r="N2078">
        <v>0.31833293003742064</v>
      </c>
      <c r="O2078">
        <v>0.14744552878916634</v>
      </c>
      <c r="P2078">
        <v>2.0500738924450666E-2</v>
      </c>
      <c r="Q2078">
        <v>1.2669007575763561E-3</v>
      </c>
      <c r="R2078">
        <v>3.7341922171296479E-3</v>
      </c>
      <c r="S2078">
        <v>0.46013854112877528</v>
      </c>
      <c r="T2078">
        <v>4.0581039416152684</v>
      </c>
      <c r="U2078">
        <v>0</v>
      </c>
      <c r="V2078">
        <v>1.1304767209823801E-2</v>
      </c>
      <c r="W2078">
        <v>0.19045019944286443</v>
      </c>
      <c r="X2078">
        <v>2.4909105837438314E-2</v>
      </c>
      <c r="Y2078">
        <v>1.0553112297697542E-2</v>
      </c>
    </row>
    <row r="2079" spans="1:25" x14ac:dyDescent="0.25">
      <c r="A2079" s="1093"/>
      <c r="B2079" s="1452">
        <v>1829</v>
      </c>
      <c r="C2079" s="1097">
        <v>1.013850963353115</v>
      </c>
      <c r="D2079" s="1097">
        <v>0.96928989848064961</v>
      </c>
      <c r="E2079" s="1097">
        <v>0.964543166176977</v>
      </c>
      <c r="F2079" s="1097">
        <v>1.0009602731941796</v>
      </c>
      <c r="G2079" s="1097">
        <v>0.99293696001843168</v>
      </c>
      <c r="H2079" s="1097">
        <v>1.0113604523507245</v>
      </c>
      <c r="I2079" s="1097">
        <v>1.0001349260445687</v>
      </c>
      <c r="K2079">
        <v>5.1766861690346495</v>
      </c>
      <c r="L2079">
        <v>0</v>
      </c>
      <c r="M2079">
        <v>3.9387436664962659E-3</v>
      </c>
      <c r="N2079">
        <v>0.30758819027987877</v>
      </c>
      <c r="O2079">
        <v>0.14932975065255133</v>
      </c>
      <c r="P2079">
        <v>1.9819082911491044E-2</v>
      </c>
      <c r="Q2079">
        <v>1.2625148198424513E-3</v>
      </c>
      <c r="R2079">
        <v>3.9322875391793128E-3</v>
      </c>
      <c r="S2079">
        <v>0.46150067659796873</v>
      </c>
      <c r="T2079">
        <v>4.0036604122035557</v>
      </c>
      <c r="U2079">
        <v>0</v>
      </c>
      <c r="V2079">
        <v>1.1304767209823813E-2</v>
      </c>
      <c r="W2079">
        <v>0.18771583239308323</v>
      </c>
      <c r="X2079">
        <v>2.3398453292096808E-2</v>
      </c>
      <c r="Y2079">
        <v>1.1112944801672282E-2</v>
      </c>
    </row>
    <row r="2080" spans="1:25" x14ac:dyDescent="0.25">
      <c r="A2080" s="1093"/>
      <c r="B2080" s="1452">
        <v>1830</v>
      </c>
      <c r="C2080" s="1097">
        <v>1.0106714561572929</v>
      </c>
      <c r="D2080" s="1097">
        <v>0.99759464758600402</v>
      </c>
      <c r="E2080" s="1097">
        <v>0.99791134518704994</v>
      </c>
      <c r="F2080" s="1097">
        <v>1.0124796092128168</v>
      </c>
      <c r="G2080" s="1097">
        <v>0.95561372138581735</v>
      </c>
      <c r="H2080" s="1097">
        <v>1.0162497247816755</v>
      </c>
      <c r="I2080" s="1097">
        <v>1.0245115497767745</v>
      </c>
      <c r="K2080">
        <v>5.249896377711031</v>
      </c>
      <c r="L2080">
        <v>0</v>
      </c>
      <c r="M2080">
        <v>3.7012555145435424E-3</v>
      </c>
      <c r="N2080">
        <v>0.3191320575615838</v>
      </c>
      <c r="O2080">
        <v>0.14885804577690837</v>
      </c>
      <c r="P2080">
        <v>2.0587260412990648E-2</v>
      </c>
      <c r="Q2080">
        <v>1.2887540491104456E-3</v>
      </c>
      <c r="R2080">
        <v>3.6952864302891492E-3</v>
      </c>
      <c r="S2080">
        <v>0.47701116821530487</v>
      </c>
      <c r="T2080">
        <v>4.0454566132942134</v>
      </c>
      <c r="U2080">
        <v>0</v>
      </c>
      <c r="V2080">
        <v>1.1304767209823822E-2</v>
      </c>
      <c r="W2080">
        <v>0.19036233580508646</v>
      </c>
      <c r="X2080">
        <v>2.5458182896487415E-2</v>
      </c>
      <c r="Y2080">
        <v>1.0443161573769984E-2</v>
      </c>
    </row>
    <row r="2081" spans="1:25" x14ac:dyDescent="0.25">
      <c r="A2081" s="1093"/>
      <c r="B2081" s="1452">
        <v>1831</v>
      </c>
      <c r="C2081" s="1097">
        <v>1.0176405337508123</v>
      </c>
      <c r="D2081" s="1097">
        <v>1.0242044720312495</v>
      </c>
      <c r="E2081" s="1097">
        <v>0.9990399808422129</v>
      </c>
      <c r="F2081" s="1097">
        <v>1.0092631063392596</v>
      </c>
      <c r="G2081" s="1097">
        <v>1.0166265644956833</v>
      </c>
      <c r="H2081" s="1097">
        <v>0.96281552187202801</v>
      </c>
      <c r="I2081" s="1097">
        <v>0.97819708387204363</v>
      </c>
      <c r="K2081">
        <v>5.1586751589280535</v>
      </c>
      <c r="L2081">
        <v>0</v>
      </c>
      <c r="M2081">
        <v>3.4270675932097827E-3</v>
      </c>
      <c r="N2081">
        <v>0.2964525801824161</v>
      </c>
      <c r="O2081">
        <v>0.14579448350552054</v>
      </c>
      <c r="P2081">
        <v>2.0373596667960334E-2</v>
      </c>
      <c r="Q2081">
        <v>1.2677485233604177E-3</v>
      </c>
      <c r="R2081">
        <v>3.4212154049440614E-3</v>
      </c>
      <c r="S2081">
        <v>0.43918431368966299</v>
      </c>
      <c r="T2081">
        <v>4.0324616576352073</v>
      </c>
      <c r="U2081">
        <v>0</v>
      </c>
      <c r="V2081">
        <v>1.1304767209823806E-2</v>
      </c>
      <c r="W2081">
        <v>0.17669904317825835</v>
      </c>
      <c r="X2081">
        <v>2.5474204592297118E-2</v>
      </c>
      <c r="Y2081">
        <v>9.668615931811831E-3</v>
      </c>
    </row>
    <row r="2082" spans="1:25" x14ac:dyDescent="0.25">
      <c r="A2082" s="1093"/>
      <c r="B2082" s="1452">
        <v>1832</v>
      </c>
      <c r="C2082" s="1097">
        <v>0.99645604713235303</v>
      </c>
      <c r="D2082" s="1097">
        <v>1.0073211131871718</v>
      </c>
      <c r="E2082" s="1097">
        <v>0.98255329104501465</v>
      </c>
      <c r="F2082" s="1097">
        <v>1.0115674948171893</v>
      </c>
      <c r="G2082" s="1097">
        <v>1.0093003122344637</v>
      </c>
      <c r="H2082" s="1097">
        <v>0.96809217548540605</v>
      </c>
      <c r="I2082" s="1097">
        <v>1.014824988690928</v>
      </c>
      <c r="K2082">
        <v>5.2168662203921219</v>
      </c>
      <c r="L2082">
        <v>0</v>
      </c>
      <c r="M2082">
        <v>3.6759185529566252E-3</v>
      </c>
      <c r="N2082">
        <v>0.302813094527209</v>
      </c>
      <c r="O2082">
        <v>0.15069393690414054</v>
      </c>
      <c r="P2082">
        <v>2.0305919224849714E-2</v>
      </c>
      <c r="Q2082">
        <v>1.2849443905356835E-3</v>
      </c>
      <c r="R2082">
        <v>3.6696898297646843E-3</v>
      </c>
      <c r="S2082">
        <v>0.46869882858190864</v>
      </c>
      <c r="T2082">
        <v>4.0437716749302623</v>
      </c>
      <c r="U2082">
        <v>0</v>
      </c>
      <c r="V2082">
        <v>1.1304767209823822E-2</v>
      </c>
      <c r="W2082">
        <v>0.182525401089038</v>
      </c>
      <c r="X2082">
        <v>2.5103058631062335E-2</v>
      </c>
      <c r="Y2082">
        <v>1.0370823626479841E-2</v>
      </c>
    </row>
    <row r="2083" spans="1:25" x14ac:dyDescent="0.25">
      <c r="A2083" s="1093"/>
      <c r="B2083" s="1452">
        <v>1833</v>
      </c>
      <c r="C2083" s="1097">
        <v>0.95875818101409449</v>
      </c>
      <c r="D2083" s="1097">
        <v>0.98503623929017203</v>
      </c>
      <c r="E2083" s="1097">
        <v>0.99782329909613665</v>
      </c>
      <c r="F2083" s="1097">
        <v>0.97980949748558033</v>
      </c>
      <c r="G2083" s="1097">
        <v>1.0144189232404939</v>
      </c>
      <c r="H2083" s="1097">
        <v>0.9731409750803558</v>
      </c>
      <c r="I2083" s="1097">
        <v>1.0149035531074966</v>
      </c>
      <c r="K2083">
        <v>5.1141333211236288</v>
      </c>
      <c r="L2083">
        <v>0</v>
      </c>
      <c r="M2083">
        <v>3.6348429881817895E-3</v>
      </c>
      <c r="N2083">
        <v>0.3132840170326186</v>
      </c>
      <c r="O2083">
        <v>0.152628810750188</v>
      </c>
      <c r="P2083">
        <v>1.9995134653776166E-2</v>
      </c>
      <c r="Q2083">
        <v>1.3653340006777675E-3</v>
      </c>
      <c r="R2083">
        <v>3.6285175606103706E-3</v>
      </c>
      <c r="S2083">
        <v>0.47742234298786529</v>
      </c>
      <c r="T2083">
        <v>3.914930980069466</v>
      </c>
      <c r="U2083">
        <v>0</v>
      </c>
      <c r="V2083">
        <v>1.1304767209823822E-2</v>
      </c>
      <c r="W2083">
        <v>0.1868851154189691</v>
      </c>
      <c r="X2083">
        <v>2.6068676777316693E-2</v>
      </c>
      <c r="Y2083">
        <v>1.0254467650495702E-2</v>
      </c>
    </row>
    <row r="2084" spans="1:25" x14ac:dyDescent="0.25">
      <c r="A2084" s="1093"/>
      <c r="B2084" s="1452">
        <v>1834</v>
      </c>
      <c r="C2084" s="1097">
        <v>1.0131470169466745</v>
      </c>
      <c r="D2084" s="1097">
        <v>0.98570499437673398</v>
      </c>
      <c r="E2084" s="1097">
        <v>1.0106613214291384</v>
      </c>
      <c r="F2084" s="1097">
        <v>0.95960683339705444</v>
      </c>
      <c r="G2084" s="1097">
        <v>1.041598219088278</v>
      </c>
      <c r="H2084" s="1097">
        <v>1.0151990197999632</v>
      </c>
      <c r="I2084" s="1097">
        <v>0.98061315807731708</v>
      </c>
      <c r="K2084">
        <v>4.9641236518610148</v>
      </c>
      <c r="L2084">
        <v>0</v>
      </c>
      <c r="M2084">
        <v>3.4197764209642546E-3</v>
      </c>
      <c r="N2084">
        <v>0.30618306628703085</v>
      </c>
      <c r="O2084">
        <v>0.14107828638641068</v>
      </c>
      <c r="P2084">
        <v>1.9621251131079806E-2</v>
      </c>
      <c r="Q2084">
        <v>1.3059396905318597E-3</v>
      </c>
      <c r="R2084">
        <v>3.413951911650847E-3</v>
      </c>
      <c r="S2084">
        <v>0.4363437774158771</v>
      </c>
      <c r="T2084">
        <v>3.8326654757319472</v>
      </c>
      <c r="U2084">
        <v>0</v>
      </c>
      <c r="V2084">
        <v>1.130476720982381E-2</v>
      </c>
      <c r="W2084">
        <v>0.18107568091438836</v>
      </c>
      <c r="X2084">
        <v>2.4903142858015693E-2</v>
      </c>
      <c r="Y2084">
        <v>9.6480887452237273E-3</v>
      </c>
    </row>
    <row r="2085" spans="1:25" x14ac:dyDescent="0.25">
      <c r="A2085" s="1093"/>
      <c r="B2085" s="1452">
        <v>1835</v>
      </c>
      <c r="C2085" s="1097">
        <v>1.0215729873382378</v>
      </c>
      <c r="D2085" s="1097">
        <v>0.98673484791805621</v>
      </c>
      <c r="E2085" s="1097">
        <v>0.97649153917342069</v>
      </c>
      <c r="F2085" s="1097">
        <v>0.9950881886598042</v>
      </c>
      <c r="G2085" s="1097">
        <v>1.007657730360447</v>
      </c>
      <c r="H2085" s="1097">
        <v>1.0262077956823921</v>
      </c>
      <c r="I2085" s="1097">
        <v>1.0046158456242471</v>
      </c>
      <c r="K2085">
        <v>5.1462631971119226</v>
      </c>
      <c r="L2085">
        <v>0</v>
      </c>
      <c r="M2085">
        <v>3.8182552611563383E-3</v>
      </c>
      <c r="N2085">
        <v>0.30895261438412364</v>
      </c>
      <c r="O2085">
        <v>0.14595866611440222</v>
      </c>
      <c r="P2085">
        <v>1.9877969624803489E-2</v>
      </c>
      <c r="Q2085">
        <v>1.2571126748649527E-3</v>
      </c>
      <c r="R2085">
        <v>3.8120508437669829E-3</v>
      </c>
      <c r="S2085">
        <v>0.45890773354498254</v>
      </c>
      <c r="T2085">
        <v>3.9786597524663323</v>
      </c>
      <c r="U2085">
        <v>0</v>
      </c>
      <c r="V2085">
        <v>1.1304767209823815E-2</v>
      </c>
      <c r="W2085">
        <v>0.18700137157446314</v>
      </c>
      <c r="X2085">
        <v>2.357626721471591E-2</v>
      </c>
      <c r="Y2085">
        <v>1.0773146720799601E-2</v>
      </c>
    </row>
    <row r="2086" spans="1:25" x14ac:dyDescent="0.25">
      <c r="A2086" s="1093"/>
      <c r="B2086" s="1452">
        <v>1836</v>
      </c>
      <c r="C2086" s="1097">
        <v>1.005563028141415</v>
      </c>
      <c r="D2086" s="1097">
        <v>0.99185605038507896</v>
      </c>
      <c r="E2086" s="1097">
        <v>0.97459101730205733</v>
      </c>
      <c r="F2086" s="1097">
        <v>1.0387685094705998</v>
      </c>
      <c r="G2086" s="1097">
        <v>1.0143159773403185</v>
      </c>
      <c r="H2086" s="1097">
        <v>1.0281583949207431</v>
      </c>
      <c r="I2086" s="1097">
        <v>1.0229388773670067</v>
      </c>
      <c r="K2086">
        <v>5.3949463719073085</v>
      </c>
      <c r="L2086">
        <v>0</v>
      </c>
      <c r="M2086">
        <v>4.0645154611528922E-3</v>
      </c>
      <c r="N2086">
        <v>0.32705186302545763</v>
      </c>
      <c r="O2086">
        <v>0.1545261330195708</v>
      </c>
      <c r="P2086">
        <v>2.0777452558618643E-2</v>
      </c>
      <c r="Q2086">
        <v>1.2723791148726577E-3</v>
      </c>
      <c r="R2086">
        <v>4.0582001702472491E-3</v>
      </c>
      <c r="S2086">
        <v>0.49206041973833065</v>
      </c>
      <c r="T2086">
        <v>4.1535574267383248</v>
      </c>
      <c r="U2086">
        <v>0</v>
      </c>
      <c r="V2086">
        <v>1.1304767209823829E-2</v>
      </c>
      <c r="W2086">
        <v>0.19821511371513301</v>
      </c>
      <c r="X2086">
        <v>2.4718348568027685E-2</v>
      </c>
      <c r="Y2086">
        <v>1.1468783510044905E-2</v>
      </c>
    </row>
    <row r="2087" spans="1:25" x14ac:dyDescent="0.25">
      <c r="A2087" s="1093"/>
      <c r="B2087" s="1452">
        <v>1837</v>
      </c>
      <c r="C2087" s="1097">
        <v>1.0065098518903581</v>
      </c>
      <c r="D2087" s="1097">
        <v>1.0309804031113501</v>
      </c>
      <c r="E2087" s="1097">
        <v>0.98829387807033686</v>
      </c>
      <c r="F2087" s="1097">
        <v>1.0001617213645146</v>
      </c>
      <c r="G2087" s="1097">
        <v>0.98908446251279936</v>
      </c>
      <c r="H2087" s="1097">
        <v>1.0015969473974975</v>
      </c>
      <c r="I2087" s="1097">
        <v>1.0158079309753307</v>
      </c>
      <c r="K2087">
        <v>5.1639897691453269</v>
      </c>
      <c r="L2087">
        <v>0</v>
      </c>
      <c r="M2087">
        <v>3.6441347250186652E-3</v>
      </c>
      <c r="N2087">
        <v>0.30536179909520667</v>
      </c>
      <c r="O2087">
        <v>0.14598628456111956</v>
      </c>
      <c r="P2087">
        <v>2.0165515807098626E-2</v>
      </c>
      <c r="Q2087">
        <v>1.2666250431800394E-3</v>
      </c>
      <c r="R2087">
        <v>3.6380984668602004E-3</v>
      </c>
      <c r="S2087">
        <v>0.46429944500023518</v>
      </c>
      <c r="T2087">
        <v>3.9974509551997359</v>
      </c>
      <c r="U2087">
        <v>0</v>
      </c>
      <c r="V2087">
        <v>1.1304767209823834E-2</v>
      </c>
      <c r="W2087">
        <v>0.18334182909590568</v>
      </c>
      <c r="X2087">
        <v>2.4537040368149698E-2</v>
      </c>
      <c r="Y2087">
        <v>1.0281544023025309E-2</v>
      </c>
    </row>
    <row r="2088" spans="1:25" x14ac:dyDescent="0.25">
      <c r="A2088" s="1093"/>
      <c r="B2088" s="1452">
        <v>1838</v>
      </c>
      <c r="C2088" s="1097">
        <v>1.0127573584134539</v>
      </c>
      <c r="D2088" s="1097">
        <v>0.99159989545127825</v>
      </c>
      <c r="E2088" s="1097">
        <v>0.98883811275682043</v>
      </c>
      <c r="F2088" s="1097">
        <v>0.97773641678646983</v>
      </c>
      <c r="G2088" s="1097">
        <v>0.96948608764023914</v>
      </c>
      <c r="H2088" s="1097">
        <v>0.98712107490566758</v>
      </c>
      <c r="I2088" s="1097">
        <v>0.99702596080084238</v>
      </c>
      <c r="K2088">
        <v>5.038937788875252</v>
      </c>
      <c r="L2088">
        <v>0</v>
      </c>
      <c r="M2088">
        <v>3.540146834425037E-3</v>
      </c>
      <c r="N2088">
        <v>0.2971085582407082</v>
      </c>
      <c r="O2088">
        <v>0.14404480060759167</v>
      </c>
      <c r="P2088">
        <v>1.9682966238206506E-2</v>
      </c>
      <c r="Q2088">
        <v>1.279176038708718E-3</v>
      </c>
      <c r="R2088">
        <v>3.5340605935474541E-3</v>
      </c>
      <c r="S2088">
        <v>0.44517143847000845</v>
      </c>
      <c r="T2088">
        <v>3.9077542273249946</v>
      </c>
      <c r="U2088">
        <v>0</v>
      </c>
      <c r="V2088">
        <v>1.1304767209823817E-2</v>
      </c>
      <c r="W2088">
        <v>0.17832039669524422</v>
      </c>
      <c r="X2088">
        <v>2.4290019240716894E-2</v>
      </c>
      <c r="Y2088">
        <v>9.9875250501276127E-3</v>
      </c>
    </row>
    <row r="2089" spans="1:25" x14ac:dyDescent="0.25">
      <c r="A2089" s="1093"/>
      <c r="B2089" s="1452">
        <v>1839</v>
      </c>
      <c r="C2089" s="1097">
        <v>1.0196322777826055</v>
      </c>
      <c r="D2089" s="1097">
        <v>0.99699841982008564</v>
      </c>
      <c r="E2089" s="1097">
        <v>0.99523786030021222</v>
      </c>
      <c r="F2089" s="1097">
        <v>1.0235711090582811</v>
      </c>
      <c r="G2089" s="1097">
        <v>1.0384729338124692</v>
      </c>
      <c r="H2089" s="1097">
        <v>1.0031226564828761</v>
      </c>
      <c r="I2089" s="1097">
        <v>1.0212434934179173</v>
      </c>
      <c r="K2089">
        <v>5.28502208713412</v>
      </c>
      <c r="L2089">
        <v>0</v>
      </c>
      <c r="M2089">
        <v>3.6824836196551131E-3</v>
      </c>
      <c r="N2089">
        <v>0.31500655242728104</v>
      </c>
      <c r="O2089">
        <v>0.14927667950742726</v>
      </c>
      <c r="P2089">
        <v>2.0731165312143824E-2</v>
      </c>
      <c r="Q2089">
        <v>1.2748029813126538E-3</v>
      </c>
      <c r="R2089">
        <v>3.6765321825803837E-3</v>
      </c>
      <c r="S2089">
        <v>0.47318124415335494</v>
      </c>
      <c r="T2089">
        <v>4.0901178636739512</v>
      </c>
      <c r="U2089">
        <v>0</v>
      </c>
      <c r="V2089">
        <v>1.130476720982383E-2</v>
      </c>
      <c r="W2089">
        <v>0.18824209659307331</v>
      </c>
      <c r="X2089">
        <v>2.5502706074895718E-2</v>
      </c>
      <c r="Y2089">
        <v>1.0390160637925937E-2</v>
      </c>
    </row>
    <row r="2090" spans="1:25" x14ac:dyDescent="0.25">
      <c r="A2090" s="1093"/>
      <c r="B2090" s="1452">
        <v>1840</v>
      </c>
      <c r="C2090" s="1097">
        <v>1.0117942161136373</v>
      </c>
      <c r="D2090" s="1097">
        <v>1.0347171549314376</v>
      </c>
      <c r="E2090" s="1097">
        <v>0.99262127133042566</v>
      </c>
      <c r="F2090" s="1097">
        <v>0.97687607170266455</v>
      </c>
      <c r="G2090" s="1097">
        <v>0.97881687782001947</v>
      </c>
      <c r="H2090" s="1097">
        <v>0.99948108871699681</v>
      </c>
      <c r="I2090" s="1097">
        <v>0.96515502922825458</v>
      </c>
      <c r="K2090">
        <v>5.0155058410828026</v>
      </c>
      <c r="L2090">
        <v>0</v>
      </c>
      <c r="M2090">
        <v>3.4962931869794551E-3</v>
      </c>
      <c r="N2090">
        <v>0.2967439256665817</v>
      </c>
      <c r="O2090">
        <v>0.14152293215395031</v>
      </c>
      <c r="P2090">
        <v>1.965086088217342E-2</v>
      </c>
      <c r="Q2090">
        <v>1.2628911072230416E-3</v>
      </c>
      <c r="R2090">
        <v>3.4903514528045387E-3</v>
      </c>
      <c r="S2090">
        <v>0.42958670432279422</v>
      </c>
      <c r="T2090">
        <v>3.9038496315880487</v>
      </c>
      <c r="U2090">
        <v>0</v>
      </c>
      <c r="V2090">
        <v>1.1304767209823832E-2</v>
      </c>
      <c r="W2090">
        <v>0.17764386652075878</v>
      </c>
      <c r="X2090">
        <v>2.4082203684266099E-2</v>
      </c>
      <c r="Y2090">
        <v>9.8639996813530955E-3</v>
      </c>
    </row>
    <row r="2091" spans="1:25" x14ac:dyDescent="0.25">
      <c r="A2091" s="1093"/>
      <c r="B2091" s="1452">
        <v>1841</v>
      </c>
      <c r="C2091" s="1097">
        <v>1.0223096540262546</v>
      </c>
      <c r="D2091" s="1097">
        <v>1.0172308458781687</v>
      </c>
      <c r="E2091" s="1097">
        <v>0.97345628385706529</v>
      </c>
      <c r="F2091" s="1097">
        <v>0.98897384880057215</v>
      </c>
      <c r="G2091" s="1097">
        <v>0.97774838973743428</v>
      </c>
      <c r="H2091" s="1097">
        <v>0.9977997427291091</v>
      </c>
      <c r="I2091" s="1097">
        <v>0.9957619046491899</v>
      </c>
      <c r="K2091">
        <v>5.080278493235677</v>
      </c>
      <c r="L2091">
        <v>0</v>
      </c>
      <c r="M2091">
        <v>3.6657696298174774E-3</v>
      </c>
      <c r="N2091">
        <v>0.29393713491235346</v>
      </c>
      <c r="O2091">
        <v>0.14328422553572673</v>
      </c>
      <c r="P2091">
        <v>1.9659897657199374E-2</v>
      </c>
      <c r="Q2091">
        <v>1.2377291166397247E-3</v>
      </c>
      <c r="R2091">
        <v>3.6596055901554547E-3</v>
      </c>
      <c r="S2091">
        <v>0.44436803505044786</v>
      </c>
      <c r="T2091">
        <v>3.9545940970261784</v>
      </c>
      <c r="U2091">
        <v>0</v>
      </c>
      <c r="V2091">
        <v>1.130476720982382E-2</v>
      </c>
      <c r="W2091">
        <v>0.17828451083117383</v>
      </c>
      <c r="X2091">
        <v>2.3271935140346062E-2</v>
      </c>
      <c r="Y2091">
        <v>1.0342324795448886E-2</v>
      </c>
    </row>
    <row r="2092" spans="1:25" x14ac:dyDescent="0.25">
      <c r="A2092" s="1093"/>
      <c r="B2092" s="1452">
        <v>1842</v>
      </c>
      <c r="C2092" s="1097">
        <v>1.0312025338639437</v>
      </c>
      <c r="D2092" s="1097">
        <v>1.0123400798698516</v>
      </c>
      <c r="E2092" s="1097">
        <v>0.98459610828245347</v>
      </c>
      <c r="F2092" s="1097">
        <v>1.0241502011317249</v>
      </c>
      <c r="G2092" s="1097">
        <v>1.0313339279449514</v>
      </c>
      <c r="H2092" s="1097">
        <v>1.0239370407761657</v>
      </c>
      <c r="I2092" s="1097">
        <v>0.99990340414831902</v>
      </c>
      <c r="K2092">
        <v>5.2717034343525135</v>
      </c>
      <c r="L2092">
        <v>0</v>
      </c>
      <c r="M2092">
        <v>3.7798075503203523E-3</v>
      </c>
      <c r="N2092">
        <v>0.31329906966211468</v>
      </c>
      <c r="O2092">
        <v>0.14707860676159237</v>
      </c>
      <c r="P2092">
        <v>2.05267943725829E-2</v>
      </c>
      <c r="Q2092">
        <v>1.2413763208284844E-3</v>
      </c>
      <c r="R2092">
        <v>3.773826378770018E-3</v>
      </c>
      <c r="S2092">
        <v>0.46081120362864603</v>
      </c>
      <c r="T2092">
        <v>4.0938067243165541</v>
      </c>
      <c r="U2092">
        <v>0</v>
      </c>
      <c r="V2092">
        <v>1.1304767209823832E-2</v>
      </c>
      <c r="W2092">
        <v>0.18858250758692949</v>
      </c>
      <c r="X2092">
        <v>2.4393244200570367E-2</v>
      </c>
      <c r="Y2092">
        <v>1.0665121464418328E-2</v>
      </c>
    </row>
    <row r="2093" spans="1:25" x14ac:dyDescent="0.25">
      <c r="A2093" s="1093"/>
      <c r="B2093" s="1452">
        <v>1843</v>
      </c>
      <c r="C2093" s="1097">
        <v>1.0026896181821658</v>
      </c>
      <c r="D2093" s="1097">
        <v>0.97934286998841857</v>
      </c>
      <c r="E2093" s="1097">
        <v>0.99979391590212174</v>
      </c>
      <c r="F2093" s="1097">
        <v>1.0191244245201698</v>
      </c>
      <c r="G2093" s="1097">
        <v>1.0045345903860945</v>
      </c>
      <c r="H2093" s="1097">
        <v>1.0143652600055395</v>
      </c>
      <c r="I2093" s="1097">
        <v>1.0278683926223044</v>
      </c>
      <c r="K2093">
        <v>5.3007296904309946</v>
      </c>
      <c r="L2093">
        <v>0</v>
      </c>
      <c r="M2093">
        <v>3.761049194465274E-3</v>
      </c>
      <c r="N2093">
        <v>0.32610416499756228</v>
      </c>
      <c r="O2093">
        <v>0.15209366747381689</v>
      </c>
      <c r="P2093">
        <v>2.0778752203544613E-2</v>
      </c>
      <c r="Q2093">
        <v>1.3107578719494101E-3</v>
      </c>
      <c r="R2093">
        <v>3.7550119682964577E-3</v>
      </c>
      <c r="S2093">
        <v>0.48644616121598255</v>
      </c>
      <c r="T2093">
        <v>4.0717655792744747</v>
      </c>
      <c r="U2093">
        <v>0</v>
      </c>
      <c r="V2093">
        <v>1.1304767209823822E-2</v>
      </c>
      <c r="W2093">
        <v>0.1942736590162604</v>
      </c>
      <c r="X2093">
        <v>2.6046267889737434E-2</v>
      </c>
      <c r="Y2093">
        <v>1.0611950504007758E-2</v>
      </c>
    </row>
    <row r="2094" spans="1:25" x14ac:dyDescent="0.25">
      <c r="A2094" s="1093"/>
      <c r="B2094" s="1452">
        <v>1844</v>
      </c>
      <c r="C2094" s="1097">
        <v>0.9951601234967149</v>
      </c>
      <c r="D2094" s="1097">
        <v>0.99465028542043177</v>
      </c>
      <c r="E2094" s="1097">
        <v>1.0209479299779709</v>
      </c>
      <c r="F2094" s="1097">
        <v>1.0085071997157102</v>
      </c>
      <c r="G2094" s="1097">
        <v>1.0237601130911795</v>
      </c>
      <c r="H2094" s="1097">
        <v>0.99455803568677537</v>
      </c>
      <c r="I2094" s="1097">
        <v>1.0265156544899166</v>
      </c>
      <c r="K2094">
        <v>5.2392563771326541</v>
      </c>
      <c r="L2094">
        <v>0</v>
      </c>
      <c r="M2094">
        <v>3.4946621390714466E-3</v>
      </c>
      <c r="N2094">
        <v>0.32257536532859571</v>
      </c>
      <c r="O2094">
        <v>0.15011196299373489</v>
      </c>
      <c r="P2094">
        <v>2.0867249673130618E-2</v>
      </c>
      <c r="Q2094">
        <v>1.3363607677484468E-3</v>
      </c>
      <c r="R2094">
        <v>3.4888806644215887E-3</v>
      </c>
      <c r="S2094">
        <v>0.47983914706319125</v>
      </c>
      <c r="T2094">
        <v>4.0266805303793349</v>
      </c>
      <c r="U2094">
        <v>0</v>
      </c>
      <c r="V2094">
        <v>1.1304767209823825E-2</v>
      </c>
      <c r="W2094">
        <v>0.18946233229311085</v>
      </c>
      <c r="X2094">
        <v>2.7224599777535885E-2</v>
      </c>
      <c r="Y2094">
        <v>9.8598431210935016E-3</v>
      </c>
    </row>
    <row r="2095" spans="1:25" x14ac:dyDescent="0.25">
      <c r="A2095" s="1093"/>
      <c r="B2095" s="1452">
        <v>1845</v>
      </c>
      <c r="C2095" s="1097">
        <v>0.98015406860814713</v>
      </c>
      <c r="D2095" s="1097">
        <v>1.0013630899040782</v>
      </c>
      <c r="E2095" s="1097">
        <v>1.0099431052147139</v>
      </c>
      <c r="F2095" s="1097">
        <v>0.97288550919206607</v>
      </c>
      <c r="G2095" s="1097">
        <v>0.97809726608993131</v>
      </c>
      <c r="H2095" s="1097">
        <v>1.0014402192552552</v>
      </c>
      <c r="I2095" s="1097">
        <v>1.0393109717549376</v>
      </c>
      <c r="K2095">
        <v>5.0808536291587592</v>
      </c>
      <c r="L2095">
        <v>0</v>
      </c>
      <c r="M2095">
        <v>3.5182597314524166E-3</v>
      </c>
      <c r="N2095">
        <v>0.31433150493783563</v>
      </c>
      <c r="O2095">
        <v>0.14693575351521329</v>
      </c>
      <c r="P2095">
        <v>2.0051293655426197E-2</v>
      </c>
      <c r="Q2095">
        <v>1.3405956859721428E-3</v>
      </c>
      <c r="R2095">
        <v>3.5122679283289891E-3</v>
      </c>
      <c r="S2095">
        <v>0.47934457491450261</v>
      </c>
      <c r="T2095">
        <v>3.8857877518333486</v>
      </c>
      <c r="U2095">
        <v>0</v>
      </c>
      <c r="V2095">
        <v>1.1304767209823806E-2</v>
      </c>
      <c r="W2095">
        <v>0.18598427284724284</v>
      </c>
      <c r="X2095">
        <v>2.5853169048092459E-2</v>
      </c>
      <c r="Y2095">
        <v>9.9259373144289457E-3</v>
      </c>
    </row>
    <row r="2096" spans="1:25" x14ac:dyDescent="0.25">
      <c r="A2096" s="1093"/>
      <c r="B2096" s="1452">
        <v>1846</v>
      </c>
      <c r="C2096" s="1097">
        <v>1.0357690679373901</v>
      </c>
      <c r="D2096" s="1097">
        <v>0.9693142679591481</v>
      </c>
      <c r="E2096" s="1097">
        <v>1.0182636162472163</v>
      </c>
      <c r="F2096" s="1097">
        <v>1.0272066086622267</v>
      </c>
      <c r="G2096" s="1097">
        <v>0.9794050012385761</v>
      </c>
      <c r="H2096" s="1097">
        <v>0.99613410488280163</v>
      </c>
      <c r="I2096" s="1097">
        <v>0.99370624563262377</v>
      </c>
      <c r="K2096">
        <v>5.2826523220026003</v>
      </c>
      <c r="L2096">
        <v>0</v>
      </c>
      <c r="M2096">
        <v>3.4804342189812161E-3</v>
      </c>
      <c r="N2096">
        <v>0.31873111998705217</v>
      </c>
      <c r="O2096">
        <v>0.14849984296115615</v>
      </c>
      <c r="P2096">
        <v>2.1061240107905853E-2</v>
      </c>
      <c r="Q2096">
        <v>1.2943428189391183E-3</v>
      </c>
      <c r="R2096">
        <v>3.4747898760960545E-3</v>
      </c>
      <c r="S2096">
        <v>0.45582058091076488</v>
      </c>
      <c r="T2096">
        <v>4.1016849073931203</v>
      </c>
      <c r="U2096">
        <v>0</v>
      </c>
      <c r="V2096">
        <v>1.130476720982381E-2</v>
      </c>
      <c r="W2096">
        <v>0.18753990254980157</v>
      </c>
      <c r="X2096">
        <v>2.6901240929417588E-2</v>
      </c>
      <c r="Y2096">
        <v>9.8200214775047388E-3</v>
      </c>
    </row>
    <row r="2097" spans="1:25" x14ac:dyDescent="0.25">
      <c r="A2097" s="1093"/>
      <c r="B2097" s="1452">
        <v>1847</v>
      </c>
      <c r="C2097" s="1097">
        <v>0.99597753700947111</v>
      </c>
      <c r="D2097" s="1097">
        <v>0.99580231795655472</v>
      </c>
      <c r="E2097" s="1097">
        <v>1.0423299654848819</v>
      </c>
      <c r="F2097" s="1097">
        <v>1.0029718968551899</v>
      </c>
      <c r="G2097" s="1097">
        <v>1.0140969210252249</v>
      </c>
      <c r="H2097" s="1097">
        <v>0.95988282925210022</v>
      </c>
      <c r="I2097" s="1097">
        <v>1.0249016665767157</v>
      </c>
      <c r="K2097">
        <v>5.1884511899431587</v>
      </c>
      <c r="L2097">
        <v>0</v>
      </c>
      <c r="M2097">
        <v>3.2018407071928256E-3</v>
      </c>
      <c r="N2097">
        <v>0.31480792796203111</v>
      </c>
      <c r="O2097">
        <v>0.14849596112000382</v>
      </c>
      <c r="P2097">
        <v>2.1029382702138336E-2</v>
      </c>
      <c r="Q2097">
        <v>1.358834267779717E-3</v>
      </c>
      <c r="R2097">
        <v>3.1963220762026572E-3</v>
      </c>
      <c r="S2097">
        <v>0.46966439306235652</v>
      </c>
      <c r="T2097">
        <v>4.0019273637134729</v>
      </c>
      <c r="U2097">
        <v>0</v>
      </c>
      <c r="V2097">
        <v>1.1304767209823824E-2</v>
      </c>
      <c r="W2097">
        <v>0.18230299676762285</v>
      </c>
      <c r="X2097">
        <v>2.8532031553922834E-2</v>
      </c>
      <c r="Y2097">
        <v>9.0330502149952099E-3</v>
      </c>
    </row>
    <row r="2098" spans="1:25" x14ac:dyDescent="0.25">
      <c r="A2098" s="1093"/>
      <c r="B2098" s="1452">
        <v>1848</v>
      </c>
      <c r="C2098" s="1097">
        <v>0.99432136951440142</v>
      </c>
      <c r="D2098" s="1097">
        <v>1.041818832233012</v>
      </c>
      <c r="E2098" s="1097">
        <v>0.99108510661679472</v>
      </c>
      <c r="F2098" s="1097">
        <v>0.99871685941992383</v>
      </c>
      <c r="G2098" s="1097">
        <v>1.0184038143812277</v>
      </c>
      <c r="H2098" s="1097">
        <v>1.0222470440411322</v>
      </c>
      <c r="I2098" s="1097">
        <v>1.0047616057244997</v>
      </c>
      <c r="K2098">
        <v>5.1762674481934958</v>
      </c>
      <c r="L2098">
        <v>0</v>
      </c>
      <c r="M2098">
        <v>3.7218279085755278E-3</v>
      </c>
      <c r="N2098">
        <v>0.31447389461809294</v>
      </c>
      <c r="O2098">
        <v>0.14686958043153411</v>
      </c>
      <c r="P2098">
        <v>2.0193464489777296E-2</v>
      </c>
      <c r="Q2098">
        <v>1.2798773754516093E-3</v>
      </c>
      <c r="R2098">
        <v>3.7157787690316022E-3</v>
      </c>
      <c r="S2098">
        <v>0.4672255541217985</v>
      </c>
      <c r="T2098">
        <v>3.9913244322691677</v>
      </c>
      <c r="U2098">
        <v>0</v>
      </c>
      <c r="V2098">
        <v>1.1304767209823815E-2</v>
      </c>
      <c r="W2098">
        <v>0.18845444647751969</v>
      </c>
      <c r="X2098">
        <v>2.4646405852298613E-2</v>
      </c>
      <c r="Y2098">
        <v>1.0501074487572206E-2</v>
      </c>
    </row>
    <row r="2099" spans="1:25" x14ac:dyDescent="0.25">
      <c r="A2099" s="1093"/>
      <c r="B2099" s="1452">
        <v>1849</v>
      </c>
      <c r="C2099" s="1097">
        <v>0.98574618086666088</v>
      </c>
      <c r="D2099" s="1097">
        <v>0.97128893096200752</v>
      </c>
      <c r="E2099" s="1097">
        <v>0.99416417131016321</v>
      </c>
      <c r="F2099" s="1097">
        <v>1.0138032039012232</v>
      </c>
      <c r="G2099" s="1097">
        <v>1.0092242569584386</v>
      </c>
      <c r="H2099" s="1097">
        <v>1.0205122072530319</v>
      </c>
      <c r="I2099" s="1097">
        <v>0.99686486270399743</v>
      </c>
      <c r="K2099">
        <v>5.2853166556503979</v>
      </c>
      <c r="L2099">
        <v>0</v>
      </c>
      <c r="M2099">
        <v>3.8872769090394273E-3</v>
      </c>
      <c r="N2099">
        <v>0.33147242905178859</v>
      </c>
      <c r="O2099">
        <v>0.15457236833035157</v>
      </c>
      <c r="P2099">
        <v>2.0568191197209883E-2</v>
      </c>
      <c r="Q2099">
        <v>1.3312480143371432E-3</v>
      </c>
      <c r="R2099">
        <v>3.8810421465694882E-3</v>
      </c>
      <c r="S2099">
        <v>0.47976245155509345</v>
      </c>
      <c r="T2099">
        <v>4.0512230104973881</v>
      </c>
      <c r="U2099">
        <v>0</v>
      </c>
      <c r="V2099">
        <v>1.1304767209823829E-2</v>
      </c>
      <c r="W2099">
        <v>0.19822611468850374</v>
      </c>
      <c r="X2099">
        <v>2.5894188458609482E-2</v>
      </c>
      <c r="Y2099">
        <v>1.0968121409756277E-2</v>
      </c>
    </row>
    <row r="2100" spans="1:25" x14ac:dyDescent="0.25">
      <c r="A2100" s="1093"/>
      <c r="B2100" s="1452">
        <v>1850</v>
      </c>
      <c r="C2100" s="1097">
        <v>0.98064471482774451</v>
      </c>
      <c r="D2100" s="1097">
        <v>1.0285706289695133</v>
      </c>
      <c r="E2100" s="1097">
        <v>1.0347702704794264</v>
      </c>
      <c r="F2100" s="1097">
        <v>0.98945912156172322</v>
      </c>
      <c r="G2100" s="1097">
        <v>1.0303701770498428</v>
      </c>
      <c r="H2100" s="1097">
        <v>1.0164790873156153</v>
      </c>
      <c r="I2100" s="1097">
        <v>1.0088114844913694</v>
      </c>
      <c r="K2100">
        <v>5.1568046228499851</v>
      </c>
      <c r="L2100">
        <v>0</v>
      </c>
      <c r="M2100">
        <v>3.4077409937902357E-3</v>
      </c>
      <c r="N2100">
        <v>0.32767590499914839</v>
      </c>
      <c r="O2100">
        <v>0.14708137722819287</v>
      </c>
      <c r="P2100">
        <v>2.067891205422007E-2</v>
      </c>
      <c r="Q2100">
        <v>1.3537364194162692E-3</v>
      </c>
      <c r="R2100">
        <v>3.4021188871044624E-3</v>
      </c>
      <c r="S2100">
        <v>0.47202465621203493</v>
      </c>
      <c r="T2100">
        <v>3.9489324640526271</v>
      </c>
      <c r="U2100">
        <v>0</v>
      </c>
      <c r="V2100">
        <v>1.1304767209823817E-2</v>
      </c>
      <c r="W2100">
        <v>0.19070172820104486</v>
      </c>
      <c r="X2100">
        <v>2.744205086571604E-2</v>
      </c>
      <c r="Y2100">
        <v>9.6146477144469552E-3</v>
      </c>
    </row>
    <row r="2101" spans="1:25" x14ac:dyDescent="0.25">
      <c r="A2101" s="1093"/>
      <c r="B2101" s="1452">
        <v>1851</v>
      </c>
      <c r="C2101" s="1097">
        <v>1.0183626560853576</v>
      </c>
      <c r="D2101" s="1097">
        <v>0.97084781333664605</v>
      </c>
      <c r="E2101" s="1097">
        <v>1.0092366971388211</v>
      </c>
      <c r="F2101" s="1097">
        <v>0.98819176754529336</v>
      </c>
      <c r="G2101" s="1097">
        <v>0.98758741689290974</v>
      </c>
      <c r="H2101" s="1097">
        <v>1.0015665653075903</v>
      </c>
      <c r="I2101" s="1097">
        <v>0.98482026655112898</v>
      </c>
      <c r="K2101">
        <v>5.1014732609333082</v>
      </c>
      <c r="L2101">
        <v>0</v>
      </c>
      <c r="M2101">
        <v>3.4879141849068554E-3</v>
      </c>
      <c r="N2101">
        <v>0.31097751888756309</v>
      </c>
      <c r="O2101">
        <v>0.14545635205317117</v>
      </c>
      <c r="P2101">
        <v>2.016694387614381E-2</v>
      </c>
      <c r="Q2101">
        <v>1.3055831567565016E-3</v>
      </c>
      <c r="R2101">
        <v>3.4820666527909019E-3</v>
      </c>
      <c r="S2101">
        <v>0.44567602999018341</v>
      </c>
      <c r="T2101">
        <v>3.9470095023514613</v>
      </c>
      <c r="U2101">
        <v>0</v>
      </c>
      <c r="V2101">
        <v>1.1304767209823815E-2</v>
      </c>
      <c r="W2101">
        <v>0.18408708091522516</v>
      </c>
      <c r="X2101">
        <v>2.5654743821094679E-2</v>
      </c>
      <c r="Y2101">
        <v>9.8405862040000028E-3</v>
      </c>
    </row>
    <row r="2102" spans="1:25" x14ac:dyDescent="0.25">
      <c r="A2102" s="1093"/>
      <c r="B2102" s="1452">
        <v>1852</v>
      </c>
      <c r="C2102" s="1097">
        <v>0.98114756715025708</v>
      </c>
      <c r="D2102" s="1097">
        <v>1.0010999100510316</v>
      </c>
      <c r="E2102" s="1097">
        <v>0.99616052520581289</v>
      </c>
      <c r="F2102" s="1097">
        <v>1.0086573522080304</v>
      </c>
      <c r="G2102" s="1097">
        <v>1.0010990471791243</v>
      </c>
      <c r="H2102" s="1097">
        <v>1.0412834472233612</v>
      </c>
      <c r="I2102" s="1097">
        <v>0.99445019385660138</v>
      </c>
      <c r="K2102">
        <v>5.2670469558423001</v>
      </c>
      <c r="L2102">
        <v>0</v>
      </c>
      <c r="M2102">
        <v>3.9007180517077722E-3</v>
      </c>
      <c r="N2102">
        <v>0.33460062884149477</v>
      </c>
      <c r="O2102">
        <v>0.15259439143922454</v>
      </c>
      <c r="P2102">
        <v>2.0505180766118253E-2</v>
      </c>
      <c r="Q2102">
        <v>1.3236814854820761E-3</v>
      </c>
      <c r="R2102">
        <v>3.8945553008918796E-3</v>
      </c>
      <c r="S2102">
        <v>0.47989841569082298</v>
      </c>
      <c r="T2102">
        <v>4.0304064620826701</v>
      </c>
      <c r="U2102">
        <v>0</v>
      </c>
      <c r="V2102">
        <v>1.1304767209823837E-2</v>
      </c>
      <c r="W2102">
        <v>0.19982613856426104</v>
      </c>
      <c r="X2102">
        <v>2.5587141897660655E-2</v>
      </c>
      <c r="Y2102">
        <v>1.100631061555188E-2</v>
      </c>
    </row>
    <row r="2103" spans="1:25" x14ac:dyDescent="0.25">
      <c r="A2103" s="1093"/>
      <c r="B2103" s="1452">
        <v>1853</v>
      </c>
      <c r="C2103" s="1097">
        <v>0.97995195151211656</v>
      </c>
      <c r="D2103" s="1097">
        <v>1.0092123703093794</v>
      </c>
      <c r="E2103" s="1097">
        <v>1.0078293033715318</v>
      </c>
      <c r="F2103" s="1097">
        <v>1.0143524914916948</v>
      </c>
      <c r="G2103" s="1097">
        <v>0.99877288441565715</v>
      </c>
      <c r="H2103" s="1097">
        <v>1.0058291404112492</v>
      </c>
      <c r="I2103" s="1097">
        <v>0.97394263310845197</v>
      </c>
      <c r="K2103">
        <v>5.2620354446804614</v>
      </c>
      <c r="L2103">
        <v>0</v>
      </c>
      <c r="M2103">
        <v>3.6897169549998136E-3</v>
      </c>
      <c r="N2103">
        <v>0.32761830291904948</v>
      </c>
      <c r="O2103">
        <v>0.15281301054311597</v>
      </c>
      <c r="P2103">
        <v>2.0714929731057437E-2</v>
      </c>
      <c r="Q2103">
        <v>1.3342851577313663E-3</v>
      </c>
      <c r="R2103">
        <v>3.683715913635434E-3</v>
      </c>
      <c r="S2103">
        <v>0.46538530232646269</v>
      </c>
      <c r="T2103">
        <v>4.0516784943605257</v>
      </c>
      <c r="U2103">
        <v>0</v>
      </c>
      <c r="V2103">
        <v>1.1304767209823818E-2</v>
      </c>
      <c r="W2103">
        <v>0.1941213044256041</v>
      </c>
      <c r="X2103">
        <v>2.6660586638113066E-2</v>
      </c>
      <c r="Y2103">
        <v>1.0410462410339428E-2</v>
      </c>
    </row>
    <row r="2104" spans="1:25" x14ac:dyDescent="0.25">
      <c r="A2104" s="1093"/>
      <c r="B2104" s="1452">
        <v>1854</v>
      </c>
      <c r="C2104" s="1097">
        <v>0.96933310996269118</v>
      </c>
      <c r="D2104" s="1097">
        <v>1.0026082950426816</v>
      </c>
      <c r="E2104" s="1097">
        <v>0.99917739757123414</v>
      </c>
      <c r="F2104" s="1097">
        <v>1.0237720463865772</v>
      </c>
      <c r="G2104" s="1097">
        <v>0.97899946970077478</v>
      </c>
      <c r="H2104" s="1097">
        <v>0.99271600226258161</v>
      </c>
      <c r="I2104" s="1097">
        <v>1.0054675868871255</v>
      </c>
      <c r="K2104">
        <v>5.3295312977552305</v>
      </c>
      <c r="L2104">
        <v>0</v>
      </c>
      <c r="M2104">
        <v>3.7939464415492393E-3</v>
      </c>
      <c r="N2104">
        <v>0.3283470874900013</v>
      </c>
      <c r="O2104">
        <v>0.15658576123540055</v>
      </c>
      <c r="P2104">
        <v>2.0858852670408098E-2</v>
      </c>
      <c r="Q2104">
        <v>1.342479890182429E-3</v>
      </c>
      <c r="R2104">
        <v>3.7877518007982639E-3</v>
      </c>
      <c r="S2104">
        <v>0.48752347034410581</v>
      </c>
      <c r="T2104">
        <v>4.0904137513480654</v>
      </c>
      <c r="U2104">
        <v>0</v>
      </c>
      <c r="V2104">
        <v>1.1304767209823815E-2</v>
      </c>
      <c r="W2104">
        <v>0.19569141406254989</v>
      </c>
      <c r="X2104">
        <v>2.6765432375217703E-2</v>
      </c>
      <c r="Y2104">
        <v>1.0704475770225829E-2</v>
      </c>
    </row>
    <row r="2105" spans="1:25" x14ac:dyDescent="0.25">
      <c r="A2105" s="1093"/>
      <c r="B2105" s="1452">
        <v>1855</v>
      </c>
      <c r="C2105" s="1097">
        <v>1.0292025490727779</v>
      </c>
      <c r="D2105" s="1097">
        <v>0.97712853608374739</v>
      </c>
      <c r="E2105" s="1097">
        <v>1.0290484282791654</v>
      </c>
      <c r="F2105" s="1097">
        <v>1.0444387602567538</v>
      </c>
      <c r="G2105" s="1097">
        <v>1.0099409600162588</v>
      </c>
      <c r="H2105" s="1097">
        <v>0.96528123613793948</v>
      </c>
      <c r="I2105" s="1097">
        <v>0.97110401899815613</v>
      </c>
      <c r="K2105">
        <v>5.3438422791835194</v>
      </c>
      <c r="L2105">
        <v>0</v>
      </c>
      <c r="M2105">
        <v>3.3624130103619451E-3</v>
      </c>
      <c r="N2105">
        <v>0.31789605972088908</v>
      </c>
      <c r="O2105">
        <v>0.15115958348048456</v>
      </c>
      <c r="P2105">
        <v>2.1505205849906558E-2</v>
      </c>
      <c r="Q2105">
        <v>1.3103004672356618E-3</v>
      </c>
      <c r="R2105">
        <v>3.3568784725197865E-3</v>
      </c>
      <c r="S2105">
        <v>0.44813685662719549</v>
      </c>
      <c r="T2105">
        <v>4.1690952662338301</v>
      </c>
      <c r="U2105">
        <v>0</v>
      </c>
      <c r="V2105">
        <v>1.130476720982382E-2</v>
      </c>
      <c r="W2105">
        <v>0.18571156990091695</v>
      </c>
      <c r="X2105">
        <v>2.8241409382185941E-2</v>
      </c>
      <c r="Y2105">
        <v>9.4867948488884021E-3</v>
      </c>
    </row>
    <row r="2106" spans="1:25" x14ac:dyDescent="0.25">
      <c r="A2106" s="1093"/>
      <c r="B2106" s="1452">
        <v>1856</v>
      </c>
      <c r="C2106" s="1097">
        <v>1.018825865776164</v>
      </c>
      <c r="D2106" s="1097">
        <v>1.0268368627010751</v>
      </c>
      <c r="E2106" s="1097">
        <v>0.98627008653164738</v>
      </c>
      <c r="F2106" s="1097">
        <v>1.0048571450876524</v>
      </c>
      <c r="G2106" s="1097">
        <v>1.0221295034846625</v>
      </c>
      <c r="H2106" s="1097">
        <v>0.98241301107368773</v>
      </c>
      <c r="I2106" s="1097">
        <v>1.0001967875156919</v>
      </c>
      <c r="K2106">
        <v>5.1551158989246302</v>
      </c>
      <c r="L2106">
        <v>0</v>
      </c>
      <c r="M2106">
        <v>3.5685451382898312E-3</v>
      </c>
      <c r="N2106">
        <v>0.29723104208830908</v>
      </c>
      <c r="O2106">
        <v>0.14518716618021035</v>
      </c>
      <c r="P2106">
        <v>2.0157187902983462E-2</v>
      </c>
      <c r="Q2106">
        <v>1.2511412136478328E-3</v>
      </c>
      <c r="R2106">
        <v>3.5625467754472496E-3</v>
      </c>
      <c r="S2106">
        <v>0.45026320322183544</v>
      </c>
      <c r="T2106">
        <v>4.0164744978428741</v>
      </c>
      <c r="U2106">
        <v>0</v>
      </c>
      <c r="V2106">
        <v>1.1304767209823808E-2</v>
      </c>
      <c r="W2106">
        <v>0.17870644490746349</v>
      </c>
      <c r="X2106">
        <v>2.4478417545331404E-2</v>
      </c>
      <c r="Y2106">
        <v>1.0068029174993541E-2</v>
      </c>
    </row>
    <row r="2107" spans="1:25" x14ac:dyDescent="0.25">
      <c r="A2107" s="1093"/>
      <c r="B2107" s="1452">
        <v>1857</v>
      </c>
      <c r="C2107" s="1097">
        <v>1.0394648287955475</v>
      </c>
      <c r="D2107" s="1097">
        <v>1.0000238124148653</v>
      </c>
      <c r="E2107" s="1097">
        <v>1.0092156076282393</v>
      </c>
      <c r="F2107" s="1097">
        <v>0.98452286460881422</v>
      </c>
      <c r="G2107" s="1097">
        <v>1.0095483187841729</v>
      </c>
      <c r="H2107" s="1097">
        <v>1.0220596230079486</v>
      </c>
      <c r="I2107" s="1097">
        <v>1.0137620948891117</v>
      </c>
      <c r="K2107">
        <v>5.0762783317685036</v>
      </c>
      <c r="L2107">
        <v>0</v>
      </c>
      <c r="M2107">
        <v>3.4333478399002715E-3</v>
      </c>
      <c r="N2107">
        <v>0.30610177855723186</v>
      </c>
      <c r="O2107">
        <v>0.14030333038877973</v>
      </c>
      <c r="P2107">
        <v>2.0115268641032601E-2</v>
      </c>
      <c r="Q2107">
        <v>1.2639960797959627E-3</v>
      </c>
      <c r="R2107">
        <v>3.4276862172050509E-3</v>
      </c>
      <c r="S2107">
        <v>0.44910999956011027</v>
      </c>
      <c r="T2107">
        <v>3.9323578625200453</v>
      </c>
      <c r="U2107">
        <v>0</v>
      </c>
      <c r="V2107">
        <v>1.1304767209823804E-2</v>
      </c>
      <c r="W2107">
        <v>0.18120339140330313</v>
      </c>
      <c r="X2107">
        <v>2.483669608979637E-2</v>
      </c>
      <c r="Y2107">
        <v>9.6869029412845319E-3</v>
      </c>
    </row>
    <row r="2108" spans="1:25" x14ac:dyDescent="0.25">
      <c r="A2108" s="1093"/>
      <c r="B2108" s="1452">
        <v>1858</v>
      </c>
      <c r="C2108" s="1097">
        <v>0.99369091945863663</v>
      </c>
      <c r="D2108" s="1097">
        <v>1.0029142911396094</v>
      </c>
      <c r="E2108" s="1097">
        <v>1.0358869753582527</v>
      </c>
      <c r="F2108" s="1097">
        <v>0.97890090369492588</v>
      </c>
      <c r="G2108" s="1097">
        <v>1.0153072865571215</v>
      </c>
      <c r="H2108" s="1097">
        <v>1.0084645645954957</v>
      </c>
      <c r="I2108" s="1097">
        <v>0.99392835311148897</v>
      </c>
      <c r="K2108">
        <v>5.0845351150867328</v>
      </c>
      <c r="L2108">
        <v>0</v>
      </c>
      <c r="M2108">
        <v>3.3265894341812808E-3</v>
      </c>
      <c r="N2108">
        <v>0.32092005888600011</v>
      </c>
      <c r="O2108">
        <v>0.14502919855459534</v>
      </c>
      <c r="P2108">
        <v>2.042174284305727E-2</v>
      </c>
      <c r="Q2108">
        <v>1.3507937379018242E-3</v>
      </c>
      <c r="R2108">
        <v>3.3209980313130979E-3</v>
      </c>
      <c r="S2108">
        <v>0.45564895992445764</v>
      </c>
      <c r="T2108">
        <v>3.9066596501301922</v>
      </c>
      <c r="U2108">
        <v>0</v>
      </c>
      <c r="V2108">
        <v>1.1304767209823827E-2</v>
      </c>
      <c r="W2108">
        <v>0.18663235214833959</v>
      </c>
      <c r="X2108">
        <v>2.7187789072530045E-2</v>
      </c>
      <c r="Y2108">
        <v>9.3853939826962045E-3</v>
      </c>
    </row>
    <row r="2109" spans="1:25" x14ac:dyDescent="0.25">
      <c r="A2109" s="1093"/>
      <c r="B2109" s="1452">
        <v>1859</v>
      </c>
      <c r="C2109" s="1097">
        <v>1.0036107314099789</v>
      </c>
      <c r="D2109" s="1097">
        <v>0.96857223816819704</v>
      </c>
      <c r="E2109" s="1097">
        <v>1.0072045440703226</v>
      </c>
      <c r="F2109" s="1097">
        <v>0.98057907802058231</v>
      </c>
      <c r="G2109" s="1097">
        <v>0.98342594557846819</v>
      </c>
      <c r="H2109" s="1097">
        <v>0.98322823747739629</v>
      </c>
      <c r="I2109" s="1097">
        <v>1.0226076222803007</v>
      </c>
      <c r="K2109">
        <v>5.0842766690577372</v>
      </c>
      <c r="L2109">
        <v>0</v>
      </c>
      <c r="M2109">
        <v>3.465717350298902E-3</v>
      </c>
      <c r="N2109">
        <v>0.30713096370149634</v>
      </c>
      <c r="O2109">
        <v>0.14665090009541426</v>
      </c>
      <c r="P2109">
        <v>2.007939162996605E-2</v>
      </c>
      <c r="Q2109">
        <v>1.3237224394592754E-3</v>
      </c>
      <c r="R2109">
        <v>3.4597527906221658E-3</v>
      </c>
      <c r="S2109">
        <v>0.46330759093940427</v>
      </c>
      <c r="T2109">
        <v>3.9168523176328658</v>
      </c>
      <c r="U2109">
        <v>0</v>
      </c>
      <c r="V2109">
        <v>1.1304767209823813E-2</v>
      </c>
      <c r="W2109">
        <v>0.18205855845616725</v>
      </c>
      <c r="X2109">
        <v>2.5796895986888297E-2</v>
      </c>
      <c r="Y2109">
        <v>9.7775255259283655E-3</v>
      </c>
    </row>
    <row r="2110" spans="1:25" x14ac:dyDescent="0.25">
      <c r="A2110" s="1093"/>
      <c r="B2110" s="1452">
        <v>1860</v>
      </c>
      <c r="C2110" s="1097">
        <v>1.0366086753067434</v>
      </c>
      <c r="D2110" s="1097">
        <v>0.96402512058471623</v>
      </c>
      <c r="E2110" s="1097">
        <v>0.98492529239707383</v>
      </c>
      <c r="F2110" s="1097">
        <v>0.98534470813150721</v>
      </c>
      <c r="G2110" s="1097">
        <v>1.0269858555818152</v>
      </c>
      <c r="H2110" s="1097">
        <v>1.0073825180948575</v>
      </c>
      <c r="I2110" s="1097">
        <v>0.98355082654329928</v>
      </c>
      <c r="K2110">
        <v>5.0684547796571584</v>
      </c>
      <c r="L2110">
        <v>0</v>
      </c>
      <c r="M2110">
        <v>3.6271632425789418E-3</v>
      </c>
      <c r="N2110">
        <v>0.30091356868974178</v>
      </c>
      <c r="O2110">
        <v>0.14353958137596359</v>
      </c>
      <c r="P2110">
        <v>1.9731045014660827E-2</v>
      </c>
      <c r="Q2110">
        <v>1.2596547856397061E-3</v>
      </c>
      <c r="R2110">
        <v>3.6210999256331955E-3</v>
      </c>
      <c r="S2110">
        <v>0.43787364193963857</v>
      </c>
      <c r="T2110">
        <v>3.9386496056746583</v>
      </c>
      <c r="U2110">
        <v>0</v>
      </c>
      <c r="V2110">
        <v>1.1304767209823824E-2</v>
      </c>
      <c r="W2110">
        <v>0.18108665271919516</v>
      </c>
      <c r="X2110">
        <v>2.38688207170339E-2</v>
      </c>
      <c r="Y2110">
        <v>1.0233504847740564E-2</v>
      </c>
    </row>
    <row r="2111" spans="1:25" x14ac:dyDescent="0.25">
      <c r="A2111" s="1093"/>
      <c r="B2111" s="1452">
        <v>1861</v>
      </c>
      <c r="C2111" s="1097">
        <v>0.96056464065157821</v>
      </c>
      <c r="D2111" s="1097">
        <v>0.97189583288417547</v>
      </c>
      <c r="E2111" s="1097">
        <v>1.0093125417069169</v>
      </c>
      <c r="F2111" s="1097">
        <v>0.98777353711242777</v>
      </c>
      <c r="G2111" s="1097">
        <v>0.98306756458399547</v>
      </c>
      <c r="H2111" s="1097">
        <v>1.0337159674390768</v>
      </c>
      <c r="I2111" s="1097">
        <v>0.99922870791111262</v>
      </c>
      <c r="K2111">
        <v>5.1964553534016078</v>
      </c>
      <c r="L2111">
        <v>0</v>
      </c>
      <c r="M2111">
        <v>3.812612258649073E-3</v>
      </c>
      <c r="N2111">
        <v>0.34002101222303044</v>
      </c>
      <c r="O2111">
        <v>0.15407461840843253</v>
      </c>
      <c r="P2111">
        <v>2.0342317992872977E-2</v>
      </c>
      <c r="Q2111">
        <v>1.3836334296525067E-3</v>
      </c>
      <c r="R2111">
        <v>3.806416541344013E-3</v>
      </c>
      <c r="S2111">
        <v>0.48539264792210118</v>
      </c>
      <c r="T2111">
        <v>3.9453296523948249</v>
      </c>
      <c r="U2111">
        <v>0</v>
      </c>
      <c r="V2111">
        <v>1.1304767209823822E-2</v>
      </c>
      <c r="W2111">
        <v>0.20126949167200667</v>
      </c>
      <c r="X2111">
        <v>2.6586184114170661E-2</v>
      </c>
      <c r="Y2111">
        <v>1.0757223751993642E-2</v>
      </c>
    </row>
    <row r="2112" spans="1:25" x14ac:dyDescent="0.25">
      <c r="A2112" s="1093"/>
      <c r="B2112" s="1452">
        <v>1862</v>
      </c>
      <c r="C2112" s="1097">
        <v>1.0133032650203195</v>
      </c>
      <c r="D2112" s="1097">
        <v>0.96475036591942864</v>
      </c>
      <c r="E2112" s="1097">
        <v>0.98425251897888066</v>
      </c>
      <c r="F2112" s="1097">
        <v>0.99425187945879667</v>
      </c>
      <c r="G2112" s="1097">
        <v>1.0379319474079172</v>
      </c>
      <c r="H2112" s="1097">
        <v>1.0126382287002675</v>
      </c>
      <c r="I2112" s="1097">
        <v>0.98294237292027942</v>
      </c>
      <c r="K2112">
        <v>5.1417665632254757</v>
      </c>
      <c r="L2112">
        <v>0</v>
      </c>
      <c r="M2112">
        <v>3.7677951265336954E-3</v>
      </c>
      <c r="N2112">
        <v>0.31196471861497715</v>
      </c>
      <c r="O2112">
        <v>0.14814237150775869</v>
      </c>
      <c r="P2112">
        <v>1.9944617954653774E-2</v>
      </c>
      <c r="Q2112">
        <v>1.2874886738172273E-3</v>
      </c>
      <c r="R2112">
        <v>3.7615854516882242E-3</v>
      </c>
      <c r="S2112">
        <v>0.45193325375381321</v>
      </c>
      <c r="T2112">
        <v>3.9743382101798783</v>
      </c>
      <c r="U2112">
        <v>0</v>
      </c>
      <c r="V2112">
        <v>1.1304767209823818E-2</v>
      </c>
      <c r="W2112">
        <v>0.18782340456571409</v>
      </c>
      <c r="X2112">
        <v>2.4403412769948889E-2</v>
      </c>
      <c r="Y2112">
        <v>1.0630527669934605E-2</v>
      </c>
    </row>
    <row r="2113" spans="1:25" x14ac:dyDescent="0.25">
      <c r="A2113" s="1093"/>
      <c r="B2113" s="1452">
        <v>1863</v>
      </c>
      <c r="C2113" s="1097">
        <v>1.0147514852388786</v>
      </c>
      <c r="D2113" s="1097">
        <v>0.9855770606334755</v>
      </c>
      <c r="E2113" s="1097">
        <v>0.95906399516887575</v>
      </c>
      <c r="F2113" s="1097">
        <v>0.99548807604073453</v>
      </c>
      <c r="G2113" s="1097">
        <v>1.023518073762494</v>
      </c>
      <c r="H2113" s="1097">
        <v>1.0041813964472006</v>
      </c>
      <c r="I2113" s="1097">
        <v>1.0256720606344167</v>
      </c>
      <c r="K2113">
        <v>5.1477158611768976</v>
      </c>
      <c r="L2113">
        <v>0</v>
      </c>
      <c r="M2113">
        <v>3.904699531888804E-3</v>
      </c>
      <c r="N2113">
        <v>0.29999908250464796</v>
      </c>
      <c r="O2113">
        <v>0.14754614633897142</v>
      </c>
      <c r="P2113">
        <v>1.9669656195611254E-2</v>
      </c>
      <c r="Q2113">
        <v>1.2469998756941189E-3</v>
      </c>
      <c r="R2113">
        <v>3.8982180754590827E-3</v>
      </c>
      <c r="S2113">
        <v>0.4677691669182592</v>
      </c>
      <c r="T2113">
        <v>3.9824696554986043</v>
      </c>
      <c r="U2113">
        <v>0</v>
      </c>
      <c r="V2113">
        <v>1.1304767209823817E-2</v>
      </c>
      <c r="W2113">
        <v>0.18378154434187319</v>
      </c>
      <c r="X2113">
        <v>2.2918661853722572E-2</v>
      </c>
      <c r="Y2113">
        <v>1.1016661896118406E-2</v>
      </c>
    </row>
    <row r="2114" spans="1:25" x14ac:dyDescent="0.25">
      <c r="A2114" s="1093"/>
      <c r="B2114" s="1452">
        <v>1864</v>
      </c>
      <c r="C2114" s="1097">
        <v>1.0073527307811565</v>
      </c>
      <c r="D2114" s="1097">
        <v>0.97855695526504327</v>
      </c>
      <c r="E2114" s="1097">
        <v>0.97274900818539389</v>
      </c>
      <c r="F2114" s="1097">
        <v>1.0187543115668816</v>
      </c>
      <c r="G2114" s="1097">
        <v>1.0186951504152117</v>
      </c>
      <c r="H2114" s="1097">
        <v>1.0207094563855585</v>
      </c>
      <c r="I2114" s="1097">
        <v>1.0184527224924504</v>
      </c>
      <c r="K2114">
        <v>5.28796351672068</v>
      </c>
      <c r="L2114">
        <v>0</v>
      </c>
      <c r="M2114">
        <v>3.9871783297246713E-3</v>
      </c>
      <c r="N2114">
        <v>0.31906582985798709</v>
      </c>
      <c r="O2114">
        <v>0.15215091805646017</v>
      </c>
      <c r="P2114">
        <v>2.0343142525590316E-2</v>
      </c>
      <c r="Q2114">
        <v>1.2749467878318294E-3</v>
      </c>
      <c r="R2114">
        <v>3.9808155950399752E-3</v>
      </c>
      <c r="S2114">
        <v>0.4809241658901458</v>
      </c>
      <c r="T2114">
        <v>4.0737683680864736</v>
      </c>
      <c r="U2114">
        <v>0</v>
      </c>
      <c r="V2114">
        <v>1.1304767209823817E-2</v>
      </c>
      <c r="W2114">
        <v>0.19362030299786914</v>
      </c>
      <c r="X2114">
        <v>2.426734925070477E-2</v>
      </c>
      <c r="Y2114">
        <v>1.1250088792476316E-2</v>
      </c>
    </row>
    <row r="2115" spans="1:25" x14ac:dyDescent="0.25">
      <c r="A2115" s="1093"/>
      <c r="B2115" s="1452">
        <v>1865</v>
      </c>
      <c r="C2115" s="1097">
        <v>0.99633164944820629</v>
      </c>
      <c r="D2115" s="1097">
        <v>0.97785936412495633</v>
      </c>
      <c r="E2115" s="1097">
        <v>1.001188262621409</v>
      </c>
      <c r="F2115" s="1097">
        <v>1.0022117250272098</v>
      </c>
      <c r="G2115" s="1097">
        <v>1.0263503108180601</v>
      </c>
      <c r="H2115" s="1097">
        <v>1.0252448666149547</v>
      </c>
      <c r="I2115" s="1097">
        <v>1.028998550466012</v>
      </c>
      <c r="K2115">
        <v>5.2308879704036118</v>
      </c>
      <c r="L2115">
        <v>0</v>
      </c>
      <c r="M2115">
        <v>3.7535052930472317E-3</v>
      </c>
      <c r="N2115">
        <v>0.32679417963139296</v>
      </c>
      <c r="O2115">
        <v>0.15057599427876128</v>
      </c>
      <c r="P2115">
        <v>2.0487837578361864E-2</v>
      </c>
      <c r="Q2115">
        <v>1.3215001976539847E-3</v>
      </c>
      <c r="R2115">
        <v>3.7474436825585935E-3</v>
      </c>
      <c r="S2115">
        <v>0.48553631640879658</v>
      </c>
      <c r="T2115">
        <v>4.0040179012651702</v>
      </c>
      <c r="U2115">
        <v>0</v>
      </c>
      <c r="V2115">
        <v>1.1304767209823803E-2</v>
      </c>
      <c r="W2115">
        <v>0.19450140510529035</v>
      </c>
      <c r="X2115">
        <v>2.5763568388151189E-2</v>
      </c>
      <c r="Y2115">
        <v>1.0590561950701271E-2</v>
      </c>
    </row>
    <row r="2116" spans="1:25" x14ac:dyDescent="0.25">
      <c r="A2116" s="1093"/>
      <c r="B2116" s="1452">
        <v>1866</v>
      </c>
      <c r="C2116" s="1097">
        <v>1.0070717110051894</v>
      </c>
      <c r="D2116" s="1097">
        <v>1.0050336430869651</v>
      </c>
      <c r="E2116" s="1097">
        <v>1.0344919858918855</v>
      </c>
      <c r="F2116" s="1097">
        <v>0.98476773628328085</v>
      </c>
      <c r="G2116" s="1097">
        <v>1.0384066281096507</v>
      </c>
      <c r="H2116" s="1097">
        <v>0.964122437517688</v>
      </c>
      <c r="I2116" s="1097">
        <v>0.95240105492143023</v>
      </c>
      <c r="K2116">
        <v>5.0491060773194087</v>
      </c>
      <c r="L2116">
        <v>0</v>
      </c>
      <c r="M2116">
        <v>3.1635033540905991E-3</v>
      </c>
      <c r="N2116">
        <v>0.30391103784147278</v>
      </c>
      <c r="O2116">
        <v>0.14387627017488999</v>
      </c>
      <c r="P2116">
        <v>2.0368467942982464E-2</v>
      </c>
      <c r="Q2116">
        <v>1.330164909989752E-3</v>
      </c>
      <c r="R2116">
        <v>3.1579745953811428E-3</v>
      </c>
      <c r="S2116">
        <v>0.4250654148966348</v>
      </c>
      <c r="T2116">
        <v>3.9302429839939643</v>
      </c>
      <c r="U2116">
        <v>0</v>
      </c>
      <c r="V2116">
        <v>1.1304767209823817E-2</v>
      </c>
      <c r="W2116">
        <v>0.17690348575319953</v>
      </c>
      <c r="X2116">
        <v>2.7184336048657838E-2</v>
      </c>
      <c r="Y2116">
        <v>8.9246773065019477E-3</v>
      </c>
    </row>
    <row r="2117" spans="1:25" x14ac:dyDescent="0.25">
      <c r="A2117" s="1093"/>
      <c r="B2117" s="1452">
        <v>1867</v>
      </c>
      <c r="C2117" s="1097">
        <v>1.0229776454804216</v>
      </c>
      <c r="D2117" s="1097">
        <v>1.0158201556472877</v>
      </c>
      <c r="E2117" s="1097">
        <v>1.0012861186372324</v>
      </c>
      <c r="F2117" s="1097">
        <v>1.0093070484256079</v>
      </c>
      <c r="G2117" s="1097">
        <v>0.97091523372943156</v>
      </c>
      <c r="H2117" s="1097">
        <v>1.020631978738918</v>
      </c>
      <c r="I2117" s="1097">
        <v>1.0091701886777587</v>
      </c>
      <c r="K2117">
        <v>5.209750463388743</v>
      </c>
      <c r="L2117">
        <v>0</v>
      </c>
      <c r="M2117">
        <v>3.6088553014862711E-3</v>
      </c>
      <c r="N2117">
        <v>0.31429280321375797</v>
      </c>
      <c r="O2117">
        <v>0.14545652394776984</v>
      </c>
      <c r="P2117">
        <v>2.0511889335764276E-2</v>
      </c>
      <c r="Q2117">
        <v>1.2677255355818195E-3</v>
      </c>
      <c r="R2117">
        <v>3.6030420364688092E-3</v>
      </c>
      <c r="S2117">
        <v>0.46216496277964608</v>
      </c>
      <c r="T2117">
        <v>4.0323526139179373</v>
      </c>
      <c r="U2117">
        <v>0</v>
      </c>
      <c r="V2117">
        <v>1.1304767209823803E-2</v>
      </c>
      <c r="W2117">
        <v>0.18704847304853664</v>
      </c>
      <c r="X2117">
        <v>2.5174045790639272E-2</v>
      </c>
      <c r="Y2117">
        <v>1.0182471874307387E-2</v>
      </c>
    </row>
    <row r="2118" spans="1:25" x14ac:dyDescent="0.25">
      <c r="A2118" s="1093"/>
      <c r="B2118" s="1452">
        <v>1868</v>
      </c>
      <c r="C2118" s="1097">
        <v>1.0055397814758622</v>
      </c>
      <c r="D2118" s="1097">
        <v>0.96588306900512744</v>
      </c>
      <c r="E2118" s="1097">
        <v>0.98225313682039983</v>
      </c>
      <c r="F2118" s="1097">
        <v>1.01235198063265</v>
      </c>
      <c r="G2118" s="1097">
        <v>1.0159104664818288</v>
      </c>
      <c r="H2118" s="1097">
        <v>1.0350682612175932</v>
      </c>
      <c r="I2118" s="1097">
        <v>1.0072885357759402</v>
      </c>
      <c r="K2118">
        <v>5.2690739878918933</v>
      </c>
      <c r="L2118">
        <v>0</v>
      </c>
      <c r="M2118">
        <v>3.9662883847061334E-3</v>
      </c>
      <c r="N2118">
        <v>0.32647846995296043</v>
      </c>
      <c r="O2118">
        <v>0.15198931392433687</v>
      </c>
      <c r="P2118">
        <v>2.0357319691846246E-2</v>
      </c>
      <c r="Q2118">
        <v>1.2945761373260108E-3</v>
      </c>
      <c r="R2118">
        <v>3.9600073811716114E-3</v>
      </c>
      <c r="S2118">
        <v>0.47800397785436799</v>
      </c>
      <c r="T2118">
        <v>4.0469461463351619</v>
      </c>
      <c r="U2118">
        <v>0</v>
      </c>
      <c r="V2118">
        <v>1.1304767209823817E-2</v>
      </c>
      <c r="W2118">
        <v>0.19683048875019885</v>
      </c>
      <c r="X2118">
        <v>2.4683925847952169E-2</v>
      </c>
      <c r="Y2118">
        <v>1.1191283191452345E-2</v>
      </c>
    </row>
    <row r="2119" spans="1:25" x14ac:dyDescent="0.25">
      <c r="A2119" s="1093"/>
      <c r="B2119" s="1452">
        <v>1869</v>
      </c>
      <c r="C2119" s="1097">
        <v>0.98937206843908543</v>
      </c>
      <c r="D2119" s="1097">
        <v>0.99632117334069115</v>
      </c>
      <c r="E2119" s="1097">
        <v>1.0060017836834123</v>
      </c>
      <c r="F2119" s="1097">
        <v>1.0140652989119872</v>
      </c>
      <c r="G2119" s="1097">
        <v>0.99708934607410282</v>
      </c>
      <c r="H2119" s="1097">
        <v>1.0151988727806542</v>
      </c>
      <c r="I2119" s="1097">
        <v>1.0103307495836873</v>
      </c>
      <c r="K2119">
        <v>5.2778416216399542</v>
      </c>
      <c r="L2119">
        <v>0</v>
      </c>
      <c r="M2119">
        <v>3.7209070963999703E-3</v>
      </c>
      <c r="N2119">
        <v>0.32860927496615566</v>
      </c>
      <c r="O2119">
        <v>0.15214751370977136</v>
      </c>
      <c r="P2119">
        <v>2.0754458539270489E-2</v>
      </c>
      <c r="Q2119">
        <v>1.3263246730288842E-3</v>
      </c>
      <c r="R2119">
        <v>3.7149094858824924E-3</v>
      </c>
      <c r="S2119">
        <v>0.48108501928505021</v>
      </c>
      <c r="T2119">
        <v>4.0507632668989437</v>
      </c>
      <c r="U2119">
        <v>0</v>
      </c>
      <c r="V2119">
        <v>1.1304767209823801E-2</v>
      </c>
      <c r="W2119">
        <v>0.19494799901253143</v>
      </c>
      <c r="X2119">
        <v>2.6410377128874906E-2</v>
      </c>
      <c r="Y2119">
        <v>1.0498617827026192E-2</v>
      </c>
    </row>
    <row r="2120" spans="1:25" x14ac:dyDescent="0.25">
      <c r="A2120" s="1093"/>
      <c r="B2120" s="1452">
        <v>1870</v>
      </c>
      <c r="C2120" s="1097">
        <v>1.0002555008296654</v>
      </c>
      <c r="D2120" s="1097">
        <v>1.0199492555142309</v>
      </c>
      <c r="E2120" s="1097">
        <v>1.0428817313781202</v>
      </c>
      <c r="F2120" s="1097">
        <v>0.97175511492556432</v>
      </c>
      <c r="G2120" s="1097">
        <v>0.9848600124064032</v>
      </c>
      <c r="H2120" s="1097">
        <v>0.9542431323900491</v>
      </c>
      <c r="I2120" s="1097">
        <v>1.0019434696402734</v>
      </c>
      <c r="K2120">
        <v>5.0026970958720032</v>
      </c>
      <c r="L2120">
        <v>0</v>
      </c>
      <c r="M2120">
        <v>3.0380872241517116E-3</v>
      </c>
      <c r="N2120">
        <v>0.29917502357749892</v>
      </c>
      <c r="O2120">
        <v>0.14187759313277354</v>
      </c>
      <c r="P2120">
        <v>2.032398013673439E-2</v>
      </c>
      <c r="Q2120">
        <v>1.3407345866151914E-3</v>
      </c>
      <c r="R2120">
        <v>3.0326509681521119E-3</v>
      </c>
      <c r="S2120">
        <v>0.44220198063980853</v>
      </c>
      <c r="T2120">
        <v>3.8773042792507355</v>
      </c>
      <c r="U2120">
        <v>0</v>
      </c>
      <c r="V2120">
        <v>1.1304767209823827E-2</v>
      </c>
      <c r="W2120">
        <v>0.17318732824863267</v>
      </c>
      <c r="X2120">
        <v>2.74163421774315E-2</v>
      </c>
      <c r="Y2120">
        <v>8.5705031679463948E-3</v>
      </c>
    </row>
    <row r="2121" spans="1:25" x14ac:dyDescent="0.25">
      <c r="A2121" s="1093"/>
      <c r="B2121" s="1452">
        <v>1871</v>
      </c>
      <c r="C2121" s="1097">
        <v>1.0385347334540347</v>
      </c>
      <c r="D2121" s="1097">
        <v>1.0196994813892803</v>
      </c>
      <c r="E2121" s="1097">
        <v>1.0215461616831989</v>
      </c>
      <c r="F2121" s="1097">
        <v>1.0445143271021424</v>
      </c>
      <c r="G2121" s="1097">
        <v>0.9715413081659493</v>
      </c>
      <c r="H2121" s="1097">
        <v>1.014253144532445</v>
      </c>
      <c r="I2121" s="1097">
        <v>1.0123171750715978</v>
      </c>
      <c r="K2121">
        <v>5.3705828126172994</v>
      </c>
      <c r="L2121">
        <v>0</v>
      </c>
      <c r="M2121">
        <v>3.497313002278441E-3</v>
      </c>
      <c r="N2121">
        <v>0.32342036380941058</v>
      </c>
      <c r="O2121">
        <v>0.14748674296853143</v>
      </c>
      <c r="P2121">
        <v>2.1488012399953727E-2</v>
      </c>
      <c r="Q2121">
        <v>1.268512123852678E-3</v>
      </c>
      <c r="R2121">
        <v>3.4918347637653757E-3</v>
      </c>
      <c r="S2121">
        <v>0.46852027186549938</v>
      </c>
      <c r="T2121">
        <v>4.1703690152545869</v>
      </c>
      <c r="U2121">
        <v>0</v>
      </c>
      <c r="V2121">
        <v>1.1304767209823822E-2</v>
      </c>
      <c r="W2121">
        <v>0.18988294174670917</v>
      </c>
      <c r="X2121">
        <v>2.6979471846066222E-2</v>
      </c>
      <c r="Y2121">
        <v>9.8681916313738578E-3</v>
      </c>
    </row>
    <row r="2122" spans="1:25" x14ac:dyDescent="0.25">
      <c r="A2122" s="1093"/>
      <c r="B2122" s="1452">
        <v>1872</v>
      </c>
      <c r="C2122" s="1097">
        <v>1.0225569433461645</v>
      </c>
      <c r="D2122" s="1097">
        <v>0.99158453034250915</v>
      </c>
      <c r="E2122" s="1097">
        <v>1.0062437657787329</v>
      </c>
      <c r="F2122" s="1097">
        <v>0.9660907058345467</v>
      </c>
      <c r="G2122" s="1097">
        <v>1.0156014445396595</v>
      </c>
      <c r="H2122" s="1097">
        <v>0.99675442671845271</v>
      </c>
      <c r="I2122" s="1097">
        <v>1.0075353428131042</v>
      </c>
      <c r="K2122">
        <v>4.9837979453903163</v>
      </c>
      <c r="L2122">
        <v>0</v>
      </c>
      <c r="M2122">
        <v>3.3724972980282921E-3</v>
      </c>
      <c r="N2122">
        <v>0.29802003610568661</v>
      </c>
      <c r="O2122">
        <v>0.14050671976834633</v>
      </c>
      <c r="P2122">
        <v>1.9707741210304514E-2</v>
      </c>
      <c r="Q2122">
        <v>1.2859958158285166E-3</v>
      </c>
      <c r="R2122">
        <v>3.3666862197553166E-3</v>
      </c>
      <c r="S2122">
        <v>0.44285641538985265</v>
      </c>
      <c r="T2122">
        <v>3.8590957303236246</v>
      </c>
      <c r="U2122">
        <v>0</v>
      </c>
      <c r="V2122">
        <v>1.1304767209823808E-2</v>
      </c>
      <c r="W2122">
        <v>0.17677208861637711</v>
      </c>
      <c r="X2122">
        <v>2.4739749737384908E-2</v>
      </c>
      <c r="Y2122">
        <v>9.5145122913620882E-3</v>
      </c>
    </row>
    <row r="2123" spans="1:25" x14ac:dyDescent="0.25">
      <c r="A2123" s="1093"/>
      <c r="B2123" s="1452">
        <v>1873</v>
      </c>
      <c r="C2123" s="1097">
        <v>0.97611771812105941</v>
      </c>
      <c r="D2123" s="1097">
        <v>1.0203247082113065</v>
      </c>
      <c r="E2123" s="1097">
        <v>0.99669428453062181</v>
      </c>
      <c r="F2123" s="1097">
        <v>1.0006867909040698</v>
      </c>
      <c r="G2123" s="1097">
        <v>0.96831217378835355</v>
      </c>
      <c r="H2123" s="1097">
        <v>1.0057116942565762</v>
      </c>
      <c r="I2123" s="1097">
        <v>0.99777906225395452</v>
      </c>
      <c r="K2123">
        <v>5.2017609878123334</v>
      </c>
      <c r="L2123">
        <v>0</v>
      </c>
      <c r="M2123">
        <v>3.7243383998305638E-3</v>
      </c>
      <c r="N2123">
        <v>0.31995461874228004</v>
      </c>
      <c r="O2123">
        <v>0.15100014803100967</v>
      </c>
      <c r="P2123">
        <v>2.0333613526487725E-2</v>
      </c>
      <c r="Q2123">
        <v>1.3210229321285473E-3</v>
      </c>
      <c r="R2123">
        <v>3.7181977483705603E-3</v>
      </c>
      <c r="S2123">
        <v>0.472193466884614</v>
      </c>
      <c r="T2123">
        <v>3.9984904134748467</v>
      </c>
      <c r="U2123">
        <v>0</v>
      </c>
      <c r="V2123">
        <v>1.1304767209823811E-2</v>
      </c>
      <c r="W2123">
        <v>0.19101033805882867</v>
      </c>
      <c r="X2123">
        <v>2.5650828895906818E-2</v>
      </c>
      <c r="Y2123">
        <v>1.0507910707864439E-2</v>
      </c>
    </row>
    <row r="2124" spans="1:25" x14ac:dyDescent="0.25">
      <c r="A2124" s="1093"/>
      <c r="B2124" s="1452">
        <v>1874</v>
      </c>
      <c r="C2124" s="1097">
        <v>1.0151042193920878</v>
      </c>
      <c r="D2124" s="1097">
        <v>0.97796391037911434</v>
      </c>
      <c r="E2124" s="1097">
        <v>0.96110801088729314</v>
      </c>
      <c r="F2124" s="1097">
        <v>1.0158930230514207</v>
      </c>
      <c r="G2124" s="1097">
        <v>1.0150237217360856</v>
      </c>
      <c r="H2124" s="1097">
        <v>0.99312160594740473</v>
      </c>
      <c r="I2124" s="1097">
        <v>0.98273581995335235</v>
      </c>
      <c r="K2124">
        <v>5.2265961370853606</v>
      </c>
      <c r="L2124">
        <v>0</v>
      </c>
      <c r="M2124">
        <v>3.9347199157408743E-3</v>
      </c>
      <c r="N2124">
        <v>0.3041520621086985</v>
      </c>
      <c r="O2124">
        <v>0.15092837185596081</v>
      </c>
      <c r="P2124">
        <v>2.0000782949915273E-2</v>
      </c>
      <c r="Q2124">
        <v>1.2526882832008584E-3</v>
      </c>
      <c r="R2124">
        <v>3.9282483230596568E-3</v>
      </c>
      <c r="S2124">
        <v>0.45435509912226885</v>
      </c>
      <c r="T2124">
        <v>4.0638344765207917</v>
      </c>
      <c r="U2124">
        <v>0</v>
      </c>
      <c r="V2124">
        <v>1.1304767209823817E-2</v>
      </c>
      <c r="W2124">
        <v>0.18606136602325724</v>
      </c>
      <c r="X2124">
        <v>2.3611464935583453E-2</v>
      </c>
      <c r="Y2124">
        <v>1.1101529668538576E-2</v>
      </c>
    </row>
    <row r="2125" spans="1:25" x14ac:dyDescent="0.25">
      <c r="A2125" s="1093"/>
      <c r="B2125" s="1452">
        <v>1875</v>
      </c>
      <c r="C2125" s="1097">
        <v>0.99987615636626859</v>
      </c>
      <c r="D2125" s="1097">
        <v>0.99423935572454347</v>
      </c>
      <c r="E2125" s="1097">
        <v>0.99941386879752847</v>
      </c>
      <c r="F2125" s="1097">
        <v>0.99014391366727494</v>
      </c>
      <c r="G2125" s="1097">
        <v>0.96235598242576503</v>
      </c>
      <c r="H2125" s="1097">
        <v>0.99269196474550103</v>
      </c>
      <c r="I2125" s="1097">
        <v>0.96975368072438239</v>
      </c>
      <c r="K2125">
        <v>5.1084421466934318</v>
      </c>
      <c r="L2125">
        <v>0</v>
      </c>
      <c r="M2125">
        <v>3.5675195582138136E-3</v>
      </c>
      <c r="N2125">
        <v>0.30895024321890202</v>
      </c>
      <c r="O2125">
        <v>0.14730281097950515</v>
      </c>
      <c r="P2125">
        <v>2.0053632924415758E-2</v>
      </c>
      <c r="Q2125">
        <v>1.3061071787059788E-3</v>
      </c>
      <c r="R2125">
        <v>3.5614969744904852E-3</v>
      </c>
      <c r="S2125">
        <v>0.4439819183747446</v>
      </c>
      <c r="T2125">
        <v>3.9560253561569518</v>
      </c>
      <c r="U2125">
        <v>0</v>
      </c>
      <c r="V2125">
        <v>1.1304767209823825E-2</v>
      </c>
      <c r="W2125">
        <v>0.18410165825431005</v>
      </c>
      <c r="X2125">
        <v>2.5356612622452437E-2</v>
      </c>
      <c r="Y2125">
        <v>1.0065062357341212E-2</v>
      </c>
    </row>
    <row r="2126" spans="1:25" x14ac:dyDescent="0.25">
      <c r="A2126" s="1093"/>
      <c r="B2126" s="1452">
        <v>1876</v>
      </c>
      <c r="C2126" s="1097">
        <v>1.0350139496303321</v>
      </c>
      <c r="D2126" s="1097">
        <v>0.97571073170507949</v>
      </c>
      <c r="E2126" s="1097">
        <v>1.0204983412921211</v>
      </c>
      <c r="F2126" s="1097">
        <v>1.0328339742269217</v>
      </c>
      <c r="G2126" s="1097">
        <v>0.97158603894733064</v>
      </c>
      <c r="H2126" s="1097">
        <v>0.99986623434990918</v>
      </c>
      <c r="I2126" s="1097">
        <v>0.99653356833038864</v>
      </c>
      <c r="K2126">
        <v>5.3139374189783339</v>
      </c>
      <c r="L2126">
        <v>0</v>
      </c>
      <c r="M2126">
        <v>3.4893990160595714E-3</v>
      </c>
      <c r="N2126">
        <v>0.32167673185035223</v>
      </c>
      <c r="O2126">
        <v>0.14896700571952493</v>
      </c>
      <c r="P2126">
        <v>2.1215913697537947E-2</v>
      </c>
      <c r="Q2126">
        <v>1.2943301282208129E-3</v>
      </c>
      <c r="R2126">
        <v>3.4837919249616337E-3</v>
      </c>
      <c r="S2126">
        <v>0.45965939442842957</v>
      </c>
      <c r="T2126">
        <v>4.1238681071190308</v>
      </c>
      <c r="U2126">
        <v>0</v>
      </c>
      <c r="V2126">
        <v>1.1304767209823808E-2</v>
      </c>
      <c r="W2126">
        <v>0.18899114596586916</v>
      </c>
      <c r="X2126">
        <v>2.7120167995771962E-2</v>
      </c>
      <c r="Y2126">
        <v>9.84546195487279E-3</v>
      </c>
    </row>
    <row r="2127" spans="1:25" x14ac:dyDescent="0.25">
      <c r="A2127" s="1093"/>
      <c r="B2127" s="1452">
        <v>1877</v>
      </c>
      <c r="C2127" s="1097">
        <v>0.96419126791453591</v>
      </c>
      <c r="D2127" s="1097">
        <v>0.98652948174687183</v>
      </c>
      <c r="E2127" s="1097">
        <v>1.0315048669272329</v>
      </c>
      <c r="F2127" s="1097">
        <v>0.97475795475087856</v>
      </c>
      <c r="G2127" s="1097">
        <v>0.99777772859080771</v>
      </c>
      <c r="H2127" s="1097">
        <v>1.0073504640819109</v>
      </c>
      <c r="I2127" s="1097">
        <v>0.98718046948135141</v>
      </c>
      <c r="K2127">
        <v>5.0994189574250246</v>
      </c>
      <c r="L2127">
        <v>0</v>
      </c>
      <c r="M2127">
        <v>3.4646411674250019E-3</v>
      </c>
      <c r="N2127">
        <v>0.32993406312681817</v>
      </c>
      <c r="O2127">
        <v>0.14994172111375623</v>
      </c>
      <c r="P2127">
        <v>2.0331140164219302E-2</v>
      </c>
      <c r="Q2127">
        <v>1.3961822414602536E-3</v>
      </c>
      <c r="R2127">
        <v>3.4587865474941626E-3</v>
      </c>
      <c r="S2127">
        <v>0.4660773336822932</v>
      </c>
      <c r="T2127">
        <v>3.8906534628869842</v>
      </c>
      <c r="U2127">
        <v>0</v>
      </c>
      <c r="V2127">
        <v>1.1304767209823825E-2</v>
      </c>
      <c r="W2127">
        <v>0.19243078123606824</v>
      </c>
      <c r="X2127">
        <v>2.758056553444975E-2</v>
      </c>
      <c r="Y2127">
        <v>9.7747948490794542E-3</v>
      </c>
    </row>
    <row r="2128" spans="1:25" x14ac:dyDescent="0.25">
      <c r="A2128" s="1093"/>
      <c r="B2128" s="1452">
        <v>1878</v>
      </c>
      <c r="C2128" s="1097">
        <v>0.98338027777706793</v>
      </c>
      <c r="D2128" s="1097">
        <v>0.99999225301861583</v>
      </c>
      <c r="E2128" s="1097">
        <v>0.99541686963639908</v>
      </c>
      <c r="F2128" s="1097">
        <v>1.03027131771948</v>
      </c>
      <c r="G2128" s="1097">
        <v>0.98056571950114491</v>
      </c>
      <c r="H2128" s="1097">
        <v>1.0219585902567401</v>
      </c>
      <c r="I2128" s="1097">
        <v>1.0315905144335611</v>
      </c>
      <c r="K2128">
        <v>5.3796826082905227</v>
      </c>
      <c r="L2128">
        <v>0</v>
      </c>
      <c r="M2128">
        <v>3.9091893495373318E-3</v>
      </c>
      <c r="N2128">
        <v>0.33459029292455217</v>
      </c>
      <c r="O2128">
        <v>0.15560093512627843</v>
      </c>
      <c r="P2128">
        <v>2.0985150446778619E-2</v>
      </c>
      <c r="Q2128">
        <v>1.3204170144052239E-3</v>
      </c>
      <c r="R2128">
        <v>3.903028232499715E-3</v>
      </c>
      <c r="S2128">
        <v>0.50184779727790252</v>
      </c>
      <c r="T2128">
        <v>4.1168682179211764</v>
      </c>
      <c r="U2128">
        <v>0</v>
      </c>
      <c r="V2128">
        <v>1.1304767209823808E-2</v>
      </c>
      <c r="W2128">
        <v>0.19992071184874732</v>
      </c>
      <c r="X2128">
        <v>2.6220223870742888E-2</v>
      </c>
      <c r="Y2128">
        <v>1.1030255767153354E-2</v>
      </c>
    </row>
    <row r="2129" spans="1:25" x14ac:dyDescent="0.25">
      <c r="A2129" s="1093"/>
      <c r="B2129" s="1452">
        <v>1879</v>
      </c>
      <c r="C2129" s="1097">
        <v>1.011676315702934</v>
      </c>
      <c r="D2129" s="1097">
        <v>1.0182479423751674</v>
      </c>
      <c r="E2129" s="1097">
        <v>0.96879272828360796</v>
      </c>
      <c r="F2129" s="1097">
        <v>0.96012315114702274</v>
      </c>
      <c r="G2129" s="1097">
        <v>0.99874665007497609</v>
      </c>
      <c r="H2129" s="1097">
        <v>1.0152218556372676</v>
      </c>
      <c r="I2129" s="1097">
        <v>1.0027455781415666</v>
      </c>
      <c r="K2129">
        <v>4.9588305104454422</v>
      </c>
      <c r="L2129">
        <v>0</v>
      </c>
      <c r="M2129">
        <v>3.6936852330073681E-3</v>
      </c>
      <c r="N2129">
        <v>0.29209642271858388</v>
      </c>
      <c r="O2129">
        <v>0.14063238468014425</v>
      </c>
      <c r="P2129">
        <v>1.9078922407270594E-2</v>
      </c>
      <c r="Q2129">
        <v>1.2451589717324013E-3</v>
      </c>
      <c r="R2129">
        <v>3.687397725180847E-3</v>
      </c>
      <c r="S2129">
        <v>0.44413370566645854</v>
      </c>
      <c r="T2129">
        <v>3.8397990408680491</v>
      </c>
      <c r="U2129">
        <v>0</v>
      </c>
      <c r="V2129">
        <v>1.1304767209823817E-2</v>
      </c>
      <c r="W2129">
        <v>0.17773848132750036</v>
      </c>
      <c r="X2129">
        <v>2.2387046612844037E-2</v>
      </c>
      <c r="Y2129">
        <v>1.0420867490859778E-2</v>
      </c>
    </row>
    <row r="2130" spans="1:25" x14ac:dyDescent="0.25">
      <c r="A2130" s="1093"/>
      <c r="B2130" s="1452">
        <v>1880</v>
      </c>
      <c r="C2130" s="1097">
        <v>0.99478314520417122</v>
      </c>
      <c r="D2130" s="1097">
        <v>0.98309047729649668</v>
      </c>
      <c r="E2130" s="1097">
        <v>1.0319569983693841</v>
      </c>
      <c r="F2130" s="1097">
        <v>0.99713188239583228</v>
      </c>
      <c r="G2130" s="1097">
        <v>0.99440268311983282</v>
      </c>
      <c r="H2130" s="1097">
        <v>0.99353246970421782</v>
      </c>
      <c r="I2130" s="1097">
        <v>1.0178676518294119</v>
      </c>
      <c r="K2130">
        <v>5.183482238393907</v>
      </c>
      <c r="L2130">
        <v>0</v>
      </c>
      <c r="M2130">
        <v>3.3894159071651362E-3</v>
      </c>
      <c r="N2130">
        <v>0.32320693250094024</v>
      </c>
      <c r="O2130">
        <v>0.1488615887596263</v>
      </c>
      <c r="P2130">
        <v>2.0782643799462423E-2</v>
      </c>
      <c r="Q2130">
        <v>1.355652717999947E-3</v>
      </c>
      <c r="R2130">
        <v>3.3837388324690662E-3</v>
      </c>
      <c r="S2130">
        <v>0.4723709521755956</v>
      </c>
      <c r="T2130">
        <v>3.9799011076725681</v>
      </c>
      <c r="U2130">
        <v>0</v>
      </c>
      <c r="V2130">
        <v>1.1304767209823829E-2</v>
      </c>
      <c r="W2130">
        <v>0.18845087455134049</v>
      </c>
      <c r="X2130">
        <v>2.769069180444297E-2</v>
      </c>
      <c r="Y2130">
        <v>9.5627042767965388E-3</v>
      </c>
    </row>
    <row r="2131" spans="1:25" x14ac:dyDescent="0.25">
      <c r="A2131" s="1093"/>
      <c r="B2131" s="1452">
        <v>1881</v>
      </c>
      <c r="C2131" s="1097">
        <v>0.97761866241987561</v>
      </c>
      <c r="D2131" s="1097">
        <v>1.0213219146238592</v>
      </c>
      <c r="E2131" s="1097">
        <v>1.0029482393320979</v>
      </c>
      <c r="F2131" s="1097">
        <v>0.96941042873623851</v>
      </c>
      <c r="G2131" s="1097">
        <v>1.0058586302670374</v>
      </c>
      <c r="H2131" s="1097">
        <v>1.0231140096776286</v>
      </c>
      <c r="I2131" s="1097">
        <v>0.95432880768879524</v>
      </c>
      <c r="K2131">
        <v>5.0327497021024454</v>
      </c>
      <c r="L2131">
        <v>0</v>
      </c>
      <c r="M2131">
        <v>3.6155615643347549E-3</v>
      </c>
      <c r="N2131">
        <v>0.31641144753626427</v>
      </c>
      <c r="O2131">
        <v>0.14582784364573295</v>
      </c>
      <c r="P2131">
        <v>1.9718262333827546E-2</v>
      </c>
      <c r="Q2131">
        <v>1.325566082915489E-3</v>
      </c>
      <c r="R2131">
        <v>3.609512923623861E-3</v>
      </c>
      <c r="S2131">
        <v>0.44207182596531774</v>
      </c>
      <c r="T2131">
        <v>3.8727567614711025</v>
      </c>
      <c r="U2131">
        <v>0</v>
      </c>
      <c r="V2131">
        <v>1.1304767209823824E-2</v>
      </c>
      <c r="W2131">
        <v>0.18809824292857899</v>
      </c>
      <c r="X2131">
        <v>2.5040274474152951E-2</v>
      </c>
      <c r="Y2131">
        <v>1.0200759095436432E-2</v>
      </c>
    </row>
    <row r="2132" spans="1:25" x14ac:dyDescent="0.25">
      <c r="A2132" s="1093"/>
      <c r="B2132" s="1452">
        <v>1882</v>
      </c>
      <c r="C2132" s="1097">
        <v>1.0017853572622448</v>
      </c>
      <c r="D2132" s="1097">
        <v>0.99845624186273785</v>
      </c>
      <c r="E2132" s="1097">
        <v>1.0031720087483367</v>
      </c>
      <c r="F2132" s="1097">
        <v>0.99963792990419753</v>
      </c>
      <c r="G2132" s="1097">
        <v>1.0242054657648474</v>
      </c>
      <c r="H2132" s="1097">
        <v>0.99090024646371999</v>
      </c>
      <c r="I2132" s="1097">
        <v>1.0197922342468462</v>
      </c>
      <c r="K2132">
        <v>5.1756053988176411</v>
      </c>
      <c r="L2132">
        <v>0</v>
      </c>
      <c r="M2132">
        <v>3.554002438022182E-3</v>
      </c>
      <c r="N2132">
        <v>0.31122971408280692</v>
      </c>
      <c r="O2132">
        <v>0.14807628226778391</v>
      </c>
      <c r="P2132">
        <v>2.0394699785114202E-2</v>
      </c>
      <c r="Q2132">
        <v>1.3056078691176933E-3</v>
      </c>
      <c r="R2132">
        <v>3.5480488156729695E-3</v>
      </c>
      <c r="S2132">
        <v>0.46900251505063434</v>
      </c>
      <c r="T2132">
        <v>3.9934864025209973</v>
      </c>
      <c r="U2132">
        <v>0</v>
      </c>
      <c r="V2132">
        <v>1.1304767209823813E-2</v>
      </c>
      <c r="W2132">
        <v>0.18498991737224246</v>
      </c>
      <c r="X2132">
        <v>2.5794389447663154E-2</v>
      </c>
      <c r="Y2132">
        <v>1.0027056833804556E-2</v>
      </c>
    </row>
    <row r="2133" spans="1:25" x14ac:dyDescent="0.25">
      <c r="A2133" s="1093"/>
      <c r="B2133" s="1452">
        <v>1883</v>
      </c>
      <c r="C2133" s="1097">
        <v>0.99657620445888551</v>
      </c>
      <c r="D2133" s="1097">
        <v>1.0077596071560113</v>
      </c>
      <c r="E2133" s="1097">
        <v>0.98800050211873014</v>
      </c>
      <c r="F2133" s="1097">
        <v>0.99256779749411717</v>
      </c>
      <c r="G2133" s="1097">
        <v>1.0096904015440431</v>
      </c>
      <c r="H2133" s="1097">
        <v>1.0054652382207292</v>
      </c>
      <c r="I2133" s="1097">
        <v>1.0375833887720161</v>
      </c>
      <c r="K2133">
        <v>5.1575190410713319</v>
      </c>
      <c r="L2133">
        <v>0</v>
      </c>
      <c r="M2133">
        <v>3.7025137816646923E-3</v>
      </c>
      <c r="N2133">
        <v>0.30998195074471624</v>
      </c>
      <c r="O2133">
        <v>0.14766948152179618</v>
      </c>
      <c r="P2133">
        <v>2.0089735029517226E-2</v>
      </c>
      <c r="Q2133">
        <v>1.2906335470907666E-3</v>
      </c>
      <c r="R2133">
        <v>3.6963577544399224E-3</v>
      </c>
      <c r="S2133">
        <v>0.47878445847525097</v>
      </c>
      <c r="T2133">
        <v>3.9671362893651119</v>
      </c>
      <c r="U2133">
        <v>0</v>
      </c>
      <c r="V2133">
        <v>1.1304767209823834E-2</v>
      </c>
      <c r="W2133">
        <v>0.18615301373217835</v>
      </c>
      <c r="X2133">
        <v>2.4668678255453245E-2</v>
      </c>
      <c r="Y2133">
        <v>1.04461892176118E-2</v>
      </c>
    </row>
    <row r="2134" spans="1:25" x14ac:dyDescent="0.25">
      <c r="A2134" s="1093"/>
      <c r="B2134" s="1452">
        <v>1884</v>
      </c>
      <c r="C2134" s="1097">
        <v>0.98414003115796611</v>
      </c>
      <c r="D2134" s="1097">
        <v>0.98526953742618162</v>
      </c>
      <c r="E2134" s="1097">
        <v>0.97552793611700128</v>
      </c>
      <c r="F2134" s="1097">
        <v>0.99583850039306754</v>
      </c>
      <c r="G2134" s="1097">
        <v>1.0035003140202554</v>
      </c>
      <c r="H2134" s="1097">
        <v>1.0245610076753686</v>
      </c>
      <c r="I2134" s="1097">
        <v>1.0375700728735178</v>
      </c>
      <c r="K2134">
        <v>5.2081037089509836</v>
      </c>
      <c r="L2134">
        <v>0</v>
      </c>
      <c r="M2134">
        <v>3.9704791436134691E-3</v>
      </c>
      <c r="N2134">
        <v>0.32035172059339706</v>
      </c>
      <c r="O2134">
        <v>0.15174206554870562</v>
      </c>
      <c r="P2134">
        <v>2.0025654005051029E-2</v>
      </c>
      <c r="Q2134">
        <v>1.3046099463769288E-3</v>
      </c>
      <c r="R2134">
        <v>3.9640218630462142E-3</v>
      </c>
      <c r="S2134">
        <v>0.49212075718585402</v>
      </c>
      <c r="T2134">
        <v>3.98178155669815</v>
      </c>
      <c r="U2134">
        <v>0</v>
      </c>
      <c r="V2134">
        <v>1.1304767209823811E-2</v>
      </c>
      <c r="W2134">
        <v>0.19402937238763979</v>
      </c>
      <c r="X2134">
        <v>2.4247034232832178E-2</v>
      </c>
      <c r="Y2134">
        <v>1.1202628423721163E-2</v>
      </c>
    </row>
    <row r="2135" spans="1:25" x14ac:dyDescent="0.25">
      <c r="A2135" s="1093"/>
      <c r="B2135" s="1452">
        <v>1885</v>
      </c>
      <c r="C2135" s="1097">
        <v>1.0108851628286888</v>
      </c>
      <c r="D2135" s="1097">
        <v>1.0074860127850318</v>
      </c>
      <c r="E2135" s="1097">
        <v>0.99675454475407665</v>
      </c>
      <c r="F2135" s="1097">
        <v>0.98566343648400656</v>
      </c>
      <c r="G2135" s="1097">
        <v>1.040111329351872</v>
      </c>
      <c r="H2135" s="1097">
        <v>1.0003558326966948</v>
      </c>
      <c r="I2135" s="1097">
        <v>1.0397251061398929</v>
      </c>
      <c r="K2135">
        <v>5.105347934845895</v>
      </c>
      <c r="L2135">
        <v>0</v>
      </c>
      <c r="M2135">
        <v>3.5409242697581004E-3</v>
      </c>
      <c r="N2135">
        <v>0.3042416282214998</v>
      </c>
      <c r="O2135">
        <v>0.14434544103261138</v>
      </c>
      <c r="P2135">
        <v>2.0048943706730379E-2</v>
      </c>
      <c r="Q2135">
        <v>1.2821326437306962E-3</v>
      </c>
      <c r="R2135">
        <v>3.5349654604553702E-3</v>
      </c>
      <c r="S2135">
        <v>0.46928234380116796</v>
      </c>
      <c r="T2135">
        <v>3.9384534337014827</v>
      </c>
      <c r="U2135">
        <v>0</v>
      </c>
      <c r="V2135">
        <v>1.1304767209823818E-2</v>
      </c>
      <c r="W2135">
        <v>0.18162239510357003</v>
      </c>
      <c r="X2135">
        <v>2.4782725961483905E-2</v>
      </c>
      <c r="Y2135">
        <v>9.9900822730927021E-3</v>
      </c>
    </row>
    <row r="2136" spans="1:25" x14ac:dyDescent="0.25">
      <c r="A2136" s="1093"/>
      <c r="B2136" s="1452">
        <v>1886</v>
      </c>
      <c r="C2136" s="1097">
        <v>1.0043982512219876</v>
      </c>
      <c r="D2136" s="1097">
        <v>0.97619949682832907</v>
      </c>
      <c r="E2136" s="1097">
        <v>1.0052719184009062</v>
      </c>
      <c r="F2136" s="1097">
        <v>1.020300965825798</v>
      </c>
      <c r="G2136" s="1097">
        <v>0.9891637197738864</v>
      </c>
      <c r="H2136" s="1097">
        <v>1.002233017571504</v>
      </c>
      <c r="I2136" s="1097">
        <v>0.99010119168462229</v>
      </c>
      <c r="K2136">
        <v>5.2805015868192671</v>
      </c>
      <c r="L2136">
        <v>0</v>
      </c>
      <c r="M2136">
        <v>3.6761274466232032E-3</v>
      </c>
      <c r="N2136">
        <v>0.32395002297167341</v>
      </c>
      <c r="O2136">
        <v>0.15204942152601622</v>
      </c>
      <c r="P2136">
        <v>2.0789484408813879E-2</v>
      </c>
      <c r="Q2136">
        <v>1.316367561751193E-3</v>
      </c>
      <c r="R2136">
        <v>3.6701619805513054E-3</v>
      </c>
      <c r="S2136">
        <v>0.46621998024230377</v>
      </c>
      <c r="T2136">
        <v>4.0757653757704846</v>
      </c>
      <c r="U2136">
        <v>0</v>
      </c>
      <c r="V2136">
        <v>1.1304767209823808E-2</v>
      </c>
      <c r="W2136">
        <v>0.19227835533906856</v>
      </c>
      <c r="X2136">
        <v>2.6461619294754105E-2</v>
      </c>
      <c r="Y2136">
        <v>1.0372157960649841E-2</v>
      </c>
    </row>
    <row r="2137" spans="1:25" x14ac:dyDescent="0.25">
      <c r="A2137" s="1093"/>
      <c r="B2137" s="1452">
        <v>1887</v>
      </c>
      <c r="C2137" s="1097">
        <v>1.0448983093229396</v>
      </c>
      <c r="D2137" s="1097">
        <v>1.0196828025287483</v>
      </c>
      <c r="E2137" s="1097">
        <v>0.98056244693179162</v>
      </c>
      <c r="F2137" s="1097">
        <v>1.001521093623013</v>
      </c>
      <c r="G2137" s="1097">
        <v>0.96836410564869813</v>
      </c>
      <c r="H2137" s="1097">
        <v>1.0172889825427966</v>
      </c>
      <c r="I2137" s="1097">
        <v>1.0016973930481969</v>
      </c>
      <c r="K2137">
        <v>5.1356238497140074</v>
      </c>
      <c r="L2137">
        <v>0</v>
      </c>
      <c r="M2137">
        <v>3.6445734442236539E-3</v>
      </c>
      <c r="N2137">
        <v>0.29848243627720883</v>
      </c>
      <c r="O2137">
        <v>0.14164062033419222</v>
      </c>
      <c r="P2137">
        <v>1.9991415416191496E-2</v>
      </c>
      <c r="Q2137">
        <v>1.2173061802907316E-3</v>
      </c>
      <c r="R2137">
        <v>3.6386376362241499E-3</v>
      </c>
      <c r="S2137">
        <v>0.44527428947992409</v>
      </c>
      <c r="T2137">
        <v>4.0038633837615238</v>
      </c>
      <c r="U2137">
        <v>0</v>
      </c>
      <c r="V2137">
        <v>1.130476720982381E-2</v>
      </c>
      <c r="W2137">
        <v>0.18016033708316986</v>
      </c>
      <c r="X2137">
        <v>2.3412162022872367E-2</v>
      </c>
      <c r="Y2137">
        <v>1.0283067756811464E-2</v>
      </c>
    </row>
    <row r="2138" spans="1:25" x14ac:dyDescent="0.25">
      <c r="A2138" s="1093"/>
      <c r="B2138" s="1452">
        <v>1888</v>
      </c>
      <c r="C2138" s="1097">
        <v>1.0072778470056001</v>
      </c>
      <c r="D2138" s="1097">
        <v>0.9872232293791886</v>
      </c>
      <c r="E2138" s="1097">
        <v>1.0292459393940068</v>
      </c>
      <c r="F2138" s="1097">
        <v>0.99637857451746192</v>
      </c>
      <c r="G2138" s="1097">
        <v>1.0017499495667532</v>
      </c>
      <c r="H2138" s="1097">
        <v>0.99813927861941454</v>
      </c>
      <c r="I2138" s="1097">
        <v>0.96717765956496782</v>
      </c>
      <c r="K2138">
        <v>5.1429208340947836</v>
      </c>
      <c r="L2138">
        <v>0</v>
      </c>
      <c r="M2138">
        <v>3.3740202304589559E-3</v>
      </c>
      <c r="N2138">
        <v>0.31917260284659765</v>
      </c>
      <c r="O2138">
        <v>0.1467327327141402</v>
      </c>
      <c r="P2138">
        <v>2.0595003029076034E-2</v>
      </c>
      <c r="Q2138">
        <v>1.3335495777709403E-3</v>
      </c>
      <c r="R2138">
        <v>3.3683907797328995E-3</v>
      </c>
      <c r="S2138">
        <v>0.44346100449952425</v>
      </c>
      <c r="T2138">
        <v>3.9772286375587087</v>
      </c>
      <c r="U2138">
        <v>0</v>
      </c>
      <c r="V2138">
        <v>1.1304767209823808E-2</v>
      </c>
      <c r="W2138">
        <v>0.18643290967777282</v>
      </c>
      <c r="X2138">
        <v>2.7145926924099568E-2</v>
      </c>
      <c r="Y2138">
        <v>9.5193295079957375E-3</v>
      </c>
    </row>
    <row r="2139" spans="1:25" x14ac:dyDescent="0.25">
      <c r="A2139" s="1093"/>
      <c r="B2139" s="1452">
        <v>1889</v>
      </c>
      <c r="C2139" s="1097">
        <v>1.02400569662108</v>
      </c>
      <c r="D2139" s="1097">
        <v>1.0166235990398906</v>
      </c>
      <c r="E2139" s="1097">
        <v>1.0453044774410947</v>
      </c>
      <c r="F2139" s="1097">
        <v>0.9964408941848536</v>
      </c>
      <c r="G2139" s="1097">
        <v>0.98538898792629126</v>
      </c>
      <c r="H2139" s="1097">
        <v>1.0016420154644006</v>
      </c>
      <c r="I2139" s="1097">
        <v>0.9935717795358423</v>
      </c>
      <c r="K2139">
        <v>5.1319157255452899</v>
      </c>
      <c r="L2139">
        <v>0</v>
      </c>
      <c r="M2139">
        <v>3.1818190163851573E-3</v>
      </c>
      <c r="N2139">
        <v>0.31561903299197935</v>
      </c>
      <c r="O2139">
        <v>0.1422280930846167</v>
      </c>
      <c r="P2139">
        <v>2.0839743781119666E-2</v>
      </c>
      <c r="Q2139">
        <v>1.3140008855319033E-3</v>
      </c>
      <c r="R2139">
        <v>3.1765291426196223E-3</v>
      </c>
      <c r="S2139">
        <v>0.44619939766867361</v>
      </c>
      <c r="T2139">
        <v>3.9755038000041232</v>
      </c>
      <c r="U2139">
        <v>0</v>
      </c>
      <c r="V2139">
        <v>1.1304767209823824E-2</v>
      </c>
      <c r="W2139">
        <v>0.18241630913242449</v>
      </c>
      <c r="X2139">
        <v>2.7518756787187675E-2</v>
      </c>
      <c r="Y2139">
        <v>8.977113873570558E-3</v>
      </c>
    </row>
    <row r="2140" spans="1:25" x14ac:dyDescent="0.25">
      <c r="A2140" s="1093"/>
      <c r="B2140" s="1452">
        <v>1890</v>
      </c>
      <c r="C2140" s="1097">
        <v>1.0280254948088148</v>
      </c>
      <c r="D2140" s="1097">
        <v>0.98809761402725649</v>
      </c>
      <c r="E2140" s="1097">
        <v>1.0130337599182102</v>
      </c>
      <c r="F2140" s="1097">
        <v>0.97430682657407219</v>
      </c>
      <c r="G2140" s="1097">
        <v>1.0079661064778858</v>
      </c>
      <c r="H2140" s="1097">
        <v>0.98722539199872295</v>
      </c>
      <c r="I2140" s="1097">
        <v>0.98583370979708296</v>
      </c>
      <c r="K2140">
        <v>5.0061965393211789</v>
      </c>
      <c r="L2140">
        <v>0</v>
      </c>
      <c r="M2140">
        <v>3.3077112119368267E-3</v>
      </c>
      <c r="N2140">
        <v>0.29823025115662433</v>
      </c>
      <c r="O2140">
        <v>0.14096661873999625</v>
      </c>
      <c r="P2140">
        <v>1.9907126483637964E-2</v>
      </c>
      <c r="Q2140">
        <v>1.2883888432604893E-3</v>
      </c>
      <c r="R2140">
        <v>3.3020051956785816E-3</v>
      </c>
      <c r="S2140">
        <v>0.43269250153174404</v>
      </c>
      <c r="T2140">
        <v>3.8910885906824908</v>
      </c>
      <c r="U2140">
        <v>0</v>
      </c>
      <c r="V2140">
        <v>1.1304767209823808E-2</v>
      </c>
      <c r="W2140">
        <v>0.17609208767903226</v>
      </c>
      <c r="X2140">
        <v>2.5300194231668124E-2</v>
      </c>
      <c r="Y2140">
        <v>9.3317187791586553E-3</v>
      </c>
    </row>
    <row r="2141" spans="1:25" x14ac:dyDescent="0.25">
      <c r="A2141" s="1093"/>
      <c r="B2141" s="1452">
        <v>1891</v>
      </c>
      <c r="C2141" s="1097">
        <v>0.97454860283791478</v>
      </c>
      <c r="D2141" s="1097">
        <v>1.0178334985308575</v>
      </c>
      <c r="E2141" s="1097">
        <v>0.99014628784697767</v>
      </c>
      <c r="F2141" s="1097">
        <v>0.959058902546717</v>
      </c>
      <c r="G2141" s="1097">
        <v>0.98659741464947315</v>
      </c>
      <c r="H2141" s="1097">
        <v>0.99878778182893424</v>
      </c>
      <c r="I2141" s="1097">
        <v>1.0120181504699171</v>
      </c>
      <c r="K2141">
        <v>4.9923219815504281</v>
      </c>
      <c r="L2141">
        <v>0</v>
      </c>
      <c r="M2141">
        <v>3.603572146740338E-3</v>
      </c>
      <c r="N2141">
        <v>0.30360305853401265</v>
      </c>
      <c r="O2141">
        <v>0.14527153955635858</v>
      </c>
      <c r="P2141">
        <v>1.9440100279752584E-2</v>
      </c>
      <c r="Q2141">
        <v>1.3170015636739258E-3</v>
      </c>
      <c r="R2141">
        <v>3.5973301944832526E-3</v>
      </c>
      <c r="S2141">
        <v>0.46187932511073643</v>
      </c>
      <c r="T2141">
        <v>3.8329468376456268</v>
      </c>
      <c r="U2141">
        <v>0</v>
      </c>
      <c r="V2141">
        <v>1.1304767209823803E-2</v>
      </c>
      <c r="W2141">
        <v>0.18205611228283539</v>
      </c>
      <c r="X2141">
        <v>2.4343151547090006E-2</v>
      </c>
      <c r="Y2141">
        <v>1.0166329772777701E-2</v>
      </c>
    </row>
    <row r="2142" spans="1:25" x14ac:dyDescent="0.25">
      <c r="A2142" s="1093"/>
      <c r="B2142" s="1452">
        <v>1892</v>
      </c>
      <c r="C2142" s="1097">
        <v>0.96520336673840568</v>
      </c>
      <c r="D2142" s="1097">
        <v>0.99036438401965277</v>
      </c>
      <c r="E2142" s="1097">
        <v>0.99221727882765409</v>
      </c>
      <c r="F2142" s="1097">
        <v>0.97375463166289389</v>
      </c>
      <c r="G2142" s="1097">
        <v>0.99273391349217488</v>
      </c>
      <c r="H2142" s="1097">
        <v>0.99515316243779028</v>
      </c>
      <c r="I2142" s="1097">
        <v>1.0213514870260039</v>
      </c>
      <c r="K2142">
        <v>5.0907880487221746</v>
      </c>
      <c r="L2142">
        <v>0</v>
      </c>
      <c r="M2142">
        <v>3.7050040912043306E-3</v>
      </c>
      <c r="N2142">
        <v>0.31407758666351471</v>
      </c>
      <c r="O2142">
        <v>0.15050598140472599</v>
      </c>
      <c r="P2142">
        <v>1.9810192982299472E-2</v>
      </c>
      <c r="Q2142">
        <v>1.3467867299220432E-3</v>
      </c>
      <c r="R2142">
        <v>3.6986600456824143E-3</v>
      </c>
      <c r="S2142">
        <v>0.47855226692983299</v>
      </c>
      <c r="T2142">
        <v>3.8914251164076821</v>
      </c>
      <c r="U2142">
        <v>0</v>
      </c>
      <c r="V2142">
        <v>1.1304767209823824E-2</v>
      </c>
      <c r="W2142">
        <v>0.18807216333638632</v>
      </c>
      <c r="X2142">
        <v>2.5246835435069954E-2</v>
      </c>
      <c r="Y2142">
        <v>1.04526956684347E-2</v>
      </c>
    </row>
    <row r="2143" spans="1:25" x14ac:dyDescent="0.25">
      <c r="A2143" s="1093"/>
      <c r="B2143" s="1452">
        <v>1893</v>
      </c>
      <c r="C2143" s="1097">
        <v>1.0010829686349905</v>
      </c>
      <c r="D2143" s="1097">
        <v>1.0137153042684541</v>
      </c>
      <c r="E2143" s="1097">
        <v>0.99454680521824324</v>
      </c>
      <c r="F2143" s="1097">
        <v>1.0107427012142627</v>
      </c>
      <c r="G2143" s="1097">
        <v>0.95990871758630048</v>
      </c>
      <c r="H2143" s="1097">
        <v>1.0113190101986762</v>
      </c>
      <c r="I2143" s="1097">
        <v>0.98243758403986137</v>
      </c>
      <c r="K2143">
        <v>5.2223558598394817</v>
      </c>
      <c r="L2143">
        <v>0</v>
      </c>
      <c r="M2143">
        <v>3.7146928433508353E-3</v>
      </c>
      <c r="N2143">
        <v>0.31710927855351057</v>
      </c>
      <c r="O2143">
        <v>0.14916113736514014</v>
      </c>
      <c r="P2143">
        <v>2.0423400774447476E-2</v>
      </c>
      <c r="Q2143">
        <v>1.2890504309399306E-3</v>
      </c>
      <c r="R2143">
        <v>3.7086625523632716E-3</v>
      </c>
      <c r="S2143">
        <v>0.45877827552328576</v>
      </c>
      <c r="T2143">
        <v>4.0389443585691529</v>
      </c>
      <c r="U2143">
        <v>0</v>
      </c>
      <c r="V2143">
        <v>1.1304767209823803E-2</v>
      </c>
      <c r="W2143">
        <v>0.18958748360646938</v>
      </c>
      <c r="X2143">
        <v>2.5283174581727231E-2</v>
      </c>
      <c r="Y2143">
        <v>1.0480963515970068E-2</v>
      </c>
    </row>
    <row r="2144" spans="1:25" x14ac:dyDescent="0.25">
      <c r="A2144" s="1093"/>
      <c r="B2144" s="1452">
        <v>1894</v>
      </c>
      <c r="C2144" s="1097">
        <v>0.96667869373055271</v>
      </c>
      <c r="D2144" s="1097">
        <v>0.99200502051386352</v>
      </c>
      <c r="E2144" s="1097">
        <v>1.0142028896487492</v>
      </c>
      <c r="F2144" s="1097">
        <v>1.0025820641363323</v>
      </c>
      <c r="G2144" s="1097">
        <v>0.95774004212888197</v>
      </c>
      <c r="H2144" s="1097">
        <v>1.0107939329909077</v>
      </c>
      <c r="I2144" s="1097">
        <v>0.99999630254770033</v>
      </c>
      <c r="K2144">
        <v>5.242024862731304</v>
      </c>
      <c r="L2144">
        <v>0</v>
      </c>
      <c r="M2144">
        <v>3.6909812455869196E-3</v>
      </c>
      <c r="N2144">
        <v>0.33396964925851341</v>
      </c>
      <c r="O2144">
        <v>0.15398594901450102</v>
      </c>
      <c r="P2144">
        <v>2.0670474044922078E-2</v>
      </c>
      <c r="Q2144">
        <v>1.3693500795854407E-3</v>
      </c>
      <c r="R2144">
        <v>3.6849376190082059E-3</v>
      </c>
      <c r="S2144">
        <v>0.48226135403089171</v>
      </c>
      <c r="T2144">
        <v>4.0038651680490949</v>
      </c>
      <c r="U2144">
        <v>0</v>
      </c>
      <c r="V2144">
        <v>1.1304767209823825E-2</v>
      </c>
      <c r="W2144">
        <v>0.19704033024654724</v>
      </c>
      <c r="X2144">
        <v>2.714994938100301E-2</v>
      </c>
      <c r="Y2144">
        <v>1.0413915042995674E-2</v>
      </c>
    </row>
    <row r="2145" spans="1:25" x14ac:dyDescent="0.25">
      <c r="A2145" s="1093"/>
      <c r="B2145" s="1452">
        <v>1895</v>
      </c>
      <c r="C2145" s="1097">
        <v>0.99076283086548211</v>
      </c>
      <c r="D2145" s="1097">
        <v>0.99081629255510772</v>
      </c>
      <c r="E2145" s="1097">
        <v>0.96725762656280856</v>
      </c>
      <c r="F2145" s="1097">
        <v>1.0052615728896757</v>
      </c>
      <c r="G2145" s="1097">
        <v>1.0127496041024071</v>
      </c>
      <c r="H2145" s="1097">
        <v>0.9880827551541832</v>
      </c>
      <c r="I2145" s="1097">
        <v>0.96199461520144147</v>
      </c>
      <c r="K2145">
        <v>5.1834848805350475</v>
      </c>
      <c r="L2145">
        <v>0</v>
      </c>
      <c r="M2145">
        <v>3.8978365535653555E-3</v>
      </c>
      <c r="N2145">
        <v>0.30684827857099423</v>
      </c>
      <c r="O2145">
        <v>0.15204694976633948</v>
      </c>
      <c r="P2145">
        <v>1.9882510915582536E-2</v>
      </c>
      <c r="Q2145">
        <v>1.283682697297574E-3</v>
      </c>
      <c r="R2145">
        <v>3.8913248971034218E-3</v>
      </c>
      <c r="S2145">
        <v>0.44961002608953038</v>
      </c>
      <c r="T2145">
        <v>4.0205167699603628</v>
      </c>
      <c r="U2145">
        <v>0</v>
      </c>
      <c r="V2145">
        <v>1.1304767209823834E-2</v>
      </c>
      <c r="W2145">
        <v>0.18691296920148445</v>
      </c>
      <c r="X2145">
        <v>2.4088256532270994E-2</v>
      </c>
      <c r="Y2145">
        <v>1.0997181247816033E-2</v>
      </c>
    </row>
    <row r="2146" spans="1:25" x14ac:dyDescent="0.25">
      <c r="A2146" s="1093"/>
      <c r="B2146" s="1452">
        <v>1896</v>
      </c>
      <c r="C2146" s="1097">
        <v>1.0179134729835393</v>
      </c>
      <c r="D2146" s="1097">
        <v>1.0142010064608962</v>
      </c>
      <c r="E2146" s="1097">
        <v>1.0302578981437196</v>
      </c>
      <c r="F2146" s="1097">
        <v>0.97793896307566097</v>
      </c>
      <c r="G2146" s="1097">
        <v>0.98776155711211266</v>
      </c>
      <c r="H2146" s="1097">
        <v>1.0169259230109482</v>
      </c>
      <c r="I2146" s="1097">
        <v>1.0091479630399414</v>
      </c>
      <c r="K2146">
        <v>5.0599113355427621</v>
      </c>
      <c r="L2146">
        <v>0</v>
      </c>
      <c r="M2146">
        <v>3.2958853918941544E-3</v>
      </c>
      <c r="N2146">
        <v>0.31271545585624133</v>
      </c>
      <c r="O2146">
        <v>0.14095692005077246</v>
      </c>
      <c r="P2146">
        <v>2.0305975504401056E-2</v>
      </c>
      <c r="Q2146">
        <v>1.3065731526830777E-3</v>
      </c>
      <c r="R2146">
        <v>3.2903862963856931E-3</v>
      </c>
      <c r="S2146">
        <v>0.45177592989572579</v>
      </c>
      <c r="T2146">
        <v>3.9035010267123784</v>
      </c>
      <c r="U2146">
        <v>0</v>
      </c>
      <c r="V2146">
        <v>1.130476720982381E-2</v>
      </c>
      <c r="W2146">
        <v>0.18253880145144899</v>
      </c>
      <c r="X2146">
        <v>2.621250192209942E-2</v>
      </c>
      <c r="Y2146">
        <v>9.2988828826959542E-3</v>
      </c>
    </row>
    <row r="2147" spans="1:25" x14ac:dyDescent="0.25">
      <c r="A2147" s="1093"/>
      <c r="B2147" s="1452">
        <v>1897</v>
      </c>
      <c r="C2147" s="1097">
        <v>1.0028430514066571</v>
      </c>
      <c r="D2147" s="1097">
        <v>0.99712412333322631</v>
      </c>
      <c r="E2147" s="1097">
        <v>0.9810710859302112</v>
      </c>
      <c r="F2147" s="1097">
        <v>1.0106108604829627</v>
      </c>
      <c r="G2147" s="1097">
        <v>1.0015261507383437</v>
      </c>
      <c r="H2147" s="1097">
        <v>1.0442833921780101</v>
      </c>
      <c r="I2147" s="1097">
        <v>0.98822601004048516</v>
      </c>
      <c r="K2147">
        <v>5.2484058578661177</v>
      </c>
      <c r="L2147">
        <v>0</v>
      </c>
      <c r="M2147">
        <v>3.9646214860600115E-3</v>
      </c>
      <c r="N2147">
        <v>0.32520241535420846</v>
      </c>
      <c r="O2147">
        <v>0.15024423568836812</v>
      </c>
      <c r="P2147">
        <v>2.0264896858118289E-2</v>
      </c>
      <c r="Q2147">
        <v>1.2803210309213736E-3</v>
      </c>
      <c r="R2147">
        <v>3.9583878211956226E-3</v>
      </c>
      <c r="S2147">
        <v>0.46826894783905915</v>
      </c>
      <c r="T2147">
        <v>4.0401371742933545</v>
      </c>
      <c r="U2147">
        <v>0</v>
      </c>
      <c r="V2147">
        <v>1.1304767209823822E-2</v>
      </c>
      <c r="W2147">
        <v>0.19621983522698691</v>
      </c>
      <c r="X2147">
        <v>2.4302791838823903E-2</v>
      </c>
      <c r="Y2147">
        <v>1.1186706191312646E-2</v>
      </c>
    </row>
    <row r="2148" spans="1:25" x14ac:dyDescent="0.25">
      <c r="A2148" s="1093"/>
      <c r="B2148" s="1452">
        <v>1898</v>
      </c>
      <c r="C2148" s="1097">
        <v>0.98643700982908133</v>
      </c>
      <c r="D2148" s="1097">
        <v>0.97514486100836917</v>
      </c>
      <c r="E2148" s="1097">
        <v>1.006251499007903</v>
      </c>
      <c r="F2148" s="1097">
        <v>1.0031185586979923</v>
      </c>
      <c r="G2148" s="1097">
        <v>1.0093229876143031</v>
      </c>
      <c r="H2148" s="1097">
        <v>1.0191574338570237</v>
      </c>
      <c r="I2148" s="1097">
        <v>0.99972859099339695</v>
      </c>
      <c r="K2148">
        <v>5.2312762717836172</v>
      </c>
      <c r="L2148">
        <v>0</v>
      </c>
      <c r="M2148">
        <v>3.7361718870880449E-3</v>
      </c>
      <c r="N2148">
        <v>0.33019777346964124</v>
      </c>
      <c r="O2148">
        <v>0.15224856642613321</v>
      </c>
      <c r="P2148">
        <v>2.0534733830395658E-2</v>
      </c>
      <c r="Q2148">
        <v>1.3420379871762415E-3</v>
      </c>
      <c r="R2148">
        <v>3.7301077078084146E-3</v>
      </c>
      <c r="S2148">
        <v>0.47591393858547099</v>
      </c>
      <c r="T2148">
        <v>4.0070042961152765</v>
      </c>
      <c r="U2148">
        <v>0</v>
      </c>
      <c r="V2148">
        <v>1.1304767209823815E-2</v>
      </c>
      <c r="W2148">
        <v>0.1958574565829703</v>
      </c>
      <c r="X2148">
        <v>2.6337196593489015E-2</v>
      </c>
      <c r="Y2148">
        <v>1.0541569162518201E-2</v>
      </c>
    </row>
    <row r="2149" spans="1:25" x14ac:dyDescent="0.25">
      <c r="A2149" s="1093"/>
      <c r="B2149" s="1452">
        <v>1899</v>
      </c>
      <c r="C2149" s="1097">
        <v>1.0008078070262398</v>
      </c>
      <c r="D2149" s="1097">
        <v>0.98608058493254347</v>
      </c>
      <c r="E2149" s="1097">
        <v>0.98670651267579357</v>
      </c>
      <c r="F2149" s="1097">
        <v>1.0105555460379403</v>
      </c>
      <c r="G2149" s="1097">
        <v>0.98433183559087822</v>
      </c>
      <c r="H2149" s="1097">
        <v>1.0071434145066618</v>
      </c>
      <c r="I2149" s="1097">
        <v>0.9821655783867963</v>
      </c>
      <c r="K2149">
        <v>5.2271973370564169</v>
      </c>
      <c r="L2149">
        <v>0</v>
      </c>
      <c r="M2149">
        <v>3.8030042520711721E-3</v>
      </c>
      <c r="N2149">
        <v>0.31718592405771895</v>
      </c>
      <c r="O2149">
        <v>0.15105445439669093</v>
      </c>
      <c r="P2149">
        <v>2.0311898901126238E-2</v>
      </c>
      <c r="Q2149">
        <v>1.2949561704871044E-3</v>
      </c>
      <c r="R2149">
        <v>3.7968038576517769E-3</v>
      </c>
      <c r="S2149">
        <v>0.46042370737252469</v>
      </c>
      <c r="T2149">
        <v>4.0391956253060588</v>
      </c>
      <c r="U2149">
        <v>0</v>
      </c>
      <c r="V2149">
        <v>1.1304767209823832E-2</v>
      </c>
      <c r="W2149">
        <v>0.19064730566385027</v>
      </c>
      <c r="X2149">
        <v>2.5054840798559994E-2</v>
      </c>
      <c r="Y2149">
        <v>1.0730057573985706E-2</v>
      </c>
    </row>
    <row r="2150" spans="1:25" x14ac:dyDescent="0.25">
      <c r="A2150" s="1093"/>
      <c r="B2150" s="1452">
        <v>1900</v>
      </c>
      <c r="C2150" s="1097">
        <v>0.98687591672106068</v>
      </c>
      <c r="D2150" s="1097">
        <v>0.97461219557934364</v>
      </c>
      <c r="E2150" s="1097">
        <v>1.0017389610598175</v>
      </c>
      <c r="F2150" s="1097">
        <v>0.98064466497650671</v>
      </c>
      <c r="G2150" s="1097">
        <v>1.0304663935378369</v>
      </c>
      <c r="H2150" s="1097">
        <v>1.0444916793429062</v>
      </c>
      <c r="I2150" s="1097">
        <v>1.0323836254913761</v>
      </c>
      <c r="K2150">
        <v>5.1479682055145561</v>
      </c>
      <c r="L2150">
        <v>0</v>
      </c>
      <c r="M2150">
        <v>3.7783121682777492E-3</v>
      </c>
      <c r="N2150">
        <v>0.32948942754507748</v>
      </c>
      <c r="O2150">
        <v>0.148930021810947</v>
      </c>
      <c r="P2150">
        <v>2.0110228638257222E-2</v>
      </c>
      <c r="Q2150">
        <v>1.3365684714621762E-3</v>
      </c>
      <c r="R2150">
        <v>3.7721914351445509E-3</v>
      </c>
      <c r="S2150">
        <v>0.48699880414870861</v>
      </c>
      <c r="T2150">
        <v>3.9177858216462744</v>
      </c>
      <c r="U2150">
        <v>0</v>
      </c>
      <c r="V2150">
        <v>1.1304767209823827E-2</v>
      </c>
      <c r="W2150">
        <v>0.19603265806723674</v>
      </c>
      <c r="X2150">
        <v>2.5325527720987638E-2</v>
      </c>
      <c r="Y2150">
        <v>1.0660500988910717E-2</v>
      </c>
    </row>
    <row r="2151" spans="1:25" x14ac:dyDescent="0.25">
      <c r="A2151" s="1093"/>
      <c r="B2151" s="1452">
        <v>1901</v>
      </c>
      <c r="C2151" s="1097">
        <v>1.0328267799674991</v>
      </c>
      <c r="D2151" s="1097">
        <v>0.97997765887316901</v>
      </c>
      <c r="E2151" s="1097">
        <v>1.0203810087884171</v>
      </c>
      <c r="F2151" s="1097">
        <v>0.99674739215625707</v>
      </c>
      <c r="G2151" s="1097">
        <v>1.0190679324692629</v>
      </c>
      <c r="H2151" s="1097">
        <v>0.98239566567125947</v>
      </c>
      <c r="I2151" s="1097">
        <v>0.97742885810300995</v>
      </c>
      <c r="K2151">
        <v>5.1116658358368534</v>
      </c>
      <c r="L2151">
        <v>0</v>
      </c>
      <c r="M2151">
        <v>3.3108792823927252E-3</v>
      </c>
      <c r="N2151">
        <v>0.3050868290035012</v>
      </c>
      <c r="O2151">
        <v>0.14381856615062671</v>
      </c>
      <c r="P2151">
        <v>2.043527544139884E-2</v>
      </c>
      <c r="Q2151">
        <v>1.2946805620162984E-3</v>
      </c>
      <c r="R2151">
        <v>3.3052687259675548E-3</v>
      </c>
      <c r="S2151">
        <v>0.43504624632501621</v>
      </c>
      <c r="T2151">
        <v>3.979797240711954</v>
      </c>
      <c r="U2151">
        <v>0</v>
      </c>
      <c r="V2151">
        <v>1.1304767209823827E-2</v>
      </c>
      <c r="W2151">
        <v>0.17925828490354503</v>
      </c>
      <c r="X2151">
        <v>2.628861432047773E-2</v>
      </c>
      <c r="Y2151">
        <v>9.3409417649140437E-3</v>
      </c>
    </row>
    <row r="2152" spans="1:25" x14ac:dyDescent="0.25">
      <c r="A2152" s="1093"/>
      <c r="B2152" s="1452">
        <v>1902</v>
      </c>
      <c r="C2152" s="1097">
        <v>1.007902443660297</v>
      </c>
      <c r="D2152" s="1097">
        <v>0.96336293752250091</v>
      </c>
      <c r="E2152" s="1097">
        <v>0.9994016056744367</v>
      </c>
      <c r="F2152" s="1097">
        <v>0.97340347369251212</v>
      </c>
      <c r="G2152" s="1097">
        <v>0.99298475829437272</v>
      </c>
      <c r="H2152" s="1097">
        <v>1.0144946137701849</v>
      </c>
      <c r="I2152" s="1097">
        <v>1.0058237457272421</v>
      </c>
      <c r="K2152">
        <v>5.0570387239300887</v>
      </c>
      <c r="L2152">
        <v>0</v>
      </c>
      <c r="M2152">
        <v>3.6010406413611502E-3</v>
      </c>
      <c r="N2152">
        <v>0.31184434016697915</v>
      </c>
      <c r="O2152">
        <v>0.14548382916494854</v>
      </c>
      <c r="P2152">
        <v>1.9809846159913679E-2</v>
      </c>
      <c r="Q2152">
        <v>1.312146633936647E-3</v>
      </c>
      <c r="R2152">
        <v>3.5949899892814036E-3</v>
      </c>
      <c r="S2152">
        <v>0.45727166926831003</v>
      </c>
      <c r="T2152">
        <v>3.8891420276474675</v>
      </c>
      <c r="U2152">
        <v>0</v>
      </c>
      <c r="V2152">
        <v>1.130476720982383E-2</v>
      </c>
      <c r="W2152">
        <v>0.18582777465653977</v>
      </c>
      <c r="X2152">
        <v>2.4888657500032593E-2</v>
      </c>
      <c r="Y2152">
        <v>1.0159716174211061E-2</v>
      </c>
    </row>
    <row r="2153" spans="1:25" x14ac:dyDescent="0.25">
      <c r="A2153" s="1093"/>
      <c r="B2153" s="1452">
        <v>1903</v>
      </c>
      <c r="C2153" s="1097">
        <v>0.95893733630645295</v>
      </c>
      <c r="D2153" s="1097">
        <v>0.97605767670206678</v>
      </c>
      <c r="E2153" s="1097">
        <v>1.0015317749832755</v>
      </c>
      <c r="F2153" s="1097">
        <v>1.016888320886296</v>
      </c>
      <c r="G2153" s="1097">
        <v>1.0041242967678985</v>
      </c>
      <c r="H2153" s="1097">
        <v>1.0020557424307905</v>
      </c>
      <c r="I2153" s="1097">
        <v>1.0032654092585811</v>
      </c>
      <c r="K2153">
        <v>5.323951860192512</v>
      </c>
      <c r="L2153">
        <v>0</v>
      </c>
      <c r="M2153">
        <v>3.8674484778390655E-3</v>
      </c>
      <c r="N2153">
        <v>0.33705277230075675</v>
      </c>
      <c r="O2153">
        <v>0.15884574760102768</v>
      </c>
      <c r="P2153">
        <v>2.0795687383044405E-2</v>
      </c>
      <c r="Q2153">
        <v>1.3744503098311409E-3</v>
      </c>
      <c r="R2153">
        <v>3.8611504025189052E-3</v>
      </c>
      <c r="S2153">
        <v>0.49340562706535285</v>
      </c>
      <c r="T2153">
        <v>4.0626097385216706</v>
      </c>
      <c r="U2153">
        <v>0</v>
      </c>
      <c r="V2153">
        <v>1.1304767209823817E-2</v>
      </c>
      <c r="W2153">
        <v>0.20056058887420947</v>
      </c>
      <c r="X2153">
        <v>2.7096873179706306E-2</v>
      </c>
      <c r="Y2153">
        <v>1.0911905822406514E-2</v>
      </c>
    </row>
    <row r="2154" spans="1:25" x14ac:dyDescent="0.25">
      <c r="A2154" s="1093"/>
      <c r="B2154" s="1452">
        <v>1904</v>
      </c>
      <c r="C2154" s="1097">
        <v>1.028841377635584</v>
      </c>
      <c r="D2154" s="1097">
        <v>1.0079995374013258</v>
      </c>
      <c r="E2154" s="1097">
        <v>1.0111459817900286</v>
      </c>
      <c r="F2154" s="1097">
        <v>0.9980395030421807</v>
      </c>
      <c r="G2154" s="1097">
        <v>0.96520604868626791</v>
      </c>
      <c r="H2154" s="1097">
        <v>1.0014372153827833</v>
      </c>
      <c r="I2154" s="1097">
        <v>1.0249228237001797</v>
      </c>
      <c r="K2154">
        <v>5.1450011190054905</v>
      </c>
      <c r="L2154">
        <v>0</v>
      </c>
      <c r="M2154">
        <v>3.4205064928203577E-3</v>
      </c>
      <c r="N2154">
        <v>0.30670137599293507</v>
      </c>
      <c r="O2154">
        <v>0.14319033417643887</v>
      </c>
      <c r="P2154">
        <v>2.0437901084673013E-2</v>
      </c>
      <c r="Q2154">
        <v>1.2750903686345732E-3</v>
      </c>
      <c r="R2154">
        <v>3.4148277260656191E-3</v>
      </c>
      <c r="S2154">
        <v>0.45945719667658252</v>
      </c>
      <c r="T2154">
        <v>3.9861049701767421</v>
      </c>
      <c r="U2154">
        <v>0</v>
      </c>
      <c r="V2154">
        <v>1.1304767209823822E-2</v>
      </c>
      <c r="W2154">
        <v>0.18132323928201766</v>
      </c>
      <c r="X2154">
        <v>2.5561358940769503E-2</v>
      </c>
      <c r="Y2154">
        <v>9.6505638636251445E-3</v>
      </c>
    </row>
    <row r="2155" spans="1:25" x14ac:dyDescent="0.25">
      <c r="A2155" s="1093"/>
      <c r="B2155" s="1452">
        <v>1905</v>
      </c>
      <c r="C2155" s="1097">
        <v>0.96623205460113826</v>
      </c>
      <c r="D2155" s="1097">
        <v>0.99029398826505888</v>
      </c>
      <c r="E2155" s="1097">
        <v>0.97224116209155542</v>
      </c>
      <c r="F2155" s="1097">
        <v>0.99584845831970736</v>
      </c>
      <c r="G2155" s="1097">
        <v>0.98997284157347598</v>
      </c>
      <c r="H2155" s="1097">
        <v>0.97785311034076261</v>
      </c>
      <c r="I2155" s="1097">
        <v>0.99568368700324239</v>
      </c>
      <c r="K2155">
        <v>5.1742341560753493</v>
      </c>
      <c r="L2155">
        <v>0</v>
      </c>
      <c r="M2155">
        <v>3.8785427609489159E-3</v>
      </c>
      <c r="N2155">
        <v>0.30987128021421484</v>
      </c>
      <c r="O2155">
        <v>0.154336416840682</v>
      </c>
      <c r="P2155">
        <v>1.9885653548823122E-2</v>
      </c>
      <c r="Q2155">
        <v>1.3222957540867384E-3</v>
      </c>
      <c r="R2155">
        <v>3.87193376952511E-3</v>
      </c>
      <c r="S2155">
        <v>0.47150473041722896</v>
      </c>
      <c r="T2155">
        <v>3.9822373496517023</v>
      </c>
      <c r="U2155">
        <v>0</v>
      </c>
      <c r="V2155">
        <v>1.130476720982382E-2</v>
      </c>
      <c r="W2155">
        <v>0.18810650341958077</v>
      </c>
      <c r="X2155">
        <v>2.4729387569791719E-2</v>
      </c>
      <c r="Y2155">
        <v>1.0942380440837174E-2</v>
      </c>
    </row>
    <row r="2156" spans="1:25" x14ac:dyDescent="0.25">
      <c r="A2156" s="1093"/>
      <c r="B2156" s="1452">
        <v>1906</v>
      </c>
      <c r="C2156" s="1097">
        <v>1.0215422537617151</v>
      </c>
      <c r="D2156" s="1097">
        <v>0.97370080012541926</v>
      </c>
      <c r="E2156" s="1097">
        <v>0.99282358690132899</v>
      </c>
      <c r="F2156" s="1097">
        <v>0.96166803265502387</v>
      </c>
      <c r="G2156" s="1097">
        <v>0.99155155879282786</v>
      </c>
      <c r="H2156" s="1097">
        <v>1.003454486687821</v>
      </c>
      <c r="I2156" s="1097">
        <v>1.0187814922417362</v>
      </c>
      <c r="K2156">
        <v>4.9756332094107476</v>
      </c>
      <c r="L2156">
        <v>0</v>
      </c>
      <c r="M2156">
        <v>3.5054017122404875E-3</v>
      </c>
      <c r="N2156">
        <v>0.29768953669708742</v>
      </c>
      <c r="O2156">
        <v>0.14138078084514694</v>
      </c>
      <c r="P2156">
        <v>1.9468472998311337E-2</v>
      </c>
      <c r="Q2156">
        <v>1.2818460342111598E-3</v>
      </c>
      <c r="R2156">
        <v>3.4993744137814344E-3</v>
      </c>
      <c r="S2156">
        <v>0.44939951924571092</v>
      </c>
      <c r="T2156">
        <v>3.8430498600195677</v>
      </c>
      <c r="U2156">
        <v>0</v>
      </c>
      <c r="V2156">
        <v>1.1304767209823832E-2</v>
      </c>
      <c r="W2156">
        <v>0.17818546309502736</v>
      </c>
      <c r="X2156">
        <v>2.3989491306368915E-2</v>
      </c>
      <c r="Y2156">
        <v>9.8894992579442904E-3</v>
      </c>
    </row>
    <row r="2157" spans="1:25" x14ac:dyDescent="0.25">
      <c r="A2157" s="1093"/>
      <c r="B2157" s="1452">
        <v>1907</v>
      </c>
      <c r="C2157" s="1097">
        <v>1.0037859717814099</v>
      </c>
      <c r="D2157" s="1097">
        <v>1.0052997087657989</v>
      </c>
      <c r="E2157" s="1097">
        <v>1.0084324973191021</v>
      </c>
      <c r="F2157" s="1097">
        <v>0.99579644761744024</v>
      </c>
      <c r="G2157" s="1097">
        <v>0.97726704451323931</v>
      </c>
      <c r="H2157" s="1097">
        <v>1.0139066232712266</v>
      </c>
      <c r="I2157" s="1097">
        <v>1.0298820160903621</v>
      </c>
      <c r="K2157">
        <v>5.172972831460088</v>
      </c>
      <c r="L2157">
        <v>0</v>
      </c>
      <c r="M2157">
        <v>3.5657246610194021E-3</v>
      </c>
      <c r="N2157">
        <v>0.31716934866745733</v>
      </c>
      <c r="O2157">
        <v>0.14666660777285531</v>
      </c>
      <c r="P2157">
        <v>2.0428393299616557E-2</v>
      </c>
      <c r="Q2157">
        <v>1.3053004027928539E-3</v>
      </c>
      <c r="R2157">
        <v>3.55986445727715E-3</v>
      </c>
      <c r="S2157">
        <v>0.4749429685270396</v>
      </c>
      <c r="T2157">
        <v>3.9774840418182413</v>
      </c>
      <c r="U2157">
        <v>0</v>
      </c>
      <c r="V2157">
        <v>1.1304767209823818E-2</v>
      </c>
      <c r="W2157">
        <v>0.18785388170940584</v>
      </c>
      <c r="X2157">
        <v>2.5762933517535856E-2</v>
      </c>
      <c r="Y2157">
        <v>1.0060448739059534E-2</v>
      </c>
    </row>
    <row r="2158" spans="1:25" x14ac:dyDescent="0.25">
      <c r="A2158" s="1093"/>
      <c r="B2158" s="1452">
        <v>1908</v>
      </c>
      <c r="C2158" s="1097">
        <v>1.0100867058556828</v>
      </c>
      <c r="D2158" s="1097">
        <v>1.0243907324866139</v>
      </c>
      <c r="E2158" s="1097">
        <v>0.98969794807290035</v>
      </c>
      <c r="F2158" s="1097">
        <v>0.99568207510491646</v>
      </c>
      <c r="G2158" s="1097">
        <v>0.9803907493818147</v>
      </c>
      <c r="H2158" s="1097">
        <v>1.0282745850577759</v>
      </c>
      <c r="I2158" s="1097">
        <v>0.99200888175482838</v>
      </c>
      <c r="K2158">
        <v>5.1468355739365572</v>
      </c>
      <c r="L2158">
        <v>0</v>
      </c>
      <c r="M2158">
        <v>3.7098433011454107E-3</v>
      </c>
      <c r="N2158">
        <v>0.3121760763886185</v>
      </c>
      <c r="O2158">
        <v>0.14515155104996363</v>
      </c>
      <c r="P2158">
        <v>2.0065590556534552E-2</v>
      </c>
      <c r="Q2158">
        <v>1.2669154424972016E-3</v>
      </c>
      <c r="R2158">
        <v>3.7038307451267927E-3</v>
      </c>
      <c r="S2158">
        <v>0.45551370024646803</v>
      </c>
      <c r="T2158">
        <v>3.9793702535365085</v>
      </c>
      <c r="U2158">
        <v>0</v>
      </c>
      <c r="V2158">
        <v>1.1304767209823804E-2</v>
      </c>
      <c r="W2158">
        <v>0.18725406071924858</v>
      </c>
      <c r="X2158">
        <v>2.4271362883084523E-2</v>
      </c>
      <c r="Y2158">
        <v>1.0467308459828743E-2</v>
      </c>
    </row>
    <row r="2159" spans="1:25" x14ac:dyDescent="0.25">
      <c r="A2159" s="1093"/>
      <c r="B2159" s="1452">
        <v>1909</v>
      </c>
      <c r="C2159" s="1097">
        <v>0.97878278604156344</v>
      </c>
      <c r="D2159" s="1097">
        <v>0.99271495262644471</v>
      </c>
      <c r="E2159" s="1097">
        <v>0.98553476172327914</v>
      </c>
      <c r="F2159" s="1097">
        <v>1.0265520625315179</v>
      </c>
      <c r="G2159" s="1097">
        <v>1.0066817865973987</v>
      </c>
      <c r="H2159" s="1097">
        <v>0.99429995843169561</v>
      </c>
      <c r="I2159" s="1097">
        <v>0.98719924062226427</v>
      </c>
      <c r="K2159">
        <v>5.3252559297786437</v>
      </c>
      <c r="L2159">
        <v>0</v>
      </c>
      <c r="M2159">
        <v>3.898804390178116E-3</v>
      </c>
      <c r="N2159">
        <v>0.32404938211697282</v>
      </c>
      <c r="O2159">
        <v>0.15651249071314244</v>
      </c>
      <c r="P2159">
        <v>2.0653927152889613E-2</v>
      </c>
      <c r="Q2159">
        <v>1.3192119127153554E-3</v>
      </c>
      <c r="R2159">
        <v>3.892465865714539E-3</v>
      </c>
      <c r="S2159">
        <v>0.47634909780470486</v>
      </c>
      <c r="T2159">
        <v>4.1032857894316717</v>
      </c>
      <c r="U2159">
        <v>0</v>
      </c>
      <c r="V2159">
        <v>1.1304767209823798E-2</v>
      </c>
      <c r="W2159">
        <v>0.19492842142572317</v>
      </c>
      <c r="X2159">
        <v>2.5858774823246517E-2</v>
      </c>
      <c r="Y2159">
        <v>1.1000405712219887E-2</v>
      </c>
    </row>
    <row r="2160" spans="1:25" x14ac:dyDescent="0.25">
      <c r="A2160" s="1093"/>
      <c r="B2160" s="1452">
        <v>1910</v>
      </c>
      <c r="C2160" s="1097">
        <v>0.99913046935208361</v>
      </c>
      <c r="D2160" s="1097">
        <v>0.99698611906987145</v>
      </c>
      <c r="E2160" s="1097">
        <v>1.0309998514203804</v>
      </c>
      <c r="F2160" s="1097">
        <v>1.0228410792620655</v>
      </c>
      <c r="G2160" s="1097">
        <v>1.0015122189925667</v>
      </c>
      <c r="H2160" s="1097">
        <v>1.0203789634392173</v>
      </c>
      <c r="I2160" s="1097">
        <v>0.97111054504936389</v>
      </c>
      <c r="K2160">
        <v>5.3011308929516829</v>
      </c>
      <c r="L2160">
        <v>0</v>
      </c>
      <c r="M2160">
        <v>3.5423317594007629E-3</v>
      </c>
      <c r="N2160">
        <v>0.33686292838619625</v>
      </c>
      <c r="O2160">
        <v>0.15121143466814255</v>
      </c>
      <c r="P2160">
        <v>2.1198553463862537E-2</v>
      </c>
      <c r="Q2160">
        <v>1.3411186556501406E-3</v>
      </c>
      <c r="R2160">
        <v>3.5366996361105669E-3</v>
      </c>
      <c r="S2160">
        <v>0.4621293081259446</v>
      </c>
      <c r="T2160">
        <v>4.082636567670944</v>
      </c>
      <c r="U2160">
        <v>0</v>
      </c>
      <c r="V2160">
        <v>1.1304767209823825E-2</v>
      </c>
      <c r="W2160">
        <v>0.1965376439650923</v>
      </c>
      <c r="X2160">
        <v>2.7919219743418544E-2</v>
      </c>
      <c r="Y2160">
        <v>9.9949831858923369E-3</v>
      </c>
    </row>
    <row r="2161" spans="1:25" x14ac:dyDescent="0.25">
      <c r="A2161" s="1093"/>
      <c r="B2161" s="1452">
        <v>1911</v>
      </c>
      <c r="C2161" s="1097">
        <v>0.99289934705208538</v>
      </c>
      <c r="D2161" s="1097">
        <v>0.99172695328415894</v>
      </c>
      <c r="E2161" s="1097">
        <v>1.0447393570576422</v>
      </c>
      <c r="F2161" s="1097">
        <v>1.0453927430841268</v>
      </c>
      <c r="G2161" s="1097">
        <v>0.98455884361065338</v>
      </c>
      <c r="H2161" s="1097">
        <v>0.96778553751005136</v>
      </c>
      <c r="I2161" s="1097">
        <v>1.002474530248251</v>
      </c>
      <c r="K2161">
        <v>5.4049619135423086</v>
      </c>
      <c r="L2161">
        <v>0</v>
      </c>
      <c r="M2161">
        <v>3.3632632882372262E-3</v>
      </c>
      <c r="N2161">
        <v>0.33306844826448229</v>
      </c>
      <c r="O2161">
        <v>0.15544048433609878</v>
      </c>
      <c r="P2161">
        <v>2.1903694630060713E-2</v>
      </c>
      <c r="Q2161">
        <v>1.3680299544161908E-3</v>
      </c>
      <c r="R2161">
        <v>3.3577467067679974E-3</v>
      </c>
      <c r="S2161">
        <v>0.47903014659284532</v>
      </c>
      <c r="T2161">
        <v>4.1708797588187405</v>
      </c>
      <c r="U2161">
        <v>0</v>
      </c>
      <c r="V2161">
        <v>1.1304767209823817E-2</v>
      </c>
      <c r="W2161">
        <v>0.19257277527504779</v>
      </c>
      <c r="X2161">
        <v>2.9910076497102128E-2</v>
      </c>
      <c r="Y2161">
        <v>9.4892485451603999E-3</v>
      </c>
    </row>
    <row r="2162" spans="1:25" x14ac:dyDescent="0.25">
      <c r="A2162" s="1093"/>
      <c r="B2162" s="1452">
        <v>1912</v>
      </c>
      <c r="C2162" s="1097">
        <v>1.0268979689737971</v>
      </c>
      <c r="D2162" s="1097">
        <v>1.0079004274439189</v>
      </c>
      <c r="E2162" s="1097">
        <v>0.99634458762198552</v>
      </c>
      <c r="F2162" s="1097">
        <v>0.98024936876661195</v>
      </c>
      <c r="G2162" s="1097">
        <v>0.95503332435356181</v>
      </c>
      <c r="H2162" s="1097">
        <v>1.0113249153671935</v>
      </c>
      <c r="I2162" s="1097">
        <v>0.97669186750114612</v>
      </c>
      <c r="K2162">
        <v>5.0391511588907605</v>
      </c>
      <c r="L2162">
        <v>0</v>
      </c>
      <c r="M2162">
        <v>3.5070554224362785E-3</v>
      </c>
      <c r="N2162">
        <v>0.30096840569553274</v>
      </c>
      <c r="O2162">
        <v>0.14130172222237161</v>
      </c>
      <c r="P2162">
        <v>1.9784108480367966E-2</v>
      </c>
      <c r="Q2162">
        <v>1.2614879904684856E-3</v>
      </c>
      <c r="R2162">
        <v>3.5011854330385876E-3</v>
      </c>
      <c r="S2162">
        <v>0.43383898391632081</v>
      </c>
      <c r="T2162">
        <v>3.9168707709798323</v>
      </c>
      <c r="U2162">
        <v>0</v>
      </c>
      <c r="V2162">
        <v>1.1304767209823827E-2</v>
      </c>
      <c r="W2162">
        <v>0.17971829339074047</v>
      </c>
      <c r="X2162">
        <v>2.4213871658063626E-2</v>
      </c>
      <c r="Y2162">
        <v>9.8946173366297845E-3</v>
      </c>
    </row>
    <row r="2163" spans="1:25" x14ac:dyDescent="0.25">
      <c r="A2163" s="1093"/>
      <c r="B2163" s="1452">
        <v>1913</v>
      </c>
      <c r="C2163" s="1097">
        <v>1.0415844507763548</v>
      </c>
      <c r="D2163" s="1097">
        <v>0.97823197813594742</v>
      </c>
      <c r="E2163" s="1097">
        <v>0.98472566379593052</v>
      </c>
      <c r="F2163" s="1097">
        <v>0.99616052799529331</v>
      </c>
      <c r="G2163" s="1097">
        <v>0.98161461887929635</v>
      </c>
      <c r="H2163" s="1097">
        <v>0.96278258197559541</v>
      </c>
      <c r="I2163" s="1097">
        <v>1.0076379361113206</v>
      </c>
      <c r="K2163">
        <v>5.0938318760950203</v>
      </c>
      <c r="L2163">
        <v>0</v>
      </c>
      <c r="M2163">
        <v>3.4689274101879601E-3</v>
      </c>
      <c r="N2163">
        <v>0.2875989331610409</v>
      </c>
      <c r="O2163">
        <v>0.14358463738542779</v>
      </c>
      <c r="P2163">
        <v>1.9937007710086805E-2</v>
      </c>
      <c r="Q2163">
        <v>1.2461073728913508E-3</v>
      </c>
      <c r="R2163">
        <v>3.4629257504988332E-3</v>
      </c>
      <c r="S2163">
        <v>0.44108713307885539</v>
      </c>
      <c r="T2163">
        <v>3.9819080727730456</v>
      </c>
      <c r="U2163">
        <v>0</v>
      </c>
      <c r="V2163">
        <v>1.1304767209823817E-2</v>
      </c>
      <c r="W2163">
        <v>0.17309763923991334</v>
      </c>
      <c r="X2163">
        <v>2.4287087270839898E-2</v>
      </c>
      <c r="Y2163">
        <v>9.7864925527838542E-3</v>
      </c>
    </row>
    <row r="2164" spans="1:25" x14ac:dyDescent="0.25">
      <c r="A2164" s="1093"/>
      <c r="B2164" s="1452">
        <v>1914</v>
      </c>
      <c r="C2164" s="1097">
        <v>1.0306870913826207</v>
      </c>
      <c r="D2164" s="1097">
        <v>0.99843199815843442</v>
      </c>
      <c r="E2164" s="1097">
        <v>0.98253398512671231</v>
      </c>
      <c r="F2164" s="1097">
        <v>1.045054303958693</v>
      </c>
      <c r="G2164" s="1097">
        <v>0.98205769582416003</v>
      </c>
      <c r="H2164" s="1097">
        <v>1.0081091260049151</v>
      </c>
      <c r="I2164" s="1097">
        <v>1.0351283967399494</v>
      </c>
      <c r="K2164">
        <v>5.3883547482289433</v>
      </c>
      <c r="L2164">
        <v>0</v>
      </c>
      <c r="M2164">
        <v>3.8367771753792528E-3</v>
      </c>
      <c r="N2164">
        <v>0.31608390266408476</v>
      </c>
      <c r="O2164">
        <v>0.15104711239967067</v>
      </c>
      <c r="P2164">
        <v>2.0973802808341876E-2</v>
      </c>
      <c r="Q2164">
        <v>1.2466603735582526E-3</v>
      </c>
      <c r="R2164">
        <v>3.8307336864848874E-3</v>
      </c>
      <c r="S2164">
        <v>0.48369219107761835</v>
      </c>
      <c r="T2164">
        <v>4.1776387617925961</v>
      </c>
      <c r="U2164">
        <v>0</v>
      </c>
      <c r="V2164">
        <v>1.1304767209823824E-2</v>
      </c>
      <c r="W2164">
        <v>0.19052710715872004</v>
      </c>
      <c r="X2164">
        <v>2.5020540372736079E-2</v>
      </c>
      <c r="Y2164">
        <v>1.0825945860687964E-2</v>
      </c>
    </row>
    <row r="2165" spans="1:25" x14ac:dyDescent="0.25">
      <c r="A2165" s="1093"/>
      <c r="B2165" s="1452">
        <v>1915</v>
      </c>
      <c r="C2165" s="1097">
        <v>0.98362753331831265</v>
      </c>
      <c r="D2165" s="1097">
        <v>1.0387594786408394</v>
      </c>
      <c r="E2165" s="1097">
        <v>0.9716372914420387</v>
      </c>
      <c r="F2165" s="1097">
        <v>1.0270212714745715</v>
      </c>
      <c r="G2165" s="1097">
        <v>0.9575361997322055</v>
      </c>
      <c r="H2165" s="1097">
        <v>1.015688817008978</v>
      </c>
      <c r="I2165" s="1097">
        <v>0.99635404865563959</v>
      </c>
      <c r="K2165">
        <v>5.3216319430831582</v>
      </c>
      <c r="L2165">
        <v>0</v>
      </c>
      <c r="M2165">
        <v>4.0088529627281041E-3</v>
      </c>
      <c r="N2165">
        <v>0.31974475569935007</v>
      </c>
      <c r="O2165">
        <v>0.15341008672509596</v>
      </c>
      <c r="P2165">
        <v>2.0463082012447498E-2</v>
      </c>
      <c r="Q2165">
        <v>1.2736502963088382E-3</v>
      </c>
      <c r="R2165">
        <v>4.0024756830400942E-3</v>
      </c>
      <c r="S2165">
        <v>0.47854931568240511</v>
      </c>
      <c r="T2165">
        <v>4.106971290458894</v>
      </c>
      <c r="U2165">
        <v>0</v>
      </c>
      <c r="V2165">
        <v>1.1304767209823818E-2</v>
      </c>
      <c r="W2165">
        <v>0.19418093451018992</v>
      </c>
      <c r="X2165">
        <v>2.4429135913492692E-2</v>
      </c>
      <c r="Y2165">
        <v>1.1311301854834144E-2</v>
      </c>
    </row>
    <row r="2166" spans="1:25" x14ac:dyDescent="0.25">
      <c r="A2166" s="1093"/>
      <c r="B2166" s="1452">
        <v>1916</v>
      </c>
      <c r="C2166" s="1097">
        <v>0.97075723356279309</v>
      </c>
      <c r="D2166" s="1097">
        <v>1.0238103631750448</v>
      </c>
      <c r="E2166" s="1097">
        <v>1.0009178427346401</v>
      </c>
      <c r="F2166" s="1097">
        <v>1.037737635071954</v>
      </c>
      <c r="G2166" s="1097">
        <v>1.0097915870815368</v>
      </c>
      <c r="H2166" s="1097">
        <v>1.0044900483198225</v>
      </c>
      <c r="I2166" s="1097">
        <v>1.0176971588462358</v>
      </c>
      <c r="K2166">
        <v>5.4062724021703241</v>
      </c>
      <c r="L2166">
        <v>0</v>
      </c>
      <c r="M2166">
        <v>3.8390338875940152E-3</v>
      </c>
      <c r="N2166">
        <v>0.33398062175291071</v>
      </c>
      <c r="O2166">
        <v>0.157116539051707</v>
      </c>
      <c r="P2166">
        <v>2.1190045297067171E-2</v>
      </c>
      <c r="Q2166">
        <v>1.3313207181050804E-3</v>
      </c>
      <c r="R2166">
        <v>3.8329223367010857E-3</v>
      </c>
      <c r="S2166">
        <v>0.4987718081390724</v>
      </c>
      <c r="T2166">
        <v>4.1459855813025364</v>
      </c>
      <c r="U2166">
        <v>0</v>
      </c>
      <c r="V2166">
        <v>1.130476720982381E-2</v>
      </c>
      <c r="W2166">
        <v>0.19881494082994644</v>
      </c>
      <c r="X2166">
        <v>2.695075826675546E-2</v>
      </c>
      <c r="Y2166">
        <v>1.0832131153294476E-2</v>
      </c>
    </row>
    <row r="2167" spans="1:25" x14ac:dyDescent="0.25">
      <c r="A2167" s="1093"/>
      <c r="B2167" s="1452">
        <v>1917</v>
      </c>
      <c r="C2167" s="1097">
        <v>1.0159218575214317</v>
      </c>
      <c r="D2167" s="1097">
        <v>1.0074028007572278</v>
      </c>
      <c r="E2167" s="1097">
        <v>1.009858552339884</v>
      </c>
      <c r="F2167" s="1097">
        <v>0.9848964485022762</v>
      </c>
      <c r="G2167" s="1097">
        <v>1.0075382204979484</v>
      </c>
      <c r="H2167" s="1097">
        <v>0.99739160846932418</v>
      </c>
      <c r="I2167" s="1097">
        <v>0.96193007936024899</v>
      </c>
      <c r="K2167">
        <v>5.0613131006450613</v>
      </c>
      <c r="L2167">
        <v>0</v>
      </c>
      <c r="M2167">
        <v>3.4147211475597083E-3</v>
      </c>
      <c r="N2167">
        <v>0.30500895113565485</v>
      </c>
      <c r="O2167">
        <v>0.14317020141112094</v>
      </c>
      <c r="P2167">
        <v>2.0049349151465282E-2</v>
      </c>
      <c r="Q2167">
        <v>1.290196789759016E-3</v>
      </c>
      <c r="R2167">
        <v>3.4089531589079833E-3</v>
      </c>
      <c r="S2167">
        <v>0.43122624068342807</v>
      </c>
      <c r="T2167">
        <v>3.9337708752355747</v>
      </c>
      <c r="U2167">
        <v>0</v>
      </c>
      <c r="V2167">
        <v>1.1304767209823832E-2</v>
      </c>
      <c r="W2167">
        <v>0.18047853074685952</v>
      </c>
      <c r="X2167">
        <v>2.5385794381682199E-2</v>
      </c>
      <c r="Y2167">
        <v>9.6339618883356792E-3</v>
      </c>
    </row>
    <row r="2168" spans="1:25" x14ac:dyDescent="0.25">
      <c r="A2168" s="1093"/>
      <c r="B2168" s="1452">
        <v>1918</v>
      </c>
      <c r="C2168" s="1097">
        <v>1.0101680628345673</v>
      </c>
      <c r="D2168" s="1097">
        <v>1.0061523472436238</v>
      </c>
      <c r="E2168" s="1097">
        <v>0.96235041334309357</v>
      </c>
      <c r="F2168" s="1097">
        <v>1.0248164242391011</v>
      </c>
      <c r="G2168" s="1097">
        <v>1.0001934860930439</v>
      </c>
      <c r="H2168" s="1097">
        <v>1.0126340380246259</v>
      </c>
      <c r="I2168" s="1097">
        <v>1.0013075004885079</v>
      </c>
      <c r="K2168">
        <v>5.2894336070963206</v>
      </c>
      <c r="L2168">
        <v>0</v>
      </c>
      <c r="M2168">
        <v>4.0105789799450417E-3</v>
      </c>
      <c r="N2168">
        <v>0.31117676941460864</v>
      </c>
      <c r="O2168">
        <v>0.15123393431006021</v>
      </c>
      <c r="P2168">
        <v>2.0245061950363488E-2</v>
      </c>
      <c r="Q2168">
        <v>1.2459411174296263E-3</v>
      </c>
      <c r="R2168">
        <v>4.0041659626452513E-3</v>
      </c>
      <c r="S2168">
        <v>0.46974376053867384</v>
      </c>
      <c r="T2168">
        <v>4.0993676691430707</v>
      </c>
      <c r="U2168">
        <v>0</v>
      </c>
      <c r="V2168">
        <v>1.1304767209823825E-2</v>
      </c>
      <c r="W2168">
        <v>0.19019464590715751</v>
      </c>
      <c r="X2168">
        <v>2.361139180838584E-2</v>
      </c>
      <c r="Y2168">
        <v>1.1316078714045058E-2</v>
      </c>
    </row>
    <row r="2169" spans="1:25" x14ac:dyDescent="0.25">
      <c r="A2169" s="1093"/>
      <c r="B2169" s="1452">
        <v>1919</v>
      </c>
      <c r="C2169" s="1097">
        <v>0.98261551073349684</v>
      </c>
      <c r="D2169" s="1097">
        <v>0.96675497961111456</v>
      </c>
      <c r="E2169" s="1097">
        <v>0.98141911188619912</v>
      </c>
      <c r="F2169" s="1097">
        <v>1.0227734455639819</v>
      </c>
      <c r="G2169" s="1097">
        <v>1.0157806618332874</v>
      </c>
      <c r="H2169" s="1097">
        <v>1.03108052387787</v>
      </c>
      <c r="I2169" s="1097">
        <v>0.98164118392576127</v>
      </c>
      <c r="K2169">
        <v>5.3342730725337084</v>
      </c>
      <c r="L2169">
        <v>0</v>
      </c>
      <c r="M2169">
        <v>4.0904214243830117E-3</v>
      </c>
      <c r="N2169">
        <v>0.33586752598953878</v>
      </c>
      <c r="O2169">
        <v>0.15710410727239771</v>
      </c>
      <c r="P2169">
        <v>2.0540529649801298E-2</v>
      </c>
      <c r="Q2169">
        <v>1.3233430800746861E-3</v>
      </c>
      <c r="R2169">
        <v>4.0839849423840915E-3</v>
      </c>
      <c r="S2169">
        <v>0.47995554351185188</v>
      </c>
      <c r="T2169">
        <v>4.0887146751127439</v>
      </c>
      <c r="U2169">
        <v>0</v>
      </c>
      <c r="V2169">
        <v>1.1304767209823824E-2</v>
      </c>
      <c r="W2169">
        <v>0.20260664847937923</v>
      </c>
      <c r="X2169">
        <v>2.5320715465411151E-2</v>
      </c>
      <c r="Y2169">
        <v>1.1541653244677843E-2</v>
      </c>
    </row>
    <row r="2170" spans="1:25" x14ac:dyDescent="0.25">
      <c r="A2170" s="1093"/>
      <c r="B2170" s="1452">
        <v>1920</v>
      </c>
      <c r="C2170" s="1097">
        <v>0.96346156638556235</v>
      </c>
      <c r="D2170" s="1097">
        <v>1.0341614869200586</v>
      </c>
      <c r="E2170" s="1097">
        <v>1.0267101111331831</v>
      </c>
      <c r="F2170" s="1097">
        <v>0.99437184145610014</v>
      </c>
      <c r="G2170" s="1097">
        <v>1.0031003266531069</v>
      </c>
      <c r="H2170" s="1097">
        <v>0.96627184721426906</v>
      </c>
      <c r="I2170" s="1097">
        <v>0.9874536322681553</v>
      </c>
      <c r="K2170">
        <v>5.1531240444894753</v>
      </c>
      <c r="L2170">
        <v>0</v>
      </c>
      <c r="M2170">
        <v>3.3632299599447371E-3</v>
      </c>
      <c r="N2170">
        <v>0.31575678115759981</v>
      </c>
      <c r="O2170">
        <v>0.15035049480172169</v>
      </c>
      <c r="P2170">
        <v>2.0608651289421891E-2</v>
      </c>
      <c r="Q2170">
        <v>1.3656129254227003E-3</v>
      </c>
      <c r="R2170">
        <v>3.3574217697951939E-3</v>
      </c>
      <c r="S2170">
        <v>0.4622770789094634</v>
      </c>
      <c r="T2170">
        <v>3.9695307975123137</v>
      </c>
      <c r="U2170">
        <v>0</v>
      </c>
      <c r="V2170">
        <v>1.130476720982381E-2</v>
      </c>
      <c r="W2170">
        <v>0.18474812876698604</v>
      </c>
      <c r="X2170">
        <v>2.7699209858405124E-2</v>
      </c>
      <c r="Y2170">
        <v>9.4883302484674876E-3</v>
      </c>
    </row>
    <row r="2171" spans="1:25" x14ac:dyDescent="0.25">
      <c r="A2171" s="1093"/>
      <c r="B2171" s="1452">
        <v>1921</v>
      </c>
      <c r="C2171" s="1097">
        <v>1.0378075821572583</v>
      </c>
      <c r="D2171" s="1097">
        <v>0.99163452023057486</v>
      </c>
      <c r="E2171" s="1097">
        <v>1.0164414885525928</v>
      </c>
      <c r="F2171" s="1097">
        <v>0.96804859782762409</v>
      </c>
      <c r="G2171" s="1097">
        <v>1.0124266823226817</v>
      </c>
      <c r="H2171" s="1097">
        <v>0.95989855315411232</v>
      </c>
      <c r="I2171" s="1097">
        <v>1.030159812237613</v>
      </c>
      <c r="K2171">
        <v>4.9651717626118401</v>
      </c>
      <c r="L2171">
        <v>0</v>
      </c>
      <c r="M2171">
        <v>3.138234577823975E-3</v>
      </c>
      <c r="N2171">
        <v>0.28580080203726277</v>
      </c>
      <c r="O2171">
        <v>0.13845402731964651</v>
      </c>
      <c r="P2171">
        <v>1.9874897836511911E-2</v>
      </c>
      <c r="Q2171">
        <v>1.2781147162127925E-3</v>
      </c>
      <c r="R2171">
        <v>3.1326308684084185E-3</v>
      </c>
      <c r="S2171">
        <v>0.44023669999560522</v>
      </c>
      <c r="T2171">
        <v>3.8656838041614776</v>
      </c>
      <c r="U2171">
        <v>0</v>
      </c>
      <c r="V2171">
        <v>1.1304767209823813E-2</v>
      </c>
      <c r="W2171">
        <v>0.16836866172912107</v>
      </c>
      <c r="X2171">
        <v>2.5322537316420177E-2</v>
      </c>
      <c r="Y2171">
        <v>8.8530539991750045E-3</v>
      </c>
    </row>
    <row r="2172" spans="1:25" x14ac:dyDescent="0.25">
      <c r="A2172" s="1093"/>
      <c r="B2172" s="1452">
        <v>1922</v>
      </c>
      <c r="C2172" s="1097">
        <v>0.97557644136887833</v>
      </c>
      <c r="D2172" s="1097">
        <v>1.0299084102126264</v>
      </c>
      <c r="E2172" s="1097">
        <v>0.96039758867835756</v>
      </c>
      <c r="F2172" s="1097">
        <v>1.005434514021506</v>
      </c>
      <c r="G2172" s="1097">
        <v>1.0080260823814895</v>
      </c>
      <c r="H2172" s="1097">
        <v>1.0227676736752502</v>
      </c>
      <c r="I2172" s="1097">
        <v>1.0101828840634002</v>
      </c>
      <c r="K2172">
        <v>5.2335243566307925</v>
      </c>
      <c r="L2172">
        <v>0</v>
      </c>
      <c r="M2172">
        <v>4.093608405036045E-3</v>
      </c>
      <c r="N2172">
        <v>0.31577658651020007</v>
      </c>
      <c r="O2172">
        <v>0.15226254910092932</v>
      </c>
      <c r="P2172">
        <v>1.9930523453646546E-2</v>
      </c>
      <c r="Q2172">
        <v>1.2759418980253163E-3</v>
      </c>
      <c r="R2172">
        <v>4.0870027499384058E-3</v>
      </c>
      <c r="S2172">
        <v>0.48265694965581929</v>
      </c>
      <c r="T2172">
        <v>4.0220890637504212</v>
      </c>
      <c r="U2172">
        <v>0</v>
      </c>
      <c r="V2172">
        <v>1.1304767209823815E-2</v>
      </c>
      <c r="W2172">
        <v>0.19326782101203893</v>
      </c>
      <c r="X2172">
        <v>2.341657789575757E-2</v>
      </c>
      <c r="Y2172">
        <v>1.1550181799225047E-2</v>
      </c>
    </row>
    <row r="2173" spans="1:25" x14ac:dyDescent="0.25">
      <c r="A2173" s="1093"/>
      <c r="B2173" s="1452">
        <v>1923</v>
      </c>
      <c r="C2173" s="1097">
        <v>1.002696790062674</v>
      </c>
      <c r="D2173" s="1097">
        <v>1.0053935911193412</v>
      </c>
      <c r="E2173" s="1097">
        <v>1.0247200267811143</v>
      </c>
      <c r="F2173" s="1097">
        <v>0.98493363100050813</v>
      </c>
      <c r="G2173" s="1097">
        <v>1.0053291347635014</v>
      </c>
      <c r="H2173" s="1097">
        <v>1.0122545849173674</v>
      </c>
      <c r="I2173" s="1097">
        <v>0.98418446842480056</v>
      </c>
      <c r="K2173">
        <v>5.0999252843615448</v>
      </c>
      <c r="L2173">
        <v>0</v>
      </c>
      <c r="M2173">
        <v>3.4056890648268721E-3</v>
      </c>
      <c r="N2173">
        <v>0.31788674285342566</v>
      </c>
      <c r="O2173">
        <v>0.14477435294534172</v>
      </c>
      <c r="P2173">
        <v>2.034805961536414E-2</v>
      </c>
      <c r="Q2173">
        <v>1.3248434455073212E-3</v>
      </c>
      <c r="R2173">
        <v>3.4000210139801773E-3</v>
      </c>
      <c r="S2173">
        <v>0.44989813859541805</v>
      </c>
      <c r="T2173">
        <v>3.9320965844929963</v>
      </c>
      <c r="U2173">
        <v>0</v>
      </c>
      <c r="V2173">
        <v>1.1304767209823824E-2</v>
      </c>
      <c r="W2173">
        <v>0.18624038190429298</v>
      </c>
      <c r="X2173">
        <v>2.64483623853865E-2</v>
      </c>
      <c r="Y2173">
        <v>9.6087189648326882E-3</v>
      </c>
    </row>
    <row r="2174" spans="1:25" x14ac:dyDescent="0.25">
      <c r="A2174" s="1093"/>
      <c r="B2174" s="1452">
        <v>1924</v>
      </c>
      <c r="C2174" s="1097">
        <v>0.96981160397737742</v>
      </c>
      <c r="D2174" s="1097">
        <v>1.0032440197255588</v>
      </c>
      <c r="E2174" s="1097">
        <v>1.0139004674262957</v>
      </c>
      <c r="F2174" s="1097">
        <v>0.97267018248366921</v>
      </c>
      <c r="G2174" s="1097">
        <v>0.95777409637336042</v>
      </c>
      <c r="H2174" s="1097">
        <v>0.97049723021950662</v>
      </c>
      <c r="I2174" s="1097">
        <v>0.97896419006230062</v>
      </c>
      <c r="K2174">
        <v>5.042473080342309</v>
      </c>
      <c r="L2174">
        <v>0</v>
      </c>
      <c r="M2174">
        <v>3.4139422004332495E-3</v>
      </c>
      <c r="N2174">
        <v>0.30858884360380484</v>
      </c>
      <c r="O2174">
        <v>0.14824810780322006</v>
      </c>
      <c r="P2174">
        <v>1.9970656230709111E-2</v>
      </c>
      <c r="Q2174">
        <v>1.358440483668075E-3</v>
      </c>
      <c r="R2174">
        <v>3.4079413541972764E-3</v>
      </c>
      <c r="S2174">
        <v>0.45038732639838147</v>
      </c>
      <c r="T2174">
        <v>3.8844471543342447</v>
      </c>
      <c r="U2174">
        <v>0</v>
      </c>
      <c r="V2174">
        <v>1.1304767209823803E-2</v>
      </c>
      <c r="W2174">
        <v>0.18210265423996314</v>
      </c>
      <c r="X2174">
        <v>2.6440028433756368E-2</v>
      </c>
      <c r="Y2174">
        <v>9.6311024509755823E-3</v>
      </c>
    </row>
    <row r="2175" spans="1:25" x14ac:dyDescent="0.25">
      <c r="A2175" s="1093"/>
      <c r="B2175" s="1452">
        <v>1925</v>
      </c>
      <c r="C2175" s="1097">
        <v>0.98151244180218911</v>
      </c>
      <c r="D2175" s="1097">
        <v>0.99715858305468263</v>
      </c>
      <c r="E2175" s="1097">
        <v>1.0163099988479731</v>
      </c>
      <c r="F2175" s="1097">
        <v>1.0090748049997849</v>
      </c>
      <c r="G2175" s="1097">
        <v>0.98440979546519281</v>
      </c>
      <c r="H2175" s="1097">
        <v>1.0030173105829836</v>
      </c>
      <c r="I2175" s="1097">
        <v>1.0153582053063535</v>
      </c>
      <c r="K2175">
        <v>5.2573628051485777</v>
      </c>
      <c r="L2175">
        <v>0</v>
      </c>
      <c r="M2175">
        <v>3.6069571625946309E-3</v>
      </c>
      <c r="N2175">
        <v>0.32840790261336056</v>
      </c>
      <c r="O2175">
        <v>0.15226445579084219</v>
      </c>
      <c r="P2175">
        <v>2.0823464790902125E-2</v>
      </c>
      <c r="Q2175">
        <v>1.3482716197562926E-3</v>
      </c>
      <c r="R2175">
        <v>3.6010435596704944E-3</v>
      </c>
      <c r="S2175">
        <v>0.48286919733093558</v>
      </c>
      <c r="T2175">
        <v>4.029529242186749</v>
      </c>
      <c r="U2175">
        <v>0</v>
      </c>
      <c r="V2175">
        <v>1.1304767209823811E-2</v>
      </c>
      <c r="W2175">
        <v>0.19348601776599739</v>
      </c>
      <c r="X2175">
        <v>2.7158575416837031E-2</v>
      </c>
      <c r="Y2175">
        <v>1.0176824026298867E-2</v>
      </c>
    </row>
    <row r="2176" spans="1:25" x14ac:dyDescent="0.25">
      <c r="A2176" s="1093"/>
      <c r="B2176" s="1452">
        <v>1926</v>
      </c>
      <c r="C2176" s="1097">
        <v>0.99468361642471004</v>
      </c>
      <c r="D2176" s="1097">
        <v>0.98663639462295183</v>
      </c>
      <c r="E2176" s="1097">
        <v>0.97289316021731564</v>
      </c>
      <c r="F2176" s="1097">
        <v>1.0382300045616166</v>
      </c>
      <c r="G2176" s="1097">
        <v>0.98498085992020612</v>
      </c>
      <c r="H2176" s="1097">
        <v>1.0041620532099675</v>
      </c>
      <c r="I2176" s="1097">
        <v>1.0189646953652236</v>
      </c>
      <c r="K2176">
        <v>5.3877854257158546</v>
      </c>
      <c r="L2176">
        <v>0</v>
      </c>
      <c r="M2176">
        <v>4.0338067763941339E-3</v>
      </c>
      <c r="N2176">
        <v>0.32293667683375943</v>
      </c>
      <c r="O2176">
        <v>0.15651472855944926</v>
      </c>
      <c r="P2176">
        <v>2.0737215129353757E-2</v>
      </c>
      <c r="Q2176">
        <v>1.2871075731805302E-3</v>
      </c>
      <c r="R2176">
        <v>4.027386100735734E-3</v>
      </c>
      <c r="S2176">
        <v>0.49100058730800628</v>
      </c>
      <c r="T2176">
        <v>4.1516282353050622</v>
      </c>
      <c r="U2176">
        <v>0</v>
      </c>
      <c r="V2176">
        <v>1.1304767209823806E-2</v>
      </c>
      <c r="W2176">
        <v>0.1959498196659879</v>
      </c>
      <c r="X2176">
        <v>2.5051008209830798E-2</v>
      </c>
      <c r="Y2176">
        <v>1.1381700597062437E-2</v>
      </c>
    </row>
    <row r="2177" spans="1:25" x14ac:dyDescent="0.25">
      <c r="A2177" s="1093"/>
      <c r="B2177" s="1452">
        <v>1927</v>
      </c>
      <c r="C2177" s="1097">
        <v>0.98988960422932282</v>
      </c>
      <c r="D2177" s="1097">
        <v>0.98004218192029224</v>
      </c>
      <c r="E2177" s="1097">
        <v>1.0246748794551883</v>
      </c>
      <c r="F2177" s="1097">
        <v>0.99745886553517538</v>
      </c>
      <c r="G2177" s="1097">
        <v>0.97271737419031645</v>
      </c>
      <c r="H2177" s="1097">
        <v>0.99054035791483575</v>
      </c>
      <c r="I2177" s="1097">
        <v>1.0130424608811273</v>
      </c>
      <c r="K2177">
        <v>5.1861438550741807</v>
      </c>
      <c r="L2177">
        <v>0</v>
      </c>
      <c r="M2177">
        <v>3.4540379363283743E-3</v>
      </c>
      <c r="N2177">
        <v>0.32235168100454903</v>
      </c>
      <c r="O2177">
        <v>0.15003851440061194</v>
      </c>
      <c r="P2177">
        <v>2.0682781338488297E-2</v>
      </c>
      <c r="Q2177">
        <v>1.3557119297891499E-3</v>
      </c>
      <c r="R2177">
        <v>3.4482370469559585E-3</v>
      </c>
      <c r="S2177">
        <v>0.47230001474581879</v>
      </c>
      <c r="T2177">
        <v>3.9821059802893415</v>
      </c>
      <c r="U2177">
        <v>0</v>
      </c>
      <c r="V2177">
        <v>1.1304767209823824E-2</v>
      </c>
      <c r="W2177">
        <v>0.1888619236422833</v>
      </c>
      <c r="X2177">
        <v>2.740330024770089E-2</v>
      </c>
      <c r="Y2177">
        <v>9.744981155142227E-3</v>
      </c>
    </row>
    <row r="2178" spans="1:25" x14ac:dyDescent="0.25">
      <c r="A2178" s="1093"/>
      <c r="B2178" s="1452">
        <v>1928</v>
      </c>
      <c r="C2178" s="1097">
        <v>0.99273153193742314</v>
      </c>
      <c r="D2178" s="1097">
        <v>0.98987414368231397</v>
      </c>
      <c r="E2178" s="1097">
        <v>0.99396423660906841</v>
      </c>
      <c r="F2178" s="1097">
        <v>0.973988468233975</v>
      </c>
      <c r="G2178" s="1097">
        <v>0.97390447389940793</v>
      </c>
      <c r="H2178" s="1097">
        <v>0.98670469047632825</v>
      </c>
      <c r="I2178" s="1097">
        <v>1.0216930077838766</v>
      </c>
      <c r="K2178">
        <v>5.0545935541221851</v>
      </c>
      <c r="L2178">
        <v>0</v>
      </c>
      <c r="M2178">
        <v>3.5601397062662702E-3</v>
      </c>
      <c r="N2178">
        <v>0.30335993992003507</v>
      </c>
      <c r="O2178">
        <v>0.14634872877837829</v>
      </c>
      <c r="P2178">
        <v>1.9773454955680538E-2</v>
      </c>
      <c r="Q2178">
        <v>1.3116710854652206E-3</v>
      </c>
      <c r="R2178">
        <v>3.5539929884864964E-3</v>
      </c>
      <c r="S2178">
        <v>0.46398363861084352</v>
      </c>
      <c r="T2178">
        <v>3.8921452756905435</v>
      </c>
      <c r="U2178">
        <v>0</v>
      </c>
      <c r="V2178">
        <v>1.1304767209823803E-2</v>
      </c>
      <c r="W2178">
        <v>0.18143898639740971</v>
      </c>
      <c r="X2178">
        <v>2.4889382671794552E-2</v>
      </c>
      <c r="Y2178">
        <v>1.004385551999171E-2</v>
      </c>
    </row>
    <row r="2179" spans="1:25" x14ac:dyDescent="0.25">
      <c r="A2179" s="1093"/>
      <c r="B2179" s="1452">
        <v>1929</v>
      </c>
      <c r="C2179" s="1097">
        <v>1.0131886420641947</v>
      </c>
      <c r="D2179" s="1097">
        <v>0.99320695791687541</v>
      </c>
      <c r="E2179" s="1097">
        <v>0.98825980680701198</v>
      </c>
      <c r="F2179" s="1097">
        <v>1.0115049830984322</v>
      </c>
      <c r="G2179" s="1097">
        <v>1.0152091988394705</v>
      </c>
      <c r="H2179" s="1097">
        <v>0.9773413783520275</v>
      </c>
      <c r="I2179" s="1097">
        <v>0.99988600334527522</v>
      </c>
      <c r="K2179">
        <v>5.2033424313100509</v>
      </c>
      <c r="L2179">
        <v>0</v>
      </c>
      <c r="M2179">
        <v>3.6264402025642526E-3</v>
      </c>
      <c r="N2179">
        <v>0.30384164954419712</v>
      </c>
      <c r="O2179">
        <v>0.14887596937566125</v>
      </c>
      <c r="P2179">
        <v>2.0337020288535537E-2</v>
      </c>
      <c r="Q2179">
        <v>1.2771657817075451E-3</v>
      </c>
      <c r="R2179">
        <v>3.6203530962059119E-3</v>
      </c>
      <c r="S2179">
        <v>0.45712054404786795</v>
      </c>
      <c r="T2179">
        <v>4.0427921065040708</v>
      </c>
      <c r="U2179">
        <v>0</v>
      </c>
      <c r="V2179">
        <v>1.1304767209823804E-2</v>
      </c>
      <c r="W2179">
        <v>0.18243335294305726</v>
      </c>
      <c r="X2179">
        <v>2.5134548470729767E-2</v>
      </c>
      <c r="Y2179">
        <v>1.023139425076133E-2</v>
      </c>
    </row>
    <row r="2180" spans="1:25" x14ac:dyDescent="0.25">
      <c r="A2180" s="1093"/>
      <c r="B2180" s="1452">
        <v>1930</v>
      </c>
      <c r="C2180" s="1097">
        <v>0.99843329323303043</v>
      </c>
      <c r="D2180" s="1097">
        <v>0.98173058304658833</v>
      </c>
      <c r="E2180" s="1097">
        <v>1.0187612997303519</v>
      </c>
      <c r="F2180" s="1097">
        <v>1.0123570117982501</v>
      </c>
      <c r="G2180" s="1097">
        <v>0.99701504821774223</v>
      </c>
      <c r="H2180" s="1097">
        <v>1.0027393339796438</v>
      </c>
      <c r="I2180" s="1097">
        <v>0.98864253597929708</v>
      </c>
      <c r="K2180">
        <v>5.2474222877856675</v>
      </c>
      <c r="L2180">
        <v>0</v>
      </c>
      <c r="M2180">
        <v>3.5601326743661416E-3</v>
      </c>
      <c r="N2180">
        <v>0.32650598562053917</v>
      </c>
      <c r="O2180">
        <v>0.15104069908116008</v>
      </c>
      <c r="P2180">
        <v>2.0836774751352753E-2</v>
      </c>
      <c r="Q2180">
        <v>1.3364883882522546E-3</v>
      </c>
      <c r="R2180">
        <v>3.5543131201496831E-3</v>
      </c>
      <c r="S2180">
        <v>0.46483113330675901</v>
      </c>
      <c r="T2180">
        <v>4.0423270545891556</v>
      </c>
      <c r="U2180">
        <v>0</v>
      </c>
      <c r="V2180">
        <v>1.1304767209823804E-2</v>
      </c>
      <c r="W2180">
        <v>0.19205079069485323</v>
      </c>
      <c r="X2180">
        <v>2.7149653461477689E-2</v>
      </c>
      <c r="Y2180">
        <v>1.0044760236512769E-2</v>
      </c>
    </row>
    <row r="2181" spans="1:25" x14ac:dyDescent="0.25">
      <c r="A2181" s="1093"/>
      <c r="B2181" s="1452">
        <v>1931</v>
      </c>
      <c r="C2181" s="1097">
        <v>0.96797164424984028</v>
      </c>
      <c r="D2181" s="1097">
        <v>0.9667420286778583</v>
      </c>
      <c r="E2181" s="1097">
        <v>1.0044587151180757</v>
      </c>
      <c r="F2181" s="1097">
        <v>1.0281755696300403</v>
      </c>
      <c r="G2181" s="1097">
        <v>0.99761039859585765</v>
      </c>
      <c r="H2181" s="1097">
        <v>1.0127015203590437</v>
      </c>
      <c r="I2181" s="1097">
        <v>0.97939132278250918</v>
      </c>
      <c r="K2181">
        <v>5.3709366280867687</v>
      </c>
      <c r="L2181">
        <v>0</v>
      </c>
      <c r="M2181">
        <v>3.905851274275598E-3</v>
      </c>
      <c r="N2181">
        <v>0.34337584799704857</v>
      </c>
      <c r="O2181">
        <v>0.15963369723970411</v>
      </c>
      <c r="P2181">
        <v>2.1004964890252144E-2</v>
      </c>
      <c r="Q2181">
        <v>1.3702819404888295E-3</v>
      </c>
      <c r="R2181">
        <v>3.8996265059269872E-3</v>
      </c>
      <c r="S2181">
        <v>0.4846267775455354</v>
      </c>
      <c r="T2181">
        <v>4.1073265535610739</v>
      </c>
      <c r="U2181">
        <v>0</v>
      </c>
      <c r="V2181">
        <v>1.1304767209823824E-2</v>
      </c>
      <c r="W2181">
        <v>0.2039201024648056</v>
      </c>
      <c r="X2181">
        <v>2.7359217778228376E-2</v>
      </c>
      <c r="Y2181">
        <v>1.1020642228149287E-2</v>
      </c>
    </row>
    <row r="2182" spans="1:25" x14ac:dyDescent="0.25">
      <c r="A2182" s="1093"/>
      <c r="B2182" s="1452">
        <v>1932</v>
      </c>
      <c r="C2182" s="1097">
        <v>1.0115215173038268</v>
      </c>
      <c r="D2182" s="1097">
        <v>0.9646222905783769</v>
      </c>
      <c r="E2182" s="1097">
        <v>0.99374326634016419</v>
      </c>
      <c r="F2182" s="1097">
        <v>1.0273497176355073</v>
      </c>
      <c r="G2182" s="1097">
        <v>1.0422686310158309</v>
      </c>
      <c r="H2182" s="1097">
        <v>1.006547283164112</v>
      </c>
      <c r="I2182" s="1097">
        <v>0.99098816621712849</v>
      </c>
      <c r="K2182">
        <v>5.3136090532783662</v>
      </c>
      <c r="L2182">
        <v>0</v>
      </c>
      <c r="M2182">
        <v>3.8000364331304214E-3</v>
      </c>
      <c r="N2182">
        <v>0.32362902334215071</v>
      </c>
      <c r="O2182">
        <v>0.15307955428406855</v>
      </c>
      <c r="P2182">
        <v>2.0753564276315615E-2</v>
      </c>
      <c r="Q2182">
        <v>1.3004334806151897E-3</v>
      </c>
      <c r="R2182">
        <v>3.7939383836458197E-3</v>
      </c>
      <c r="S2182">
        <v>0.46796503720497346</v>
      </c>
      <c r="T2182">
        <v>4.1054101988296532</v>
      </c>
      <c r="U2182">
        <v>0</v>
      </c>
      <c r="V2182">
        <v>1.1304767209823817E-2</v>
      </c>
      <c r="W2182">
        <v>0.19359091670720838</v>
      </c>
      <c r="X2182">
        <v>2.5859696467365627E-2</v>
      </c>
      <c r="Y2182">
        <v>1.0721959525676276E-2</v>
      </c>
    </row>
    <row r="2183" spans="1:25" x14ac:dyDescent="0.25">
      <c r="A2183" s="1093"/>
      <c r="B2183" s="1452">
        <v>1933</v>
      </c>
      <c r="C2183" s="1097">
        <v>1.0040755272178532</v>
      </c>
      <c r="D2183" s="1097">
        <v>1.0120008826547147</v>
      </c>
      <c r="E2183" s="1097">
        <v>0.98466257015553316</v>
      </c>
      <c r="F2183" s="1097">
        <v>1.035371099458158</v>
      </c>
      <c r="G2183" s="1097">
        <v>0.99611944459228818</v>
      </c>
      <c r="H2183" s="1097">
        <v>0.99194193571932499</v>
      </c>
      <c r="I2183" s="1097">
        <v>0.97319082331556417</v>
      </c>
      <c r="K2183">
        <v>5.324580646559002</v>
      </c>
      <c r="L2183">
        <v>0</v>
      </c>
      <c r="M2183">
        <v>3.8017417206170326E-3</v>
      </c>
      <c r="N2183">
        <v>0.31516873777400017</v>
      </c>
      <c r="O2183">
        <v>0.15272576170248661</v>
      </c>
      <c r="P2183">
        <v>2.0720922593621557E-2</v>
      </c>
      <c r="Q2183">
        <v>1.2751587152370046E-3</v>
      </c>
      <c r="R2183">
        <v>3.7955989906411523E-3</v>
      </c>
      <c r="S2183">
        <v>0.45891885171476704</v>
      </c>
      <c r="T2183">
        <v>4.138651002887757</v>
      </c>
      <c r="U2183">
        <v>0</v>
      </c>
      <c r="V2183">
        <v>1.1304767209823813E-2</v>
      </c>
      <c r="W2183">
        <v>0.18969929638582003</v>
      </c>
      <c r="X2183">
        <v>2.5395637777637994E-2</v>
      </c>
      <c r="Y2183">
        <v>1.0726652527826435E-2</v>
      </c>
    </row>
    <row r="2184" spans="1:25" x14ac:dyDescent="0.25">
      <c r="A2184" s="1093"/>
      <c r="B2184" s="1452">
        <v>1934</v>
      </c>
      <c r="C2184" s="1097">
        <v>1.0159224860121392</v>
      </c>
      <c r="D2184" s="1097">
        <v>0.95909357375002546</v>
      </c>
      <c r="E2184" s="1097">
        <v>0.98716560028845812</v>
      </c>
      <c r="F2184" s="1097">
        <v>0.99831435184653472</v>
      </c>
      <c r="G2184" s="1097">
        <v>1.0117628703674737</v>
      </c>
      <c r="H2184" s="1097">
        <v>1.003164027141076</v>
      </c>
      <c r="I2184" s="1097">
        <v>0.98771315221030476</v>
      </c>
      <c r="K2184">
        <v>5.1579359460753604</v>
      </c>
      <c r="L2184">
        <v>0</v>
      </c>
      <c r="M2184">
        <v>3.7240454458312587E-3</v>
      </c>
      <c r="N2184">
        <v>0.31101537785042876</v>
      </c>
      <c r="O2184">
        <v>0.14863259055797765</v>
      </c>
      <c r="P2184">
        <v>2.0066154450559839E-2</v>
      </c>
      <c r="Q2184">
        <v>1.2904407063197552E-3</v>
      </c>
      <c r="R2184">
        <v>3.7178750791101597E-3</v>
      </c>
      <c r="S2184">
        <v>0.45329136929716057</v>
      </c>
      <c r="T2184">
        <v>3.9902096147297184</v>
      </c>
      <c r="U2184">
        <v>0</v>
      </c>
      <c r="V2184">
        <v>1.1304767209823829E-2</v>
      </c>
      <c r="W2184">
        <v>0.1868799338038005</v>
      </c>
      <c r="X2184">
        <v>2.4744869016387699E-2</v>
      </c>
      <c r="Y2184">
        <v>1.0506998819899915E-2</v>
      </c>
    </row>
    <row r="2185" spans="1:25" x14ac:dyDescent="0.25">
      <c r="A2185" s="1093"/>
      <c r="B2185" s="1452">
        <v>1935</v>
      </c>
      <c r="C2185" s="1097">
        <v>1.0042181779991508</v>
      </c>
      <c r="D2185" s="1097">
        <v>1.0180182326346323</v>
      </c>
      <c r="E2185" s="1097">
        <v>1.0002674718336892</v>
      </c>
      <c r="F2185" s="1097">
        <v>1.0120846239977639</v>
      </c>
      <c r="G2185" s="1097">
        <v>0.9703825371252125</v>
      </c>
      <c r="H2185" s="1097">
        <v>0.9725064214566066</v>
      </c>
      <c r="I2185" s="1097">
        <v>1.0307674042911643</v>
      </c>
      <c r="K2185">
        <v>5.2207377556185923</v>
      </c>
      <c r="L2185">
        <v>0</v>
      </c>
      <c r="M2185">
        <v>3.5170510320556413E-3</v>
      </c>
      <c r="N2185">
        <v>0.30535164080030547</v>
      </c>
      <c r="O2185">
        <v>0.14848148235908262</v>
      </c>
      <c r="P2185">
        <v>2.059435058462197E-2</v>
      </c>
      <c r="Q2185">
        <v>1.2891660327183677E-3</v>
      </c>
      <c r="R2185">
        <v>3.5111215814488776E-3</v>
      </c>
      <c r="S2185">
        <v>0.4724849362029645</v>
      </c>
      <c r="T2185">
        <v>4.0435788912076864</v>
      </c>
      <c r="U2185">
        <v>0</v>
      </c>
      <c r="V2185">
        <v>1.130476720982381E-2</v>
      </c>
      <c r="W2185">
        <v>0.18185231457320444</v>
      </c>
      <c r="X2185">
        <v>2.5883438448161742E-2</v>
      </c>
      <c r="Y2185">
        <v>9.9226976506263092E-3</v>
      </c>
    </row>
    <row r="2186" spans="1:25" x14ac:dyDescent="0.25">
      <c r="A2186" s="1093"/>
      <c r="B2186" s="1452">
        <v>1936</v>
      </c>
      <c r="C2186" s="1097">
        <v>0.96106707926487966</v>
      </c>
      <c r="D2186" s="1097">
        <v>0.99332682548550577</v>
      </c>
      <c r="E2186" s="1097">
        <v>1.0263206592661867</v>
      </c>
      <c r="F2186" s="1097">
        <v>1.0146616901558028</v>
      </c>
      <c r="G2186" s="1097">
        <v>0.9762651076851725</v>
      </c>
      <c r="H2186" s="1097">
        <v>0.99402673194628555</v>
      </c>
      <c r="I2186" s="1097">
        <v>0.97049056231835262</v>
      </c>
      <c r="K2186">
        <v>5.2865155979351979</v>
      </c>
      <c r="L2186">
        <v>0</v>
      </c>
      <c r="M2186">
        <v>3.5995652749019847E-3</v>
      </c>
      <c r="N2186">
        <v>0.33758377832828051</v>
      </c>
      <c r="O2186">
        <v>0.1563105797307332</v>
      </c>
      <c r="P2186">
        <v>2.1024479056218015E-2</v>
      </c>
      <c r="Q2186">
        <v>1.3907986299702005E-3</v>
      </c>
      <c r="R2186">
        <v>3.5936431491491558E-3</v>
      </c>
      <c r="S2186">
        <v>0.47216688128186507</v>
      </c>
      <c r="T2186">
        <v>4.0505768334411529</v>
      </c>
      <c r="U2186">
        <v>0</v>
      </c>
      <c r="V2186">
        <v>1.1304767209823834E-2</v>
      </c>
      <c r="W2186">
        <v>0.19757009805755857</v>
      </c>
      <c r="X2186">
        <v>2.8437394424171005E-2</v>
      </c>
      <c r="Y2186">
        <v>1.015590990117095E-2</v>
      </c>
    </row>
    <row r="2187" spans="1:25" x14ac:dyDescent="0.25">
      <c r="A2187" s="1093"/>
      <c r="B2187" s="1452">
        <v>1937</v>
      </c>
      <c r="C2187" s="1097">
        <v>0.97270958807500629</v>
      </c>
      <c r="D2187" s="1097">
        <v>0.9926114009244722</v>
      </c>
      <c r="E2187" s="1097">
        <v>1.0093969044720472</v>
      </c>
      <c r="F2187" s="1097">
        <v>0.98625327453304856</v>
      </c>
      <c r="G2187" s="1097">
        <v>1.0207359940043539</v>
      </c>
      <c r="H2187" s="1097">
        <v>1.0199791997669265</v>
      </c>
      <c r="I2187" s="1097">
        <v>1.0207095042264369</v>
      </c>
      <c r="K2187">
        <v>5.1659263048956348</v>
      </c>
      <c r="L2187">
        <v>0</v>
      </c>
      <c r="M2187">
        <v>3.6774539314076509E-3</v>
      </c>
      <c r="N2187">
        <v>0.32804106759778456</v>
      </c>
      <c r="O2187">
        <v>0.15063811400100899</v>
      </c>
      <c r="P2187">
        <v>2.0310485495982383E-2</v>
      </c>
      <c r="Q2187">
        <v>1.3549767514840052E-3</v>
      </c>
      <c r="R2187">
        <v>3.6713880500959181E-3</v>
      </c>
      <c r="S2187">
        <v>0.48424764034577555</v>
      </c>
      <c r="T2187">
        <v>3.9392470737428069</v>
      </c>
      <c r="U2187">
        <v>0</v>
      </c>
      <c r="V2187">
        <v>1.1304767209823818E-2</v>
      </c>
      <c r="W2187">
        <v>0.19416717147695362</v>
      </c>
      <c r="X2187">
        <v>2.6245451228535294E-2</v>
      </c>
      <c r="Y2187">
        <v>1.0375622926788893E-2</v>
      </c>
    </row>
    <row r="2188" spans="1:25" x14ac:dyDescent="0.25">
      <c r="A2188" s="1093"/>
      <c r="B2188" s="1452">
        <v>1938</v>
      </c>
      <c r="C2188" s="1097">
        <v>0.99117134762497394</v>
      </c>
      <c r="D2188" s="1097">
        <v>1.0063114958505963</v>
      </c>
      <c r="E2188" s="1097">
        <v>1.0121608822528858</v>
      </c>
      <c r="F2188" s="1097">
        <v>0.9998555580815961</v>
      </c>
      <c r="G2188" s="1097">
        <v>1.0214973531068536</v>
      </c>
      <c r="H2188" s="1097">
        <v>0.9603435885163073</v>
      </c>
      <c r="I2188" s="1097">
        <v>0.99599463538964239</v>
      </c>
      <c r="K2188">
        <v>5.1554410999581517</v>
      </c>
      <c r="L2188">
        <v>0</v>
      </c>
      <c r="M2188">
        <v>3.405983307308306E-3</v>
      </c>
      <c r="N2188">
        <v>0.30629727061936551</v>
      </c>
      <c r="O2188">
        <v>0.14897424916903185</v>
      </c>
      <c r="P2188">
        <v>2.047280518744761E-2</v>
      </c>
      <c r="Q2188">
        <v>1.3255825253105106E-3</v>
      </c>
      <c r="R2188">
        <v>3.4000973786998726E-3</v>
      </c>
      <c r="S2188">
        <v>0.4566012756859455</v>
      </c>
      <c r="T2188">
        <v>3.9932314703876761</v>
      </c>
      <c r="U2188">
        <v>0</v>
      </c>
      <c r="V2188">
        <v>1.1304767209823808E-2</v>
      </c>
      <c r="W2188">
        <v>0.18096113525184901</v>
      </c>
      <c r="X2188">
        <v>2.6669495072949141E-2</v>
      </c>
      <c r="Y2188">
        <v>9.6089347773607187E-3</v>
      </c>
    </row>
    <row r="2189" spans="1:25" x14ac:dyDescent="0.25">
      <c r="A2189" s="1093"/>
      <c r="B2189" s="1452">
        <v>1939</v>
      </c>
      <c r="C2189" s="1097">
        <v>1.024761563909613</v>
      </c>
      <c r="D2189" s="1097">
        <v>1.0080043286036531</v>
      </c>
      <c r="E2189" s="1097">
        <v>1.0092021808623721</v>
      </c>
      <c r="F2189" s="1097">
        <v>0.9811214787296122</v>
      </c>
      <c r="G2189" s="1097">
        <v>0.96434909021814907</v>
      </c>
      <c r="H2189" s="1097">
        <v>1.0026597168826248</v>
      </c>
      <c r="I2189" s="1097">
        <v>0.97505664776910761</v>
      </c>
      <c r="K2189">
        <v>5.0418439193902085</v>
      </c>
      <c r="L2189">
        <v>0</v>
      </c>
      <c r="M2189">
        <v>3.3940098720159082E-3</v>
      </c>
      <c r="N2189">
        <v>0.30257112013982712</v>
      </c>
      <c r="O2189">
        <v>0.14137486451971321</v>
      </c>
      <c r="P2189">
        <v>1.9978246978796348E-2</v>
      </c>
      <c r="Q2189">
        <v>1.2780472430467104E-3</v>
      </c>
      <c r="R2189">
        <v>3.3882850845227334E-3</v>
      </c>
      <c r="S2189">
        <v>0.43281892791458215</v>
      </c>
      <c r="T2189">
        <v>3.9187737745289204</v>
      </c>
      <c r="U2189">
        <v>0</v>
      </c>
      <c r="V2189">
        <v>1.1304767209823829E-2</v>
      </c>
      <c r="W2189">
        <v>0.17911495914406825</v>
      </c>
      <c r="X2189">
        <v>2.505938416672902E-2</v>
      </c>
      <c r="Y2189">
        <v>9.5755523321901272E-3</v>
      </c>
    </row>
    <row r="2190" spans="1:25" x14ac:dyDescent="0.25">
      <c r="A2190" s="1093"/>
      <c r="B2190" s="1452">
        <v>1940</v>
      </c>
      <c r="C2190" s="1097">
        <v>0.98542970460595536</v>
      </c>
      <c r="D2190" s="1097">
        <v>1.0193450269422941</v>
      </c>
      <c r="E2190" s="1097">
        <v>1.0311677999270399</v>
      </c>
      <c r="F2190" s="1097">
        <v>1.003301249349525</v>
      </c>
      <c r="G2190" s="1097">
        <v>0.97776581240281024</v>
      </c>
      <c r="H2190" s="1097">
        <v>0.98623238623079668</v>
      </c>
      <c r="I2190" s="1097">
        <v>0.9850879976692547</v>
      </c>
      <c r="K2190">
        <v>5.1918691350170452</v>
      </c>
      <c r="L2190">
        <v>0</v>
      </c>
      <c r="M2190">
        <v>3.3739084651179621E-3</v>
      </c>
      <c r="N2190">
        <v>0.3209778340834018</v>
      </c>
      <c r="O2190">
        <v>0.14905198852516224</v>
      </c>
      <c r="P2190">
        <v>2.0824717269015473E-2</v>
      </c>
      <c r="Q2190">
        <v>1.3479451166476175E-3</v>
      </c>
      <c r="R2190">
        <v>3.3682504834025408E-3</v>
      </c>
      <c r="S2190">
        <v>0.45924958295525731</v>
      </c>
      <c r="T2190">
        <v>4.0046231331938786</v>
      </c>
      <c r="U2190">
        <v>0</v>
      </c>
      <c r="V2190">
        <v>1.1304767209823813E-2</v>
      </c>
      <c r="W2190">
        <v>0.18724890867322316</v>
      </c>
      <c r="X2190">
        <v>2.7726982952494997E-2</v>
      </c>
      <c r="Y2190">
        <v>9.5189330198550259E-3</v>
      </c>
    </row>
    <row r="2191" spans="1:25" x14ac:dyDescent="0.25">
      <c r="A2191" s="1093"/>
      <c r="B2191" s="1452">
        <v>1941</v>
      </c>
      <c r="C2191" s="1097">
        <v>0.97155983702280369</v>
      </c>
      <c r="D2191" s="1097">
        <v>0.98970837981559945</v>
      </c>
      <c r="E2191" s="1097">
        <v>1.0322769649530261</v>
      </c>
      <c r="F2191" s="1097">
        <v>0.99053911242399995</v>
      </c>
      <c r="G2191" s="1097">
        <v>0.98896905187538486</v>
      </c>
      <c r="H2191" s="1097">
        <v>0.97148054778902548</v>
      </c>
      <c r="I2191" s="1097">
        <v>0.99155186912675941</v>
      </c>
      <c r="K2191">
        <v>5.1467446170802171</v>
      </c>
      <c r="L2191">
        <v>0</v>
      </c>
      <c r="M2191">
        <v>3.359696459051618E-3</v>
      </c>
      <c r="N2191">
        <v>0.32066023722069087</v>
      </c>
      <c r="O2191">
        <v>0.1509971694722998</v>
      </c>
      <c r="P2191">
        <v>2.0624513937891706E-2</v>
      </c>
      <c r="Q2191">
        <v>1.3847089597651071E-3</v>
      </c>
      <c r="R2191">
        <v>3.3539031872274697E-3</v>
      </c>
      <c r="S2191">
        <v>0.46373654437826306</v>
      </c>
      <c r="T2191">
        <v>3.9535478747722039</v>
      </c>
      <c r="U2191">
        <v>0</v>
      </c>
      <c r="V2191">
        <v>1.1304767209823832E-2</v>
      </c>
      <c r="W2191">
        <v>0.18692642344210988</v>
      </c>
      <c r="X2191">
        <v>2.808978449348442E-2</v>
      </c>
      <c r="Y2191">
        <v>9.4783864655000293E-3</v>
      </c>
    </row>
    <row r="2192" spans="1:25" x14ac:dyDescent="0.25">
      <c r="A2192" s="1093"/>
      <c r="B2192" s="1452">
        <v>1942</v>
      </c>
      <c r="C2192" s="1097">
        <v>1.0155048989384097</v>
      </c>
      <c r="D2192" s="1097">
        <v>0.96979373012266801</v>
      </c>
      <c r="E2192" s="1097">
        <v>0.95308205489662357</v>
      </c>
      <c r="F2192" s="1097">
        <v>0.96886689216966149</v>
      </c>
      <c r="G2192" s="1097">
        <v>0.98497651853336665</v>
      </c>
      <c r="H2192" s="1097">
        <v>0.99091075666992612</v>
      </c>
      <c r="I2192" s="1097">
        <v>1.0204832489939601</v>
      </c>
      <c r="K2192">
        <v>5.0051224011567435</v>
      </c>
      <c r="L2192">
        <v>0</v>
      </c>
      <c r="M2192">
        <v>3.8192042109327189E-3</v>
      </c>
      <c r="N2192">
        <v>0.28823901377975436</v>
      </c>
      <c r="O2192">
        <v>0.14458415621514892</v>
      </c>
      <c r="P2192">
        <v>1.9052713108633157E-2</v>
      </c>
      <c r="Q2192">
        <v>1.2475520538134471E-3</v>
      </c>
      <c r="R2192">
        <v>3.8126035480670014E-3</v>
      </c>
      <c r="S2192">
        <v>0.45369724703658398</v>
      </c>
      <c r="T2192">
        <v>3.8767136709537962</v>
      </c>
      <c r="U2192">
        <v>0</v>
      </c>
      <c r="V2192">
        <v>1.1304767209823806E-2</v>
      </c>
      <c r="W2192">
        <v>0.1773144053043986</v>
      </c>
      <c r="X2192">
        <v>2.2200767452309113E-2</v>
      </c>
      <c r="Y2192">
        <v>1.0774708705348432E-2</v>
      </c>
    </row>
    <row r="2193" spans="1:25" x14ac:dyDescent="0.25">
      <c r="A2193" s="1093"/>
      <c r="B2193" s="1452">
        <v>1943</v>
      </c>
      <c r="C2193" s="1097">
        <v>1.0410427832916955</v>
      </c>
      <c r="D2193" s="1097">
        <v>0.96332449773539075</v>
      </c>
      <c r="E2193" s="1097">
        <v>0.98715903654051329</v>
      </c>
      <c r="F2193" s="1097">
        <v>1.0155843278868208</v>
      </c>
      <c r="G2193" s="1097">
        <v>0.99682772946478648</v>
      </c>
      <c r="H2193" s="1097">
        <v>1.027758120715949</v>
      </c>
      <c r="I2193" s="1097">
        <v>1.0065858627742388</v>
      </c>
      <c r="K2193">
        <v>5.241700849596918</v>
      </c>
      <c r="L2193">
        <v>0</v>
      </c>
      <c r="M2193">
        <v>3.7809738708792142E-3</v>
      </c>
      <c r="N2193">
        <v>0.31578485937574502</v>
      </c>
      <c r="O2193">
        <v>0.1472958808542158</v>
      </c>
      <c r="P2193">
        <v>2.041395565687365E-2</v>
      </c>
      <c r="Q2193">
        <v>1.2570800573095534E-3</v>
      </c>
      <c r="R2193">
        <v>3.7749629043072664E-3</v>
      </c>
      <c r="S2193">
        <v>0.4614996706186939</v>
      </c>
      <c r="T2193">
        <v>4.0592376366950278</v>
      </c>
      <c r="U2193">
        <v>0</v>
      </c>
      <c r="V2193">
        <v>1.1304767209823822E-2</v>
      </c>
      <c r="W2193">
        <v>0.18974662320631477</v>
      </c>
      <c r="X2193">
        <v>2.4498053517123607E-2</v>
      </c>
      <c r="Y2193">
        <v>1.0668333372356209E-2</v>
      </c>
    </row>
    <row r="2194" spans="1:25" x14ac:dyDescent="0.25">
      <c r="A2194" s="1093"/>
      <c r="B2194" s="1452">
        <v>1944</v>
      </c>
      <c r="C2194" s="1097">
        <v>0.97769817060186504</v>
      </c>
      <c r="D2194" s="1097">
        <v>0.98825034899506803</v>
      </c>
      <c r="E2194" s="1097">
        <v>1.0240524930322941</v>
      </c>
      <c r="F2194" s="1097">
        <v>1.0093398859911116</v>
      </c>
      <c r="G2194" s="1097">
        <v>0.98019584643264712</v>
      </c>
      <c r="H2194" s="1097">
        <v>0.97771156661992398</v>
      </c>
      <c r="I2194" s="1097">
        <v>0.97133912437214853</v>
      </c>
      <c r="K2194">
        <v>5.2290347097321899</v>
      </c>
      <c r="L2194">
        <v>0</v>
      </c>
      <c r="M2194">
        <v>3.4858126279459565E-3</v>
      </c>
      <c r="N2194">
        <v>0.32471813499042057</v>
      </c>
      <c r="O2194">
        <v>0.15322485635314395</v>
      </c>
      <c r="P2194">
        <v>2.0835825082023779E-2</v>
      </c>
      <c r="Q2194">
        <v>1.3673270187104065E-3</v>
      </c>
      <c r="R2194">
        <v>3.479951259739494E-3</v>
      </c>
      <c r="S2194">
        <v>0.45988289213656047</v>
      </c>
      <c r="T2194">
        <v>4.0296159590433431</v>
      </c>
      <c r="U2194">
        <v>0</v>
      </c>
      <c r="V2194">
        <v>1.1304767209823811E-2</v>
      </c>
      <c r="W2194">
        <v>0.19032713731205517</v>
      </c>
      <c r="X2194">
        <v>2.7929064012581679E-2</v>
      </c>
      <c r="Y2194">
        <v>9.8346079417341043E-3</v>
      </c>
    </row>
    <row r="2195" spans="1:25" x14ac:dyDescent="0.25">
      <c r="A2195" s="1093"/>
      <c r="B2195" s="1452">
        <v>1945</v>
      </c>
      <c r="C2195" s="1097">
        <v>1.0249826522742755</v>
      </c>
      <c r="D2195" s="1097">
        <v>0.99977186213650115</v>
      </c>
      <c r="E2195" s="1097">
        <v>0.99102592308302895</v>
      </c>
      <c r="F2195" s="1097">
        <v>1.0261823074026035</v>
      </c>
      <c r="G2195" s="1097">
        <v>1.0130001066061463</v>
      </c>
      <c r="H2195" s="1097">
        <v>0.96963944679147895</v>
      </c>
      <c r="I2195" s="1097">
        <v>1.0476462922396763</v>
      </c>
      <c r="K2195">
        <v>5.2792065233590346</v>
      </c>
      <c r="L2195">
        <v>0</v>
      </c>
      <c r="M2195">
        <v>3.577621217373698E-3</v>
      </c>
      <c r="N2195">
        <v>0.30222335257392507</v>
      </c>
      <c r="O2195">
        <v>0.14882832141975505</v>
      </c>
      <c r="P2195">
        <v>2.0732950803736598E-2</v>
      </c>
      <c r="Q2195">
        <v>1.2621558470867573E-3</v>
      </c>
      <c r="R2195">
        <v>3.5716547889858181E-3</v>
      </c>
      <c r="S2195">
        <v>0.47707482279766589</v>
      </c>
      <c r="T2195">
        <v>4.101096446204834</v>
      </c>
      <c r="U2195">
        <v>0</v>
      </c>
      <c r="V2195">
        <v>1.1304767209823822E-2</v>
      </c>
      <c r="W2195">
        <v>0.18112036571608744</v>
      </c>
      <c r="X2195">
        <v>2.5475538097887673E-2</v>
      </c>
      <c r="Y2195">
        <v>1.0093769116617468E-2</v>
      </c>
    </row>
    <row r="2196" spans="1:25" x14ac:dyDescent="0.25">
      <c r="A2196" s="1093"/>
      <c r="B2196" s="1452">
        <v>1946</v>
      </c>
      <c r="C2196" s="1097">
        <v>1.0175390735114975</v>
      </c>
      <c r="D2196" s="1097">
        <v>0.99117995756686694</v>
      </c>
      <c r="E2196" s="1097">
        <v>1.0206159385954312</v>
      </c>
      <c r="F2196" s="1097">
        <v>1.0169934366783946</v>
      </c>
      <c r="G2196" s="1097">
        <v>0.98411745169551224</v>
      </c>
      <c r="H2196" s="1097">
        <v>1.0139298864710473</v>
      </c>
      <c r="I2196" s="1097">
        <v>1.0411966401518526</v>
      </c>
      <c r="K2196">
        <v>5.2782629990780672</v>
      </c>
      <c r="L2196">
        <v>0</v>
      </c>
      <c r="M2196">
        <v>3.5210306377000296E-3</v>
      </c>
      <c r="N2196">
        <v>0.3247049340411437</v>
      </c>
      <c r="O2196">
        <v>0.14826226816075355</v>
      </c>
      <c r="P2196">
        <v>2.1035615817579512E-2</v>
      </c>
      <c r="Q2196">
        <v>1.3084309212186712E-3</v>
      </c>
      <c r="R2196">
        <v>3.5153644330430185E-3</v>
      </c>
      <c r="S2196">
        <v>0.48347276501636094</v>
      </c>
      <c r="T2196">
        <v>4.0606056202152931</v>
      </c>
      <c r="U2196">
        <v>0</v>
      </c>
      <c r="V2196">
        <v>1.1304767209823815E-2</v>
      </c>
      <c r="W2196">
        <v>0.19075531932160172</v>
      </c>
      <c r="X2196">
        <v>2.6884256305789393E-2</v>
      </c>
      <c r="Y2196">
        <v>9.9346882731577435E-3</v>
      </c>
    </row>
    <row r="2197" spans="1:25" x14ac:dyDescent="0.25">
      <c r="A2197" s="1093"/>
      <c r="B2197" s="1452">
        <v>1947</v>
      </c>
      <c r="C2197" s="1097">
        <v>0.96198200131114653</v>
      </c>
      <c r="D2197" s="1097">
        <v>0.98472793092328548</v>
      </c>
      <c r="E2197" s="1097">
        <v>0.96303094621640473</v>
      </c>
      <c r="F2197" s="1097">
        <v>0.99095033460427984</v>
      </c>
      <c r="G2197" s="1097">
        <v>0.98390251427827957</v>
      </c>
      <c r="H2197" s="1097">
        <v>0.96670492365358318</v>
      </c>
      <c r="I2197" s="1097">
        <v>0.99758716852811147</v>
      </c>
      <c r="K2197">
        <v>5.1475896251701032</v>
      </c>
      <c r="L2197">
        <v>0</v>
      </c>
      <c r="M2197">
        <v>3.9158430680956606E-3</v>
      </c>
      <c r="N2197">
        <v>0.30440066667692234</v>
      </c>
      <c r="O2197">
        <v>0.15486944964858329</v>
      </c>
      <c r="P2197">
        <v>1.9661422515436608E-2</v>
      </c>
      <c r="Q2197">
        <v>1.3204519618069122E-3</v>
      </c>
      <c r="R2197">
        <v>3.9090602625927538E-3</v>
      </c>
      <c r="S2197">
        <v>0.47091024969341078</v>
      </c>
      <c r="T2197">
        <v>3.9638137948838867</v>
      </c>
      <c r="U2197">
        <v>0</v>
      </c>
      <c r="V2197">
        <v>1.1304767209823827E-2</v>
      </c>
      <c r="W2197">
        <v>0.18596525823643675</v>
      </c>
      <c r="X2197">
        <v>2.4303044404574602E-2</v>
      </c>
      <c r="Y2197">
        <v>1.1047302744719991E-2</v>
      </c>
    </row>
    <row r="2198" spans="1:25" x14ac:dyDescent="0.25">
      <c r="A2198" s="1093"/>
      <c r="B2198" s="1452">
        <v>1948</v>
      </c>
      <c r="C2198" s="1097">
        <v>0.98571502115599141</v>
      </c>
      <c r="D2198" s="1097">
        <v>0.99722694673602141</v>
      </c>
      <c r="E2198" s="1097">
        <v>0.98502135182614092</v>
      </c>
      <c r="F2198" s="1097">
        <v>0.96967896285749466</v>
      </c>
      <c r="G2198" s="1097">
        <v>1.0015573517151581</v>
      </c>
      <c r="H2198" s="1097">
        <v>0.98312568789136179</v>
      </c>
      <c r="I2198" s="1097">
        <v>1.0190180155847337</v>
      </c>
      <c r="K2198">
        <v>5.0325748412387599</v>
      </c>
      <c r="L2198">
        <v>0</v>
      </c>
      <c r="M2198">
        <v>3.6134902678135864E-3</v>
      </c>
      <c r="N2198">
        <v>0.2998439875240107</v>
      </c>
      <c r="O2198">
        <v>0.14654967595466442</v>
      </c>
      <c r="P2198">
        <v>1.9563812435528079E-2</v>
      </c>
      <c r="Q2198">
        <v>1.3069796972467428E-3</v>
      </c>
      <c r="R2198">
        <v>3.6072009459043931E-3</v>
      </c>
      <c r="S2198">
        <v>0.46298977139807945</v>
      </c>
      <c r="T2198">
        <v>3.8760182385424464</v>
      </c>
      <c r="U2198">
        <v>0</v>
      </c>
      <c r="V2198">
        <v>1.1304767209823815E-2</v>
      </c>
      <c r="W2198">
        <v>0.18043115491667849</v>
      </c>
      <c r="X2198">
        <v>2.4378517612298305E-2</v>
      </c>
      <c r="Y2198">
        <v>1.0194225269890066E-2</v>
      </c>
    </row>
    <row r="2199" spans="1:25" x14ac:dyDescent="0.25">
      <c r="A2199" s="1093"/>
      <c r="B2199" s="1452">
        <v>1949</v>
      </c>
      <c r="C2199" s="1097">
        <v>1.0168018037896698</v>
      </c>
      <c r="D2199" s="1097">
        <v>0.99536587140103228</v>
      </c>
      <c r="E2199" s="1097">
        <v>0.98385752196964549</v>
      </c>
      <c r="F2199" s="1097">
        <v>1.0075831992000501</v>
      </c>
      <c r="G2199" s="1097">
        <v>1.0236209563663854</v>
      </c>
      <c r="H2199" s="1097">
        <v>0.9692849735563972</v>
      </c>
      <c r="I2199" s="1097">
        <v>1.0137182276182544</v>
      </c>
      <c r="K2199">
        <v>5.178726593445683</v>
      </c>
      <c r="L2199">
        <v>0</v>
      </c>
      <c r="M2199">
        <v>3.5999438437877901E-3</v>
      </c>
      <c r="N2199">
        <v>0.29770276671327089</v>
      </c>
      <c r="O2199">
        <v>0.14776510121488695</v>
      </c>
      <c r="P2199">
        <v>2.0208209343316751E-2</v>
      </c>
      <c r="Q2199">
        <v>1.2666916642516902E-3</v>
      </c>
      <c r="R2199">
        <v>3.5938273119878166E-3</v>
      </c>
      <c r="S2199">
        <v>0.45858457757133392</v>
      </c>
      <c r="T2199">
        <v>4.0276780409528916</v>
      </c>
      <c r="U2199">
        <v>0</v>
      </c>
      <c r="V2199">
        <v>1.1304767209823815E-2</v>
      </c>
      <c r="W2199">
        <v>0.1792851443597572</v>
      </c>
      <c r="X2199">
        <v>2.4780980588535565E-2</v>
      </c>
      <c r="Y2199">
        <v>1.015643035941317E-2</v>
      </c>
    </row>
    <row r="2200" spans="1:25" x14ac:dyDescent="0.25">
      <c r="A2200" s="1093"/>
      <c r="B2200" s="1452">
        <v>1950</v>
      </c>
      <c r="C2200" s="1097">
        <v>0.97317967448288611</v>
      </c>
      <c r="D2200" s="1097">
        <v>1.0017053944162144</v>
      </c>
      <c r="E2200" s="1097">
        <v>1.0201557222613191</v>
      </c>
      <c r="F2200" s="1097">
        <v>1.0037650811420875</v>
      </c>
      <c r="G2200" s="1097">
        <v>0.99845511197771863</v>
      </c>
      <c r="H2200" s="1097">
        <v>1.0347303946243545</v>
      </c>
      <c r="I2200" s="1097">
        <v>1.0079899805827268</v>
      </c>
      <c r="K2200">
        <v>5.2588068302395214</v>
      </c>
      <c r="L2200">
        <v>0</v>
      </c>
      <c r="M2200">
        <v>3.6962185690040121E-3</v>
      </c>
      <c r="N2200">
        <v>0.34040071425234758</v>
      </c>
      <c r="O2200">
        <v>0.15237204025009057</v>
      </c>
      <c r="P2200">
        <v>2.080163514462648E-2</v>
      </c>
      <c r="Q2200">
        <v>1.3617731681745044E-3</v>
      </c>
      <c r="R2200">
        <v>3.6903133291342201E-3</v>
      </c>
      <c r="S2200">
        <v>0.4870783156377379</v>
      </c>
      <c r="T2200">
        <v>4.0078454787800952</v>
      </c>
      <c r="U2200">
        <v>0</v>
      </c>
      <c r="V2200">
        <v>1.1304767209823804E-2</v>
      </c>
      <c r="W2200">
        <v>0.20003752276550504</v>
      </c>
      <c r="X2200">
        <v>2.718138106076326E-2</v>
      </c>
      <c r="Y2200">
        <v>1.0429107210227846E-2</v>
      </c>
    </row>
    <row r="2201" spans="1:25" x14ac:dyDescent="0.25">
      <c r="A2201" s="1093"/>
      <c r="B2201" s="1452">
        <v>1951</v>
      </c>
      <c r="C2201" s="1097">
        <v>1.0022948949352202</v>
      </c>
      <c r="D2201" s="1097">
        <v>1.0190926650486314</v>
      </c>
      <c r="E2201" s="1097">
        <v>1.0337630563266489</v>
      </c>
      <c r="F2201" s="1097">
        <v>0.96722741949079216</v>
      </c>
      <c r="G2201" s="1097">
        <v>1.0039531794164387</v>
      </c>
      <c r="H2201" s="1097">
        <v>0.95831056718287866</v>
      </c>
      <c r="I2201" s="1097">
        <v>1.0140702822621426</v>
      </c>
      <c r="K2201">
        <v>4.9842925476055067</v>
      </c>
      <c r="L2201">
        <v>0</v>
      </c>
      <c r="M2201">
        <v>3.0908093019929492E-3</v>
      </c>
      <c r="N2201">
        <v>0.29627588564869262</v>
      </c>
      <c r="O2201">
        <v>0.14121973367330476</v>
      </c>
      <c r="P2201">
        <v>2.0128114002604534E-2</v>
      </c>
      <c r="Q2201">
        <v>1.3282861142511521E-3</v>
      </c>
      <c r="R2201">
        <v>3.0852764455442782E-3</v>
      </c>
      <c r="S2201">
        <v>0.44572288943373378</v>
      </c>
      <c r="T2201">
        <v>3.8603260488459874</v>
      </c>
      <c r="U2201">
        <v>0</v>
      </c>
      <c r="V2201">
        <v>1.1304767209823829E-2</v>
      </c>
      <c r="W2201">
        <v>0.17254219022237638</v>
      </c>
      <c r="X2201">
        <v>2.6730938526353835E-2</v>
      </c>
      <c r="Y2201">
        <v>8.7192267848217909E-3</v>
      </c>
    </row>
    <row r="2202" spans="1:25" x14ac:dyDescent="0.25">
      <c r="A2202" s="1093"/>
      <c r="B2202" s="1452">
        <v>1952</v>
      </c>
      <c r="C2202" s="1097">
        <v>0.99523025930532338</v>
      </c>
      <c r="D2202" s="1097">
        <v>0.99072356210323009</v>
      </c>
      <c r="E2202" s="1097">
        <v>1.0399498023914859</v>
      </c>
      <c r="F2202" s="1097">
        <v>0.99323880656799379</v>
      </c>
      <c r="G2202" s="1097">
        <v>1.0092750266521981</v>
      </c>
      <c r="H2202" s="1097">
        <v>0.98451054103062208</v>
      </c>
      <c r="I2202" s="1097">
        <v>0.97289237817325402</v>
      </c>
      <c r="K2202">
        <v>5.1346648807193782</v>
      </c>
      <c r="L2202">
        <v>0</v>
      </c>
      <c r="M2202">
        <v>3.2777696336006314E-3</v>
      </c>
      <c r="N2202">
        <v>0.3200239537882878</v>
      </c>
      <c r="O2202">
        <v>0.14753302277492458</v>
      </c>
      <c r="P2202">
        <v>2.0709042600706582E-2</v>
      </c>
      <c r="Q2202">
        <v>1.3599332982785551E-3</v>
      </c>
      <c r="R2202">
        <v>3.2722075699106799E-3</v>
      </c>
      <c r="S2202">
        <v>0.44748698334905568</v>
      </c>
      <c r="T2202">
        <v>3.9633826964601209</v>
      </c>
      <c r="U2202">
        <v>0</v>
      </c>
      <c r="V2202">
        <v>1.130476720982382E-2</v>
      </c>
      <c r="W2202">
        <v>0.18561375005976191</v>
      </c>
      <c r="X2202">
        <v>2.8008784828308344E-2</v>
      </c>
      <c r="Y2202">
        <v>9.2475084137974579E-3</v>
      </c>
    </row>
    <row r="2203" spans="1:25" x14ac:dyDescent="0.25">
      <c r="A2203" s="1093"/>
      <c r="B2203" s="1452">
        <v>1953</v>
      </c>
      <c r="C2203" s="1097">
        <v>1.0432800921034784</v>
      </c>
      <c r="D2203" s="1097">
        <v>1.0053307731485537</v>
      </c>
      <c r="E2203" s="1097">
        <v>1.0073189326610381</v>
      </c>
      <c r="F2203" s="1097">
        <v>1.0147145133869009</v>
      </c>
      <c r="G2203" s="1097">
        <v>1.0049103538168243</v>
      </c>
      <c r="H2203" s="1097">
        <v>0.9602874708947059</v>
      </c>
      <c r="I2203" s="1097">
        <v>1.0040232287315736</v>
      </c>
      <c r="K2203">
        <v>5.1766962046211296</v>
      </c>
      <c r="L2203">
        <v>0</v>
      </c>
      <c r="M2203">
        <v>3.3186804978210149E-3</v>
      </c>
      <c r="N2203">
        <v>0.29420556359866162</v>
      </c>
      <c r="O2203">
        <v>0.14382362880888069</v>
      </c>
      <c r="P2203">
        <v>2.0610685071455342E-2</v>
      </c>
      <c r="Q2203">
        <v>1.2546797915932752E-3</v>
      </c>
      <c r="R2203">
        <v>3.3130289521135373E-3</v>
      </c>
      <c r="S2203">
        <v>0.44279608233008705</v>
      </c>
      <c r="T2203">
        <v>4.0531893258979421</v>
      </c>
      <c r="U2203">
        <v>0</v>
      </c>
      <c r="V2203">
        <v>1.1304767209823813E-2</v>
      </c>
      <c r="W2203">
        <v>0.17438333014644131</v>
      </c>
      <c r="X2203">
        <v>2.5770920555486701E-2</v>
      </c>
      <c r="Y2203">
        <v>9.3628727564678271E-3</v>
      </c>
    </row>
    <row r="2204" spans="1:25" x14ac:dyDescent="0.25">
      <c r="A2204" s="1093"/>
      <c r="B2204" s="1452">
        <v>1954</v>
      </c>
      <c r="C2204" s="1097">
        <v>0.98659151445016935</v>
      </c>
      <c r="D2204" s="1097">
        <v>0.99585398910852863</v>
      </c>
      <c r="E2204" s="1097">
        <v>0.99485917768909515</v>
      </c>
      <c r="F2204" s="1097">
        <v>1.0130265065857635</v>
      </c>
      <c r="G2204" s="1097">
        <v>0.97642019111944034</v>
      </c>
      <c r="H2204" s="1097">
        <v>0.98369339622856522</v>
      </c>
      <c r="I2204" s="1097">
        <v>0.97565269539153832</v>
      </c>
      <c r="K2204">
        <v>5.2347776097642225</v>
      </c>
      <c r="L2204">
        <v>0</v>
      </c>
      <c r="M2204">
        <v>3.6983537893897343E-3</v>
      </c>
      <c r="N2204">
        <v>0.31599369316844295</v>
      </c>
      <c r="O2204">
        <v>0.15276761332302979</v>
      </c>
      <c r="P2204">
        <v>2.0473071429522028E-2</v>
      </c>
      <c r="Q2204">
        <v>1.3176722465203352E-3</v>
      </c>
      <c r="R2204">
        <v>3.6921953078869509E-3</v>
      </c>
      <c r="S2204">
        <v>0.45960061116775874</v>
      </c>
      <c r="T2204">
        <v>4.0480306530658856</v>
      </c>
      <c r="U2204">
        <v>0</v>
      </c>
      <c r="V2204">
        <v>1.1304767209823804E-2</v>
      </c>
      <c r="W2204">
        <v>0.18888049264385462</v>
      </c>
      <c r="X2204">
        <v>2.598076816502512E-2</v>
      </c>
      <c r="Y2204">
        <v>1.043442582586534E-2</v>
      </c>
    </row>
    <row r="2205" spans="1:25" x14ac:dyDescent="0.25">
      <c r="A2205" s="1093"/>
      <c r="B2205" s="1452">
        <v>1955</v>
      </c>
      <c r="C2205" s="1097">
        <v>0.99234510859545533</v>
      </c>
      <c r="D2205" s="1097">
        <v>1.0282539767139192</v>
      </c>
      <c r="E2205" s="1097">
        <v>1.0063489310350227</v>
      </c>
      <c r="F2205" s="1097">
        <v>0.99010059013170193</v>
      </c>
      <c r="G2205" s="1097">
        <v>0.962034984952441</v>
      </c>
      <c r="H2205" s="1097">
        <v>0.99408632218874005</v>
      </c>
      <c r="I2205" s="1097">
        <v>0.96368360055946556</v>
      </c>
      <c r="K2205">
        <v>5.104243776475518</v>
      </c>
      <c r="L2205">
        <v>0</v>
      </c>
      <c r="M2205">
        <v>3.499863385860052E-3</v>
      </c>
      <c r="N2205">
        <v>0.30938296161616435</v>
      </c>
      <c r="O2205">
        <v>0.14624008765388108</v>
      </c>
      <c r="P2205">
        <v>2.0142958324721554E-2</v>
      </c>
      <c r="Q2205">
        <v>1.3061559968189571E-3</v>
      </c>
      <c r="R2205">
        <v>3.4939630469885789E-3</v>
      </c>
      <c r="S2205">
        <v>0.44187279318072709</v>
      </c>
      <c r="T2205">
        <v>3.9549913321114136</v>
      </c>
      <c r="U2205">
        <v>0</v>
      </c>
      <c r="V2205">
        <v>1.1304767209823824E-2</v>
      </c>
      <c r="W2205">
        <v>0.18349907749779995</v>
      </c>
      <c r="X2205">
        <v>2.5635336900785722E-2</v>
      </c>
      <c r="Y2205">
        <v>9.8742063222493695E-3</v>
      </c>
    </row>
    <row r="2206" spans="1:25" x14ac:dyDescent="0.25">
      <c r="A2206" s="1093"/>
      <c r="B2206" s="1452">
        <v>1956</v>
      </c>
      <c r="C2206" s="1097">
        <v>1.0130616190067105</v>
      </c>
      <c r="D2206" s="1097">
        <v>1.0086396266022701</v>
      </c>
      <c r="E2206" s="1097">
        <v>0.99139531361658983</v>
      </c>
      <c r="F2206" s="1097">
        <v>1.0083387301074906</v>
      </c>
      <c r="G2206" s="1097">
        <v>0.99829117122648015</v>
      </c>
      <c r="H2206" s="1097">
        <v>0.98275135027455029</v>
      </c>
      <c r="I2206" s="1097">
        <v>0.99918925611602027</v>
      </c>
      <c r="K2206">
        <v>5.1860035934807085</v>
      </c>
      <c r="L2206">
        <v>0</v>
      </c>
      <c r="M2206">
        <v>3.5894781262425491E-3</v>
      </c>
      <c r="N2206">
        <v>0.30355517896147893</v>
      </c>
      <c r="O2206">
        <v>0.14742939363345625</v>
      </c>
      <c r="P2206">
        <v>2.0317877933755918E-2</v>
      </c>
      <c r="Q2206">
        <v>1.2729104457648212E-3</v>
      </c>
      <c r="R2206">
        <v>3.5834674455365412E-3</v>
      </c>
      <c r="S2206">
        <v>0.45530744952964874</v>
      </c>
      <c r="T2206">
        <v>4.0297383470931454</v>
      </c>
      <c r="U2206">
        <v>0</v>
      </c>
      <c r="V2206">
        <v>1.1304767209823818E-2</v>
      </c>
      <c r="W2206">
        <v>0.18187283576838906</v>
      </c>
      <c r="X2206">
        <v>2.5083691000063035E-2</v>
      </c>
      <c r="Y2206">
        <v>1.0127152585883479E-2</v>
      </c>
    </row>
    <row r="2207" spans="1:25" x14ac:dyDescent="0.25">
      <c r="A2207" s="1093"/>
      <c r="B2207" s="1452">
        <v>1957</v>
      </c>
      <c r="C2207" s="1097">
        <v>0.96454801726405481</v>
      </c>
      <c r="D2207" s="1097">
        <v>0.99666218204993928</v>
      </c>
      <c r="E2207" s="1097">
        <v>1.0060177007060793</v>
      </c>
      <c r="F2207" s="1097">
        <v>0.99267502496229532</v>
      </c>
      <c r="G2207" s="1097">
        <v>1.0140961816760785</v>
      </c>
      <c r="H2207" s="1097">
        <v>1.0089162429861835</v>
      </c>
      <c r="I2207" s="1097">
        <v>1.0402074959598901</v>
      </c>
      <c r="K2207">
        <v>5.2082114948681877</v>
      </c>
      <c r="L2207">
        <v>0</v>
      </c>
      <c r="M2207">
        <v>3.7125394289962347E-3</v>
      </c>
      <c r="N2207">
        <v>0.327870991715358</v>
      </c>
      <c r="O2207">
        <v>0.15274995128097049</v>
      </c>
      <c r="P2207">
        <v>2.044054868792055E-2</v>
      </c>
      <c r="Q2207">
        <v>1.3602918478584369E-3</v>
      </c>
      <c r="R2207">
        <v>3.7063885096382523E-3</v>
      </c>
      <c r="S2207">
        <v>0.49775645500164256</v>
      </c>
      <c r="T2207">
        <v>3.9653161639570378</v>
      </c>
      <c r="U2207">
        <v>0</v>
      </c>
      <c r="V2207">
        <v>1.1304767209823811E-2</v>
      </c>
      <c r="W2207">
        <v>0.19450792724568708</v>
      </c>
      <c r="X2207">
        <v>2.6436011943634589E-2</v>
      </c>
      <c r="Y2207">
        <v>1.047453689761421E-2</v>
      </c>
    </row>
    <row r="2208" spans="1:25" x14ac:dyDescent="0.25">
      <c r="A2208" s="1093"/>
      <c r="B2208" s="1452">
        <v>1958</v>
      </c>
      <c r="C2208" s="1097">
        <v>1.0056210588526726</v>
      </c>
      <c r="D2208" s="1097">
        <v>0.97644968275959731</v>
      </c>
      <c r="E2208" s="1097">
        <v>0.98363779739198043</v>
      </c>
      <c r="F2208" s="1097">
        <v>1.0196369491156643</v>
      </c>
      <c r="G2208" s="1097">
        <v>0.96237002966597218</v>
      </c>
      <c r="H2208" s="1097">
        <v>1.0051527750749056</v>
      </c>
      <c r="I2208" s="1097">
        <v>1.036029510630029</v>
      </c>
      <c r="K2208">
        <v>5.2949176625871051</v>
      </c>
      <c r="L2208">
        <v>0</v>
      </c>
      <c r="M2208">
        <v>3.8509516147882429E-3</v>
      </c>
      <c r="N2208">
        <v>0.31827821323925704</v>
      </c>
      <c r="O2208">
        <v>0.15236648921614326</v>
      </c>
      <c r="P2208">
        <v>2.0551560647624499E-2</v>
      </c>
      <c r="Q2208">
        <v>1.2903970992995649E-3</v>
      </c>
      <c r="R2208">
        <v>3.8447165526560483E-3</v>
      </c>
      <c r="S2208">
        <v>0.48754303965791823</v>
      </c>
      <c r="T2208">
        <v>4.0758896249580179</v>
      </c>
      <c r="U2208">
        <v>0</v>
      </c>
      <c r="V2208">
        <v>1.1304767209823818E-2</v>
      </c>
      <c r="W2208">
        <v>0.19170505192311502</v>
      </c>
      <c r="X2208">
        <v>2.512929119000816E-2</v>
      </c>
      <c r="Y2208">
        <v>1.0865462508028995E-2</v>
      </c>
    </row>
    <row r="2209" spans="1:25" x14ac:dyDescent="0.25">
      <c r="A2209" s="1093"/>
      <c r="B2209" s="1452">
        <v>1959</v>
      </c>
      <c r="C2209" s="1097">
        <v>1.0156336424008536</v>
      </c>
      <c r="D2209" s="1097">
        <v>0.96810415765876012</v>
      </c>
      <c r="E2209" s="1097">
        <v>1.0065020982470654</v>
      </c>
      <c r="F2209" s="1097">
        <v>0.99698973082749998</v>
      </c>
      <c r="G2209" s="1097">
        <v>1.0066026713907461</v>
      </c>
      <c r="H2209" s="1097">
        <v>1.028165869256032</v>
      </c>
      <c r="I2209" s="1097">
        <v>0.99631843694159861</v>
      </c>
      <c r="K2209">
        <v>5.1732618160867325</v>
      </c>
      <c r="L2209">
        <v>0</v>
      </c>
      <c r="M2209">
        <v>3.6471470067100924E-3</v>
      </c>
      <c r="N2209">
        <v>0.32257059153355694</v>
      </c>
      <c r="O2209">
        <v>0.14738805590617443</v>
      </c>
      <c r="P2209">
        <v>2.0356722337465709E-2</v>
      </c>
      <c r="Q2209">
        <v>1.307521400372822E-3</v>
      </c>
      <c r="R2209">
        <v>3.6412431785188865E-3</v>
      </c>
      <c r="S2209">
        <v>0.46064358122690457</v>
      </c>
      <c r="T2209">
        <v>3.9824911301418209</v>
      </c>
      <c r="U2209">
        <v>0</v>
      </c>
      <c r="V2209">
        <v>1.1304767209823811E-2</v>
      </c>
      <c r="W2209">
        <v>0.19130111437342792</v>
      </c>
      <c r="X2209">
        <v>2.5613804567115539E-2</v>
      </c>
      <c r="Y2209">
        <v>1.029043121826013E-2</v>
      </c>
    </row>
    <row r="2210" spans="1:25" x14ac:dyDescent="0.25">
      <c r="A2210" s="1093"/>
      <c r="B2210" s="1452">
        <v>1960</v>
      </c>
      <c r="C2210" s="1097">
        <v>1.0076761078159471</v>
      </c>
      <c r="D2210" s="1097">
        <v>0.99922146242367882</v>
      </c>
      <c r="E2210" s="1097">
        <v>1.005898071581079</v>
      </c>
      <c r="F2210" s="1097">
        <v>0.98855131278194686</v>
      </c>
      <c r="G2210" s="1097">
        <v>1.0031205560787768</v>
      </c>
      <c r="H2210" s="1097">
        <v>1.0014163211192839</v>
      </c>
      <c r="I2210" s="1097">
        <v>0.9822316965770127</v>
      </c>
      <c r="K2210">
        <v>5.1028484480615459</v>
      </c>
      <c r="L2210">
        <v>0</v>
      </c>
      <c r="M2210">
        <v>3.5098832454232057E-3</v>
      </c>
      <c r="N2210">
        <v>0.30985770304978077</v>
      </c>
      <c r="O2210">
        <v>0.14545891404175554</v>
      </c>
      <c r="P2210">
        <v>2.0130499130422551E-2</v>
      </c>
      <c r="Q2210">
        <v>1.3006041000685688E-3</v>
      </c>
      <c r="R2210">
        <v>3.5040001359847158E-3</v>
      </c>
      <c r="S2210">
        <v>0.44675041919784575</v>
      </c>
      <c r="T2210">
        <v>3.9488584870519112</v>
      </c>
      <c r="U2210">
        <v>0</v>
      </c>
      <c r="V2210">
        <v>1.130476720982381E-2</v>
      </c>
      <c r="W2210">
        <v>0.18383643171237068</v>
      </c>
      <c r="X2210">
        <v>2.5453933774957728E-2</v>
      </c>
      <c r="Y2210">
        <v>9.9025719020479457E-3</v>
      </c>
    </row>
    <row r="2211" spans="1:25" x14ac:dyDescent="0.25">
      <c r="A2211" s="1093"/>
      <c r="B2211" s="1452">
        <v>1961</v>
      </c>
      <c r="C2211" s="1097">
        <v>0.98360641730135501</v>
      </c>
      <c r="D2211" s="1097">
        <v>0.99605811946895839</v>
      </c>
      <c r="E2211" s="1097">
        <v>0.99677157201062683</v>
      </c>
      <c r="F2211" s="1097">
        <v>1.0283733333557494</v>
      </c>
      <c r="G2211" s="1097">
        <v>1.0041092806373189</v>
      </c>
      <c r="H2211" s="1097">
        <v>1.0231231029660313</v>
      </c>
      <c r="I2211" s="1097">
        <v>0.99918340527844107</v>
      </c>
      <c r="K2211">
        <v>5.3564826999435571</v>
      </c>
      <c r="L2211">
        <v>0</v>
      </c>
      <c r="M2211">
        <v>3.9005734280073462E-3</v>
      </c>
      <c r="N2211">
        <v>0.33519562385143348</v>
      </c>
      <c r="O2211">
        <v>0.15548412445696452</v>
      </c>
      <c r="P2211">
        <v>2.0898484615420165E-2</v>
      </c>
      <c r="Q2211">
        <v>1.3237364123552791E-3</v>
      </c>
      <c r="R2211">
        <v>3.8944215724654387E-3</v>
      </c>
      <c r="S2211">
        <v>0.48581914649919988</v>
      </c>
      <c r="T2211">
        <v>4.1091088151448201</v>
      </c>
      <c r="U2211">
        <v>0</v>
      </c>
      <c r="V2211">
        <v>1.1304767209823834E-2</v>
      </c>
      <c r="W2211">
        <v>0.20009861976405366</v>
      </c>
      <c r="X2211">
        <v>2.6249601156211992E-2</v>
      </c>
      <c r="Y2211">
        <v>1.1005932688809075E-2</v>
      </c>
    </row>
    <row r="2212" spans="1:25" x14ac:dyDescent="0.25">
      <c r="A2212" s="1093"/>
      <c r="B2212" s="1452">
        <v>1962</v>
      </c>
      <c r="C2212" s="1097">
        <v>0.99820838327730699</v>
      </c>
      <c r="D2212" s="1097">
        <v>0.96945288262791174</v>
      </c>
      <c r="E2212" s="1097">
        <v>0.97864896578861105</v>
      </c>
      <c r="F2212" s="1097">
        <v>1.0209816684560789</v>
      </c>
      <c r="G2212" s="1097">
        <v>0.99772419433426329</v>
      </c>
      <c r="H2212" s="1097">
        <v>1.0206036602737329</v>
      </c>
      <c r="I2212" s="1097">
        <v>1.0067968112032295</v>
      </c>
      <c r="K2212">
        <v>5.3092633939439704</v>
      </c>
      <c r="L2212">
        <v>0</v>
      </c>
      <c r="M2212">
        <v>3.9973874736989549E-3</v>
      </c>
      <c r="N2212">
        <v>0.32553528630093714</v>
      </c>
      <c r="O2212">
        <v>0.15428689448529448</v>
      </c>
      <c r="P2212">
        <v>2.0473994539857401E-2</v>
      </c>
      <c r="Q2212">
        <v>1.298094975167152E-3</v>
      </c>
      <c r="R2212">
        <v>3.991021681223372E-3</v>
      </c>
      <c r="S2212">
        <v>0.48153429735050407</v>
      </c>
      <c r="T2212">
        <v>4.0819101560161721</v>
      </c>
      <c r="U2212">
        <v>0</v>
      </c>
      <c r="V2212">
        <v>1.1304767209823822E-2</v>
      </c>
      <c r="W2212">
        <v>0.19674693843928967</v>
      </c>
      <c r="X2212">
        <v>2.4900398448167261E-2</v>
      </c>
      <c r="Y2212">
        <v>1.1278931971228407E-2</v>
      </c>
    </row>
    <row r="2213" spans="1:25" x14ac:dyDescent="0.25">
      <c r="A2213" s="1093"/>
      <c r="B2213" s="1452">
        <v>1963</v>
      </c>
      <c r="C2213" s="1097">
        <v>1.0238796214277117</v>
      </c>
      <c r="D2213" s="1097">
        <v>1.0081246717403689</v>
      </c>
      <c r="E2213" s="1097">
        <v>0.9835634673783008</v>
      </c>
      <c r="F2213" s="1097">
        <v>1.0222482432352666</v>
      </c>
      <c r="G2213" s="1097">
        <v>1.0383786532536214</v>
      </c>
      <c r="H2213" s="1097">
        <v>1.0051248686432519</v>
      </c>
      <c r="I2213" s="1097">
        <v>0.96937495302755039</v>
      </c>
      <c r="K2213">
        <v>5.2445316234420787</v>
      </c>
      <c r="L2213">
        <v>0</v>
      </c>
      <c r="M2213">
        <v>3.744316267100463E-3</v>
      </c>
      <c r="N2213">
        <v>0.30939791782696047</v>
      </c>
      <c r="O2213">
        <v>0.14813102002926298</v>
      </c>
      <c r="P2213">
        <v>2.0411552169732606E-2</v>
      </c>
      <c r="Q2213">
        <v>1.2512241894340652E-3</v>
      </c>
      <c r="R2213">
        <v>3.738269151048411E-3</v>
      </c>
      <c r="S2213">
        <v>0.4461980170322728</v>
      </c>
      <c r="T2213">
        <v>4.08633760722664</v>
      </c>
      <c r="U2213">
        <v>0</v>
      </c>
      <c r="V2213">
        <v>1.1304767209823815E-2</v>
      </c>
      <c r="W2213">
        <v>0.18636574757532542</v>
      </c>
      <c r="X2213">
        <v>2.4575183274470187E-2</v>
      </c>
      <c r="Y2213">
        <v>1.056463402421115E-2</v>
      </c>
    </row>
    <row r="2214" spans="1:25" x14ac:dyDescent="0.25">
      <c r="A2214" s="1093"/>
      <c r="B2214" s="1452">
        <v>1964</v>
      </c>
      <c r="C2214" s="1097">
        <v>0.9813000675551995</v>
      </c>
      <c r="D2214" s="1097">
        <v>1.0036132103973652</v>
      </c>
      <c r="E2214" s="1097">
        <v>1.0004531579780236</v>
      </c>
      <c r="F2214" s="1097">
        <v>0.99523142139896159</v>
      </c>
      <c r="G2214" s="1097">
        <v>1.0045199200700161</v>
      </c>
      <c r="H2214" s="1097">
        <v>0.9656646274688705</v>
      </c>
      <c r="I2214" s="1097">
        <v>0.96990261593784244</v>
      </c>
      <c r="K2214">
        <v>5.1335525317328958</v>
      </c>
      <c r="L2214">
        <v>0</v>
      </c>
      <c r="M2214">
        <v>3.5331649474000266E-3</v>
      </c>
      <c r="N2214">
        <v>0.30690697026992614</v>
      </c>
      <c r="O2214">
        <v>0.15026794373518781</v>
      </c>
      <c r="P2214">
        <v>2.0182020068489306E-2</v>
      </c>
      <c r="Q2214">
        <v>1.3270273567493288E-3</v>
      </c>
      <c r="R2214">
        <v>3.527064712714992E-3</v>
      </c>
      <c r="S2214">
        <v>0.44858753068747359</v>
      </c>
      <c r="T2214">
        <v>3.9762221392589154</v>
      </c>
      <c r="U2214">
        <v>0</v>
      </c>
      <c r="V2214">
        <v>1.1304767209823804E-2</v>
      </c>
      <c r="W2214">
        <v>0.18275566002141089</v>
      </c>
      <c r="X2214">
        <v>2.6036819202821047E-2</v>
      </c>
      <c r="Y2214">
        <v>9.9677541567848426E-3</v>
      </c>
    </row>
    <row r="2215" spans="1:25" x14ac:dyDescent="0.25">
      <c r="A2215" s="1093"/>
      <c r="B2215" s="1452">
        <v>1965</v>
      </c>
      <c r="C2215" s="1097">
        <v>1.0144845807761942</v>
      </c>
      <c r="D2215" s="1097">
        <v>1.0398061406619594</v>
      </c>
      <c r="E2215" s="1097">
        <v>1.0238647535819068</v>
      </c>
      <c r="F2215" s="1097">
        <v>1.0088713931591111</v>
      </c>
      <c r="G2215" s="1097">
        <v>1.0325532853259873</v>
      </c>
      <c r="H2215" s="1097">
        <v>1.0006080628747431</v>
      </c>
      <c r="I2215" s="1097">
        <v>0.99386773566090192</v>
      </c>
      <c r="K2215">
        <v>5.1924641218087588</v>
      </c>
      <c r="L2215">
        <v>0</v>
      </c>
      <c r="M2215">
        <v>3.3686315447932816E-3</v>
      </c>
      <c r="N2215">
        <v>0.31363987217369954</v>
      </c>
      <c r="O2215">
        <v>0.14463325283940132</v>
      </c>
      <c r="P2215">
        <v>2.079292617538982E-2</v>
      </c>
      <c r="Q2215">
        <v>1.2910074974233001E-3</v>
      </c>
      <c r="R2215">
        <v>3.3630942642433452E-3</v>
      </c>
      <c r="S2215">
        <v>0.45308042456777181</v>
      </c>
      <c r="T2215">
        <v>4.0277690933278301</v>
      </c>
      <c r="U2215">
        <v>0</v>
      </c>
      <c r="V2215">
        <v>1.1304767209823822E-2</v>
      </c>
      <c r="W2215">
        <v>0.18385678459695645</v>
      </c>
      <c r="X2215">
        <v>2.6597169550154322E-2</v>
      </c>
      <c r="Y2215">
        <v>9.5043611508524271E-3</v>
      </c>
    </row>
    <row r="2216" spans="1:25" x14ac:dyDescent="0.25">
      <c r="A2216" s="1093"/>
      <c r="B2216" s="1452">
        <v>1966</v>
      </c>
      <c r="C2216" s="1097">
        <v>1.0176831531855899</v>
      </c>
      <c r="D2216" s="1097">
        <v>0.97609078857549825</v>
      </c>
      <c r="E2216" s="1097">
        <v>0.98597241618274345</v>
      </c>
      <c r="F2216" s="1097">
        <v>0.97182068095614804</v>
      </c>
      <c r="G2216" s="1097">
        <v>0.99918763535686284</v>
      </c>
      <c r="H2216" s="1097">
        <v>0.97803228172264156</v>
      </c>
      <c r="I2216" s="1097">
        <v>1.0291471718938798</v>
      </c>
      <c r="K2216">
        <v>5.016879539557106</v>
      </c>
      <c r="L2216">
        <v>0</v>
      </c>
      <c r="M2216">
        <v>3.5125296499830729E-3</v>
      </c>
      <c r="N2216">
        <v>0.29228823165961632</v>
      </c>
      <c r="O2216">
        <v>0.14345843568278366</v>
      </c>
      <c r="P2216">
        <v>1.9578701221263487E-2</v>
      </c>
      <c r="Q2216">
        <v>1.2778692624011996E-3</v>
      </c>
      <c r="R2216">
        <v>3.5063977330606704E-3</v>
      </c>
      <c r="S2216">
        <v>0.45473261148450378</v>
      </c>
      <c r="T2216">
        <v>3.8844623188516034</v>
      </c>
      <c r="U2216">
        <v>0</v>
      </c>
      <c r="V2216">
        <v>1.1304767209823811E-2</v>
      </c>
      <c r="W2216">
        <v>0.17577033636119332</v>
      </c>
      <c r="X2216">
        <v>2.4103052046407631E-2</v>
      </c>
      <c r="Y2216">
        <v>9.9093476944324705E-3</v>
      </c>
    </row>
    <row r="2217" spans="1:25" x14ac:dyDescent="0.25">
      <c r="A2217" s="1093"/>
      <c r="B2217" s="1452">
        <v>1967</v>
      </c>
      <c r="C2217" s="1097">
        <v>1.0334787184575831</v>
      </c>
      <c r="D2217" s="1097">
        <v>1.0286891890044514</v>
      </c>
      <c r="E2217" s="1097">
        <v>0.99898389814027611</v>
      </c>
      <c r="F2217" s="1097">
        <v>1.0244550632205867</v>
      </c>
      <c r="G2217" s="1097">
        <v>1.0002475391942312</v>
      </c>
      <c r="H2217" s="1097">
        <v>0.99166932193815516</v>
      </c>
      <c r="I2217" s="1097">
        <v>1.0318790378691174</v>
      </c>
      <c r="K2217">
        <v>5.2605181432198131</v>
      </c>
      <c r="L2217">
        <v>0</v>
      </c>
      <c r="M2217">
        <v>3.5221636678631008E-3</v>
      </c>
      <c r="N2217">
        <v>0.30465072598379817</v>
      </c>
      <c r="O2217">
        <v>0.14546818853475843</v>
      </c>
      <c r="P2217">
        <v>2.077521815538115E-2</v>
      </c>
      <c r="Q2217">
        <v>1.2460804489358964E-3</v>
      </c>
      <c r="R2217">
        <v>3.5164105478992214E-3</v>
      </c>
      <c r="S2217">
        <v>0.46703506628813635</v>
      </c>
      <c r="T2217">
        <v>4.0931675994211352</v>
      </c>
      <c r="U2217">
        <v>0</v>
      </c>
      <c r="V2217">
        <v>1.1304767209823815E-2</v>
      </c>
      <c r="W2217">
        <v>0.18159239374442804</v>
      </c>
      <c r="X2217">
        <v>2.5346211879769494E-2</v>
      </c>
      <c r="Y2217">
        <v>9.93764467360847E-3</v>
      </c>
    </row>
    <row r="2218" spans="1:25" x14ac:dyDescent="0.25">
      <c r="A2218" s="1093"/>
      <c r="B2218" s="1452">
        <v>1968</v>
      </c>
      <c r="C2218" s="1097">
        <v>1.0103358851336135</v>
      </c>
      <c r="D2218" s="1097">
        <v>1.0015418324821628</v>
      </c>
      <c r="E2218" s="1097">
        <v>1.0003110057902296</v>
      </c>
      <c r="F2218" s="1097">
        <v>0.96828260538553312</v>
      </c>
      <c r="G2218" s="1097">
        <v>1.0120198883949441</v>
      </c>
      <c r="H2218" s="1097">
        <v>0.9827235784335292</v>
      </c>
      <c r="I2218" s="1097">
        <v>0.98641854067847878</v>
      </c>
      <c r="K2218">
        <v>4.9847412653720475</v>
      </c>
      <c r="L2218">
        <v>0</v>
      </c>
      <c r="M2218">
        <v>3.4016697563204836E-3</v>
      </c>
      <c r="N2218">
        <v>0.29535518760130647</v>
      </c>
      <c r="O2218">
        <v>0.14211860509252547</v>
      </c>
      <c r="P2218">
        <v>1.9634228807410014E-2</v>
      </c>
      <c r="Q2218">
        <v>1.2897987142174627E-3</v>
      </c>
      <c r="R2218">
        <v>3.3957381608753032E-3</v>
      </c>
      <c r="S2218">
        <v>0.43628797357481303</v>
      </c>
      <c r="T2218">
        <v>3.8685715159951588</v>
      </c>
      <c r="U2218">
        <v>0</v>
      </c>
      <c r="V2218">
        <v>1.1304767209823811E-2</v>
      </c>
      <c r="W2218">
        <v>0.1758937476603846</v>
      </c>
      <c r="X2218">
        <v>2.4694757016874406E-2</v>
      </c>
      <c r="Y2218">
        <v>9.5966152949779528E-3</v>
      </c>
    </row>
    <row r="2219" spans="1:25" x14ac:dyDescent="0.25">
      <c r="A2219" s="1093"/>
      <c r="B2219" s="1452">
        <v>1969</v>
      </c>
      <c r="C2219" s="1097">
        <v>1.0071003268015057</v>
      </c>
      <c r="D2219" s="1097">
        <v>1.0168117350222956</v>
      </c>
      <c r="E2219" s="1097">
        <v>0.9638842249149312</v>
      </c>
      <c r="F2219" s="1097">
        <v>1.016575890240923</v>
      </c>
      <c r="G2219" s="1097">
        <v>0.98988200921950575</v>
      </c>
      <c r="H2219" s="1097">
        <v>0.96795717116344715</v>
      </c>
      <c r="I2219" s="1097">
        <v>0.99866644321332421</v>
      </c>
      <c r="K2219">
        <v>5.2158562013469023</v>
      </c>
      <c r="L2219">
        <v>0</v>
      </c>
      <c r="M2219">
        <v>3.7862185738959512E-3</v>
      </c>
      <c r="N2219">
        <v>0.29508483767741495</v>
      </c>
      <c r="O2219">
        <v>0.14979909989031973</v>
      </c>
      <c r="P2219">
        <v>2.0067682188911744E-2</v>
      </c>
      <c r="Q2219">
        <v>1.2461553631375986E-3</v>
      </c>
      <c r="R2219">
        <v>3.7798336169857314E-3</v>
      </c>
      <c r="S2219">
        <v>0.45741046705013749</v>
      </c>
      <c r="T2219">
        <v>4.0662055719796424</v>
      </c>
      <c r="U2219">
        <v>0</v>
      </c>
      <c r="V2219">
        <v>1.1304767209823815E-2</v>
      </c>
      <c r="W2219">
        <v>0.18016745125050673</v>
      </c>
      <c r="X2219">
        <v>2.3894455315672459E-2</v>
      </c>
      <c r="Y2219">
        <v>1.0682098378246872E-2</v>
      </c>
    </row>
    <row r="2220" spans="1:25" x14ac:dyDescent="0.25">
      <c r="A2220" s="1093"/>
      <c r="B2220" s="1452">
        <v>1970</v>
      </c>
      <c r="C2220" s="1097">
        <v>1.0009540943209905</v>
      </c>
      <c r="D2220" s="1097">
        <v>1.0099448463474296</v>
      </c>
      <c r="E2220" s="1097">
        <v>0.9916194847784322</v>
      </c>
      <c r="F2220" s="1097">
        <v>0.98440271961416326</v>
      </c>
      <c r="G2220" s="1097">
        <v>0.99091195760703643</v>
      </c>
      <c r="H2220" s="1097">
        <v>1.0281266151657946</v>
      </c>
      <c r="I2220" s="1097">
        <v>0.97163317652487646</v>
      </c>
      <c r="K2220">
        <v>5.0956995150044966</v>
      </c>
      <c r="L2220">
        <v>0</v>
      </c>
      <c r="M2220">
        <v>3.7068950637250053E-3</v>
      </c>
      <c r="N2220">
        <v>0.31370433446483303</v>
      </c>
      <c r="O2220">
        <v>0.14558923203669261</v>
      </c>
      <c r="P2220">
        <v>1.9852056664678559E-2</v>
      </c>
      <c r="Q2220">
        <v>1.2878900545380291E-3</v>
      </c>
      <c r="R2220">
        <v>3.700817689876052E-3</v>
      </c>
      <c r="S2220">
        <v>0.44716637241822293</v>
      </c>
      <c r="T2220">
        <v>3.9340523386696282</v>
      </c>
      <c r="U2220">
        <v>0</v>
      </c>
      <c r="V2220">
        <v>1.1304767209823824E-2</v>
      </c>
      <c r="W2220">
        <v>0.18792498736870905</v>
      </c>
      <c r="X2220">
        <v>2.4364820155561552E-2</v>
      </c>
      <c r="Y2220">
        <v>1.0458793335654264E-2</v>
      </c>
    </row>
    <row r="2221" spans="1:25" x14ac:dyDescent="0.25">
      <c r="A2221" s="1093"/>
      <c r="B2221" s="1452">
        <v>1971</v>
      </c>
      <c r="C2221" s="1097">
        <v>1.0250522544371325</v>
      </c>
      <c r="D2221" s="1097">
        <v>1.0064080818156171</v>
      </c>
      <c r="E2221" s="1097">
        <v>0.97361446985081979</v>
      </c>
      <c r="F2221" s="1097">
        <v>1.0334726228587456</v>
      </c>
      <c r="G2221" s="1097">
        <v>1.0400853084422965</v>
      </c>
      <c r="H2221" s="1097">
        <v>1.0039008249326069</v>
      </c>
      <c r="I2221" s="1097">
        <v>1.0030323881913439</v>
      </c>
      <c r="K2221">
        <v>5.31341605649125</v>
      </c>
      <c r="L2221">
        <v>0</v>
      </c>
      <c r="M2221">
        <v>3.8587436786803957E-3</v>
      </c>
      <c r="N2221">
        <v>0.30958140812547441</v>
      </c>
      <c r="O2221">
        <v>0.14996653420641393</v>
      </c>
      <c r="P2221">
        <v>2.0549004846647866E-2</v>
      </c>
      <c r="Q2221">
        <v>1.239881290104945E-3</v>
      </c>
      <c r="R2221">
        <v>3.8525718200440764E-3</v>
      </c>
      <c r="S2221">
        <v>0.46534698773688665</v>
      </c>
      <c r="T2221">
        <v>4.1325098616046363</v>
      </c>
      <c r="U2221">
        <v>0</v>
      </c>
      <c r="V2221">
        <v>1.1304767209823824E-2</v>
      </c>
      <c r="W2221">
        <v>0.1877529425561669</v>
      </c>
      <c r="X2221">
        <v>2.4283178680340679E-2</v>
      </c>
      <c r="Y2221">
        <v>1.0887662093388853E-2</v>
      </c>
    </row>
    <row r="2222" spans="1:25" x14ac:dyDescent="0.25">
      <c r="A2222" s="1093"/>
      <c r="B2222" s="1452">
        <v>1972</v>
      </c>
      <c r="C2222" s="1097">
        <v>1.0131622479058391</v>
      </c>
      <c r="D2222" s="1097">
        <v>0.99824224176494469</v>
      </c>
      <c r="E2222" s="1097">
        <v>0.99475504672768078</v>
      </c>
      <c r="F2222" s="1097">
        <v>1.0198586513821679</v>
      </c>
      <c r="G2222" s="1097">
        <v>1.0004374850758371</v>
      </c>
      <c r="H2222" s="1097">
        <v>0.98942774184439397</v>
      </c>
      <c r="I2222" s="1097">
        <v>1.0098713580127205</v>
      </c>
      <c r="K2222">
        <v>5.2581208868427707</v>
      </c>
      <c r="L2222">
        <v>0</v>
      </c>
      <c r="M2222">
        <v>3.6440524385911778E-3</v>
      </c>
      <c r="N2222">
        <v>0.31126446755332005</v>
      </c>
      <c r="O2222">
        <v>0.14962398217969478</v>
      </c>
      <c r="P2222">
        <v>2.0627558828113218E-2</v>
      </c>
      <c r="Q2222">
        <v>1.2817719957564503E-3</v>
      </c>
      <c r="R2222">
        <v>3.6380598968387481E-3</v>
      </c>
      <c r="S2222">
        <v>0.46673947736932797</v>
      </c>
      <c r="T2222">
        <v>4.0753451128809184</v>
      </c>
      <c r="U2222">
        <v>0</v>
      </c>
      <c r="V2222">
        <v>1.1304767209823811E-2</v>
      </c>
      <c r="W2222">
        <v>0.18606680999927419</v>
      </c>
      <c r="X2222">
        <v>2.5591496347094969E-2</v>
      </c>
      <c r="Y2222">
        <v>1.0281435021200006E-2</v>
      </c>
    </row>
    <row r="2223" spans="1:25" x14ac:dyDescent="0.25">
      <c r="A2223" s="1093"/>
      <c r="B2223" s="1452">
        <v>1973</v>
      </c>
      <c r="C2223" s="1097">
        <v>0.96898429657097018</v>
      </c>
      <c r="D2223" s="1097">
        <v>1.0034094729279972</v>
      </c>
      <c r="E2223" s="1097">
        <v>1.0028016770606356</v>
      </c>
      <c r="F2223" s="1097">
        <v>0.99057472443883465</v>
      </c>
      <c r="G2223" s="1097">
        <v>0.99393514231861357</v>
      </c>
      <c r="H2223" s="1097">
        <v>0.98508211730237005</v>
      </c>
      <c r="I2223" s="1097">
        <v>1.0143141241726752</v>
      </c>
      <c r="K2223">
        <v>5.1593232990392375</v>
      </c>
      <c r="L2223">
        <v>0</v>
      </c>
      <c r="M2223">
        <v>3.6153343522725245E-3</v>
      </c>
      <c r="N2223">
        <v>0.31624550641589677</v>
      </c>
      <c r="O2223">
        <v>0.15141136739592123</v>
      </c>
      <c r="P2223">
        <v>2.0260838536312963E-2</v>
      </c>
      <c r="Q2223">
        <v>1.3467080562164036E-3</v>
      </c>
      <c r="R2223">
        <v>3.6091865708397716E-3</v>
      </c>
      <c r="S2223">
        <v>0.47701992303807761</v>
      </c>
      <c r="T2223">
        <v>3.9573254985693826</v>
      </c>
      <c r="U2223">
        <v>0</v>
      </c>
      <c r="V2223">
        <v>1.1304767209823808E-2</v>
      </c>
      <c r="W2223">
        <v>0.18801818275830565</v>
      </c>
      <c r="X2223">
        <v>2.6196818043179915E-2</v>
      </c>
      <c r="Y2223">
        <v>1.0199836797552736E-2</v>
      </c>
    </row>
    <row r="2224" spans="1:25" x14ac:dyDescent="0.25">
      <c r="A2224" s="1093"/>
      <c r="B2224" s="1452">
        <v>1974</v>
      </c>
      <c r="C2224" s="1097">
        <v>0.99102617554203254</v>
      </c>
      <c r="D2224" s="1097">
        <v>1.0022291275296631</v>
      </c>
      <c r="E2224" s="1097">
        <v>1.0351384393089837</v>
      </c>
      <c r="F2224" s="1097">
        <v>0.97643328279052632</v>
      </c>
      <c r="G2224" s="1097">
        <v>1.0340575105691321</v>
      </c>
      <c r="H2224" s="1097">
        <v>1.0014359644048572</v>
      </c>
      <c r="I2224" s="1097">
        <v>0.99718700632028767</v>
      </c>
      <c r="K2224">
        <v>5.0717323417429778</v>
      </c>
      <c r="L2224">
        <v>0</v>
      </c>
      <c r="M2224">
        <v>3.3100964531396384E-3</v>
      </c>
      <c r="N2224">
        <v>0.31861823739012635</v>
      </c>
      <c r="O2224">
        <v>0.14511276342860679</v>
      </c>
      <c r="P2224">
        <v>2.0367625039801648E-2</v>
      </c>
      <c r="Q2224">
        <v>1.353946640585063E-3</v>
      </c>
      <c r="R2224">
        <v>3.3044795881742943E-3</v>
      </c>
      <c r="S2224">
        <v>0.45617576884186439</v>
      </c>
      <c r="T2224">
        <v>3.8969019375759384</v>
      </c>
      <c r="U2224">
        <v>0</v>
      </c>
      <c r="V2224">
        <v>1.1304767209823822E-2</v>
      </c>
      <c r="W2224">
        <v>0.18538526232658217</v>
      </c>
      <c r="X2224">
        <v>2.7178938553348617E-2</v>
      </c>
      <c r="Y2224">
        <v>9.3387116012624699E-3</v>
      </c>
    </row>
    <row r="2225" spans="1:25" x14ac:dyDescent="0.25">
      <c r="A2225" s="1093"/>
      <c r="B2225" s="1452">
        <v>1975</v>
      </c>
      <c r="C2225" s="1097">
        <v>0.98244750523303104</v>
      </c>
      <c r="D2225" s="1097">
        <v>1.0104936783220502</v>
      </c>
      <c r="E2225" s="1097">
        <v>1.0134326313101552</v>
      </c>
      <c r="F2225" s="1097">
        <v>0.99427309043490009</v>
      </c>
      <c r="G2225" s="1097">
        <v>0.97372893866103027</v>
      </c>
      <c r="H2225" s="1097">
        <v>1.0295605417610736</v>
      </c>
      <c r="I2225" s="1097">
        <v>1.0254450731697866</v>
      </c>
      <c r="K2225">
        <v>5.1984547394975404</v>
      </c>
      <c r="L2225">
        <v>0</v>
      </c>
      <c r="M2225">
        <v>3.6474868099962048E-3</v>
      </c>
      <c r="N2225">
        <v>0.32928798713797286</v>
      </c>
      <c r="O2225">
        <v>0.14917452815557328</v>
      </c>
      <c r="P2225">
        <v>2.0519768888035791E-2</v>
      </c>
      <c r="Q2225">
        <v>1.3365807580659544E-3</v>
      </c>
      <c r="R2225">
        <v>3.6415743462679131E-3</v>
      </c>
      <c r="S2225">
        <v>0.48508937613325553</v>
      </c>
      <c r="T2225">
        <v>3.9707783646261743</v>
      </c>
      <c r="U2225">
        <v>0</v>
      </c>
      <c r="V2225">
        <v>1.1304767209823813E-2</v>
      </c>
      <c r="W2225">
        <v>0.19437839873482932</v>
      </c>
      <c r="X2225">
        <v>2.6299513193936641E-2</v>
      </c>
      <c r="Y2225">
        <v>1.0291367123602348E-2</v>
      </c>
    </row>
    <row r="2226" spans="1:25" x14ac:dyDescent="0.25">
      <c r="A2226" s="1093"/>
      <c r="B2226" s="1452">
        <v>1976</v>
      </c>
      <c r="C2226" s="1097">
        <v>1.0233079010846877</v>
      </c>
      <c r="D2226" s="1097">
        <v>1.0098885947816101</v>
      </c>
      <c r="E2226" s="1097">
        <v>0.97962110896135568</v>
      </c>
      <c r="F2226" s="1097">
        <v>1.0028231754301156</v>
      </c>
      <c r="G2226" s="1097">
        <v>0.98462401433095714</v>
      </c>
      <c r="H2226" s="1097">
        <v>0.95549186091956684</v>
      </c>
      <c r="I2226" s="1097">
        <v>1.0432120429143534</v>
      </c>
      <c r="K2226">
        <v>5.1457413466959139</v>
      </c>
      <c r="L2226">
        <v>0</v>
      </c>
      <c r="M2226">
        <v>3.5204265714747951E-3</v>
      </c>
      <c r="N2226">
        <v>0.2874811793289081</v>
      </c>
      <c r="O2226">
        <v>0.14540280766756183</v>
      </c>
      <c r="P2226">
        <v>2.0081005794030646E-2</v>
      </c>
      <c r="Q2226">
        <v>1.2467785777105389E-3</v>
      </c>
      <c r="R2226">
        <v>3.5143300451900812E-3</v>
      </c>
      <c r="S2226">
        <v>0.46313590276866545</v>
      </c>
      <c r="T2226">
        <v>4.0091884511546496</v>
      </c>
      <c r="U2226">
        <v>0</v>
      </c>
      <c r="V2226">
        <v>1.130476720982381E-2</v>
      </c>
      <c r="W2226">
        <v>0.17363205259488418</v>
      </c>
      <c r="X2226">
        <v>2.4342733111849583E-2</v>
      </c>
      <c r="Y2226">
        <v>9.9317650141135701E-3</v>
      </c>
    </row>
    <row r="2227" spans="1:25" x14ac:dyDescent="0.25">
      <c r="A2227" s="1093"/>
      <c r="B2227" s="1452">
        <v>1977</v>
      </c>
      <c r="C2227" s="1097">
        <v>0.99340436174657509</v>
      </c>
      <c r="D2227" s="1097">
        <v>1.0083877135827819</v>
      </c>
      <c r="E2227" s="1097">
        <v>1.0335083323595384</v>
      </c>
      <c r="F2227" s="1097">
        <v>0.97135179106040892</v>
      </c>
      <c r="G2227" s="1097">
        <v>1.0010046283692493</v>
      </c>
      <c r="H2227" s="1097">
        <v>1.033979548727133</v>
      </c>
      <c r="I2227" s="1097">
        <v>0.97342886927519312</v>
      </c>
      <c r="K2227">
        <v>5.0518570124804851</v>
      </c>
      <c r="L2227">
        <v>0</v>
      </c>
      <c r="M2227">
        <v>3.3951637704988645E-3</v>
      </c>
      <c r="N2227">
        <v>0.32525045308962325</v>
      </c>
      <c r="O2227">
        <v>0.14370375958241344</v>
      </c>
      <c r="P2227">
        <v>2.0209829111496557E-2</v>
      </c>
      <c r="Q2227">
        <v>1.3455589586938571E-3</v>
      </c>
      <c r="R2227">
        <v>3.3895547443359188E-3</v>
      </c>
      <c r="S2227">
        <v>0.44755800789139077</v>
      </c>
      <c r="T2227">
        <v>3.8768175046756119</v>
      </c>
      <c r="U2227">
        <v>0</v>
      </c>
      <c r="V2227">
        <v>1.1304767209823813E-2</v>
      </c>
      <c r="W2227">
        <v>0.18944798941286431</v>
      </c>
      <c r="X2227">
        <v>2.6645611086974424E-2</v>
      </c>
      <c r="Y2227">
        <v>9.5791404877561288E-3</v>
      </c>
    </row>
    <row r="2228" spans="1:25" x14ac:dyDescent="0.25">
      <c r="A2228" s="1093"/>
      <c r="B2228" s="1452">
        <v>1978</v>
      </c>
      <c r="C2228" s="1097">
        <v>0.98890634231129071</v>
      </c>
      <c r="D2228" s="1097">
        <v>0.97223964055716117</v>
      </c>
      <c r="E2228" s="1097">
        <v>0.9528953584154578</v>
      </c>
      <c r="F2228" s="1097">
        <v>1.0188930524360489</v>
      </c>
      <c r="G2228" s="1097">
        <v>1.0359753813660098</v>
      </c>
      <c r="H2228" s="1097">
        <v>0.9662064454719389</v>
      </c>
      <c r="I2228" s="1097">
        <v>0.99548200681753696</v>
      </c>
      <c r="K2228">
        <v>5.2593632438688225</v>
      </c>
      <c r="L2228">
        <v>0</v>
      </c>
      <c r="M2228">
        <v>4.0187869645103569E-3</v>
      </c>
      <c r="N2228">
        <v>0.30314636224316094</v>
      </c>
      <c r="O2228">
        <v>0.15598740081384049</v>
      </c>
      <c r="P2228">
        <v>1.9995141435876915E-2</v>
      </c>
      <c r="Q2228">
        <v>1.2796062303556722E-3</v>
      </c>
      <c r="R2228">
        <v>4.012012947200016E-3</v>
      </c>
      <c r="S2228">
        <v>0.46892855016003648</v>
      </c>
      <c r="T2228">
        <v>4.0769070597151007</v>
      </c>
      <c r="U2228">
        <v>0</v>
      </c>
      <c r="V2228">
        <v>1.1304767209823811E-2</v>
      </c>
      <c r="W2228">
        <v>0.18650917676387282</v>
      </c>
      <c r="X2228">
        <v>2.3973698422582262E-2</v>
      </c>
      <c r="Y2228">
        <v>1.1338254891485752E-2</v>
      </c>
    </row>
    <row r="2229" spans="1:25" x14ac:dyDescent="0.25">
      <c r="A2229" s="1093"/>
      <c r="B2229" s="1452">
        <v>1979</v>
      </c>
      <c r="C2229" s="1097">
        <v>0.96655444655732614</v>
      </c>
      <c r="D2229" s="1097">
        <v>1.0298756457457912</v>
      </c>
      <c r="E2229" s="1097">
        <v>1.0264346678759282</v>
      </c>
      <c r="F2229" s="1097">
        <v>1.0215437769952194</v>
      </c>
      <c r="G2229" s="1097">
        <v>1.0067033894417581</v>
      </c>
      <c r="H2229" s="1097">
        <v>1.0121533508593517</v>
      </c>
      <c r="I2229" s="1097">
        <v>0.99902993248721128</v>
      </c>
      <c r="K2229">
        <v>5.3283882687821018</v>
      </c>
      <c r="L2229">
        <v>0</v>
      </c>
      <c r="M2229">
        <v>3.6155542256701531E-3</v>
      </c>
      <c r="N2229">
        <v>0.33921133808445886</v>
      </c>
      <c r="O2229">
        <v>0.15422865983797104</v>
      </c>
      <c r="P2229">
        <v>2.1218730695945254E-2</v>
      </c>
      <c r="Q2229">
        <v>1.3631897518025429E-3</v>
      </c>
      <c r="R2229">
        <v>3.6097516172561963E-3</v>
      </c>
      <c r="S2229">
        <v>0.48621617688459201</v>
      </c>
      <c r="T2229">
        <v>4.0780360050360489</v>
      </c>
      <c r="U2229">
        <v>0</v>
      </c>
      <c r="V2229">
        <v>1.1304767209823799E-2</v>
      </c>
      <c r="W2229">
        <v>0.19850759727963183</v>
      </c>
      <c r="X2229">
        <v>2.81061729483803E-2</v>
      </c>
      <c r="Y2229">
        <v>1.0201433661864804E-2</v>
      </c>
    </row>
    <row r="2230" spans="1:25" x14ac:dyDescent="0.25">
      <c r="A2230" s="1093"/>
      <c r="B2230" s="1452">
        <v>1980</v>
      </c>
      <c r="C2230" s="1097">
        <v>1.0006190014111274</v>
      </c>
      <c r="D2230" s="1097">
        <v>0.97048688041399955</v>
      </c>
      <c r="E2230" s="1097">
        <v>1.0142364860462054</v>
      </c>
      <c r="F2230" s="1097">
        <v>1.020673118415605</v>
      </c>
      <c r="G2230" s="1097">
        <v>1.009821962241336</v>
      </c>
      <c r="H2230" s="1097">
        <v>0.991168846499066</v>
      </c>
      <c r="I2230" s="1097">
        <v>1.0449793577799671</v>
      </c>
      <c r="K2230">
        <v>5.3089939282637157</v>
      </c>
      <c r="L2230">
        <v>0</v>
      </c>
      <c r="M2230">
        <v>3.5906506096798686E-3</v>
      </c>
      <c r="N2230">
        <v>0.32492284484796119</v>
      </c>
      <c r="O2230">
        <v>0.15278058774150322</v>
      </c>
      <c r="P2230">
        <v>2.1049675935959088E-2</v>
      </c>
      <c r="Q2230">
        <v>1.334596449009666E-3</v>
      </c>
      <c r="R2230">
        <v>3.5847609539470739E-3</v>
      </c>
      <c r="S2230">
        <v>0.4924102247474918</v>
      </c>
      <c r="T2230">
        <v>4.076108485741484</v>
      </c>
      <c r="U2230">
        <v>0</v>
      </c>
      <c r="V2230">
        <v>1.1304767209823829E-2</v>
      </c>
      <c r="W2230">
        <v>0.19169845218513856</v>
      </c>
      <c r="X2230">
        <v>2.7259374921665674E-2</v>
      </c>
      <c r="Y2230">
        <v>1.0130808139406344E-2</v>
      </c>
    </row>
    <row r="2231" spans="1:25" x14ac:dyDescent="0.25">
      <c r="A2231" s="1093"/>
      <c r="B2231" s="1452">
        <v>1981</v>
      </c>
      <c r="C2231" s="1097">
        <v>1.0029468804953452</v>
      </c>
      <c r="D2231" s="1097">
        <v>0.99801552480244338</v>
      </c>
      <c r="E2231" s="1097">
        <v>0.97687417293360379</v>
      </c>
      <c r="F2231" s="1097">
        <v>0.96946702916450112</v>
      </c>
      <c r="G2231" s="1097">
        <v>0.96794391632067156</v>
      </c>
      <c r="H2231" s="1097">
        <v>0.99882522256317918</v>
      </c>
      <c r="I2231" s="1097">
        <v>1.0080768525385302</v>
      </c>
      <c r="K2231">
        <v>5.015943118435759</v>
      </c>
      <c r="L2231">
        <v>0</v>
      </c>
      <c r="M2231">
        <v>3.6684096284020119E-3</v>
      </c>
      <c r="N2231">
        <v>0.29713884103154059</v>
      </c>
      <c r="O2231">
        <v>0.14417404342109374</v>
      </c>
      <c r="P2231">
        <v>1.9398706258253375E-2</v>
      </c>
      <c r="Q2231">
        <v>1.2750743026898087E-3</v>
      </c>
      <c r="R2231">
        <v>3.6621237052105846E-3</v>
      </c>
      <c r="S2231">
        <v>0.45286561459506663</v>
      </c>
      <c r="T2231">
        <v>3.8761716224678757</v>
      </c>
      <c r="U2231">
        <v>0</v>
      </c>
      <c r="V2231">
        <v>1.1304767209823803E-2</v>
      </c>
      <c r="W2231">
        <v>0.17980353762156082</v>
      </c>
      <c r="X2231">
        <v>2.3467756270204719E-2</v>
      </c>
      <c r="Y2231">
        <v>1.0349441180843671E-2</v>
      </c>
    </row>
    <row r="2232" spans="1:25" x14ac:dyDescent="0.25">
      <c r="A2232" s="1093"/>
      <c r="B2232" s="1452">
        <v>1982</v>
      </c>
      <c r="C2232" s="1097">
        <v>0.96215498806623445</v>
      </c>
      <c r="D2232" s="1097">
        <v>0.96990365971349102</v>
      </c>
      <c r="E2232" s="1097">
        <v>0.98140669770528344</v>
      </c>
      <c r="F2232" s="1097">
        <v>0.99906752001409627</v>
      </c>
      <c r="G2232" s="1097">
        <v>0.97231340502308528</v>
      </c>
      <c r="H2232" s="1097">
        <v>0.97146482619635122</v>
      </c>
      <c r="I2232" s="1097">
        <v>1.0306276887671744</v>
      </c>
      <c r="K2232">
        <v>5.2173646538049621</v>
      </c>
      <c r="L2232">
        <v>0</v>
      </c>
      <c r="M2232">
        <v>3.8398980621916993E-3</v>
      </c>
      <c r="N2232">
        <v>0.31524226801247546</v>
      </c>
      <c r="O2232">
        <v>0.15652281514092353</v>
      </c>
      <c r="P2232">
        <v>2.017013428820081E-2</v>
      </c>
      <c r="Q2232">
        <v>1.3497131603670116E-3</v>
      </c>
      <c r="R2232">
        <v>3.8333330794715153E-3</v>
      </c>
      <c r="S2232">
        <v>0.49216960650568942</v>
      </c>
      <c r="T2232">
        <v>3.993947686807632</v>
      </c>
      <c r="U2232">
        <v>0</v>
      </c>
      <c r="V2232">
        <v>1.1304767209823834E-2</v>
      </c>
      <c r="W2232">
        <v>0.19016641132655732</v>
      </c>
      <c r="X2232">
        <v>2.5664524392286003E-2</v>
      </c>
      <c r="Y2232">
        <v>1.0833291943722439E-2</v>
      </c>
    </row>
    <row r="2233" spans="1:25" x14ac:dyDescent="0.25">
      <c r="A2233" s="1093"/>
      <c r="B2233" s="1452">
        <v>1983</v>
      </c>
      <c r="C2233" s="1097">
        <v>0.99714494778206397</v>
      </c>
      <c r="D2233" s="1097">
        <v>0.98866550704214673</v>
      </c>
      <c r="E2233" s="1097">
        <v>0.99611036717379975</v>
      </c>
      <c r="F2233" s="1097">
        <v>0.99380004617347051</v>
      </c>
      <c r="G2233" s="1097">
        <v>1.0324301917291308</v>
      </c>
      <c r="H2233" s="1097">
        <v>0.97495801695252748</v>
      </c>
      <c r="I2233" s="1097">
        <v>0.9771332878223542</v>
      </c>
      <c r="K2233">
        <v>5.122635902973272</v>
      </c>
      <c r="L2233">
        <v>0</v>
      </c>
      <c r="M2233">
        <v>3.5589398363805175E-3</v>
      </c>
      <c r="N2233">
        <v>0.305197215731982</v>
      </c>
      <c r="O2233">
        <v>0.14867750432913024</v>
      </c>
      <c r="P2233">
        <v>2.0086998427229285E-2</v>
      </c>
      <c r="Q2233">
        <v>1.3089167743751879E-3</v>
      </c>
      <c r="R2233">
        <v>3.5528449206032836E-3</v>
      </c>
      <c r="S2233">
        <v>0.44721936079438979</v>
      </c>
      <c r="T2233">
        <v>3.971045710860253</v>
      </c>
      <c r="U2233">
        <v>0</v>
      </c>
      <c r="V2233">
        <v>1.1304767209823825E-2</v>
      </c>
      <c r="W2233">
        <v>0.18227238325237138</v>
      </c>
      <c r="X2233">
        <v>2.5488529516987071E-2</v>
      </c>
      <c r="Y2233">
        <v>1.0040610992502915E-2</v>
      </c>
    </row>
    <row r="2234" spans="1:25" x14ac:dyDescent="0.25">
      <c r="A2234" s="1093"/>
      <c r="B2234" s="1452">
        <v>1984</v>
      </c>
      <c r="C2234" s="1097">
        <v>1.0218446979090314</v>
      </c>
      <c r="D2234" s="1097">
        <v>0.98585609197369051</v>
      </c>
      <c r="E2234" s="1097">
        <v>0.98361269424274789</v>
      </c>
      <c r="F2234" s="1097">
        <v>1.0342808296849157</v>
      </c>
      <c r="G2234" s="1097">
        <v>1.0317536095145818</v>
      </c>
      <c r="H2234" s="1097">
        <v>0.99698014508484933</v>
      </c>
      <c r="I2234" s="1097">
        <v>1.021951768175819</v>
      </c>
      <c r="K2234">
        <v>5.3346578031644025</v>
      </c>
      <c r="L2234">
        <v>0</v>
      </c>
      <c r="M2234">
        <v>3.7985014815566862E-3</v>
      </c>
      <c r="N2234">
        <v>0.31392295343060095</v>
      </c>
      <c r="O2234">
        <v>0.1515194587363041</v>
      </c>
      <c r="P2234">
        <v>2.0764473011471694E-2</v>
      </c>
      <c r="Q2234">
        <v>1.2650215906343989E-3</v>
      </c>
      <c r="R2234">
        <v>3.792388575983816E-3</v>
      </c>
      <c r="S2234">
        <v>0.47648964681551426</v>
      </c>
      <c r="T2234">
        <v>4.134430255816703</v>
      </c>
      <c r="U2234">
        <v>0</v>
      </c>
      <c r="V2234">
        <v>1.130476720982383E-2</v>
      </c>
      <c r="W2234">
        <v>0.18908503970048871</v>
      </c>
      <c r="X2234">
        <v>2.5164720107529084E-2</v>
      </c>
      <c r="Y2234">
        <v>1.0717579650901235E-2</v>
      </c>
    </row>
    <row r="2235" spans="1:25" x14ac:dyDescent="0.25">
      <c r="A2235" s="1093"/>
      <c r="B2235" s="1452">
        <v>1985</v>
      </c>
      <c r="C2235" s="1097">
        <v>0.98759446647693538</v>
      </c>
      <c r="D2235" s="1097">
        <v>0.96626147065995827</v>
      </c>
      <c r="E2235" s="1097">
        <v>0.96393339105715081</v>
      </c>
      <c r="F2235" s="1097">
        <v>0.99496850919669255</v>
      </c>
      <c r="G2235" s="1097">
        <v>1.0344330250593081</v>
      </c>
      <c r="H2235" s="1097">
        <v>0.98823798830729581</v>
      </c>
      <c r="I2235" s="1097">
        <v>0.97085347282347589</v>
      </c>
      <c r="K2235">
        <v>5.147507394815154</v>
      </c>
      <c r="L2235">
        <v>0</v>
      </c>
      <c r="M2235">
        <v>3.9373474728089733E-3</v>
      </c>
      <c r="N2235">
        <v>0.3069077600118435</v>
      </c>
      <c r="O2235">
        <v>0.15259039729708423</v>
      </c>
      <c r="P2235">
        <v>1.9669056209426418E-2</v>
      </c>
      <c r="Q2235">
        <v>1.2970101098272594E-3</v>
      </c>
      <c r="R2235">
        <v>3.9307029208083084E-3</v>
      </c>
      <c r="S2235">
        <v>0.45359181798460152</v>
      </c>
      <c r="T2235">
        <v>3.9797718850537978</v>
      </c>
      <c r="U2235">
        <v>0</v>
      </c>
      <c r="V2235">
        <v>1.1304767209823813E-2</v>
      </c>
      <c r="W2235">
        <v>0.18737969102749535</v>
      </c>
      <c r="X2235">
        <v>2.3893187914078108E-2</v>
      </c>
      <c r="Y2235">
        <v>1.1108466549175935E-2</v>
      </c>
    </row>
    <row r="2236" spans="1:25" x14ac:dyDescent="0.25">
      <c r="A2236" s="1093"/>
      <c r="B2236" s="1452">
        <v>1986</v>
      </c>
      <c r="C2236" s="1097">
        <v>0.96477571007340723</v>
      </c>
      <c r="D2236" s="1097">
        <v>0.99306019075131069</v>
      </c>
      <c r="E2236" s="1097">
        <v>0.97501272282968232</v>
      </c>
      <c r="F2236" s="1097">
        <v>1.0053995585228575</v>
      </c>
      <c r="G2236" s="1097">
        <v>0.95832560507395559</v>
      </c>
      <c r="H2236" s="1097">
        <v>1.0257149340304779</v>
      </c>
      <c r="I2236" s="1097">
        <v>0.99696782805756001</v>
      </c>
      <c r="K2236">
        <v>5.2590956708200691</v>
      </c>
      <c r="L2236">
        <v>0</v>
      </c>
      <c r="M2236">
        <v>4.0851346782672096E-3</v>
      </c>
      <c r="N2236">
        <v>0.32910450950927544</v>
      </c>
      <c r="O2236">
        <v>0.15579727191354226</v>
      </c>
      <c r="P2236">
        <v>2.0160007576831316E-2</v>
      </c>
      <c r="Q2236">
        <v>1.3260142824387615E-3</v>
      </c>
      <c r="R2236">
        <v>4.0785614098676325E-3</v>
      </c>
      <c r="S2236">
        <v>0.48569498170399811</v>
      </c>
      <c r="T2236">
        <v>4.0200764813685037</v>
      </c>
      <c r="U2236">
        <v>0</v>
      </c>
      <c r="V2236">
        <v>1.1304767209823817E-2</v>
      </c>
      <c r="W2236">
        <v>0.19940132869388727</v>
      </c>
      <c r="X2236">
        <v>2.4710555902443969E-2</v>
      </c>
      <c r="Y2236">
        <v>1.1526325927719214E-2</v>
      </c>
    </row>
    <row r="2237" spans="1:25" x14ac:dyDescent="0.25">
      <c r="A2237" s="1093"/>
      <c r="B2237" s="1452">
        <v>1987</v>
      </c>
      <c r="C2237" s="1097">
        <v>1.0404559254046613</v>
      </c>
      <c r="D2237" s="1097">
        <v>1.0165618943462429</v>
      </c>
      <c r="E2237" s="1097">
        <v>0.98058325564946214</v>
      </c>
      <c r="F2237" s="1097">
        <v>1.010858163999476</v>
      </c>
      <c r="G2237" s="1097">
        <v>0.99105957254907295</v>
      </c>
      <c r="H2237" s="1097">
        <v>1.0057527710052951</v>
      </c>
      <c r="I2237" s="1097">
        <v>1.0102333885111296</v>
      </c>
      <c r="K2237">
        <v>5.1847229449958787</v>
      </c>
      <c r="L2237">
        <v>0</v>
      </c>
      <c r="M2237">
        <v>3.6566294401450951E-3</v>
      </c>
      <c r="N2237">
        <v>0.29948723966881868</v>
      </c>
      <c r="O2237">
        <v>0.14374710279133615</v>
      </c>
      <c r="P2237">
        <v>2.0192242425363841E-2</v>
      </c>
      <c r="Q2237">
        <v>1.224025638339538E-3</v>
      </c>
      <c r="R2237">
        <v>3.6506612353509244E-3</v>
      </c>
      <c r="S2237">
        <v>0.45268536785649183</v>
      </c>
      <c r="T2237">
        <v>4.0411882941958073</v>
      </c>
      <c r="U2237">
        <v>0</v>
      </c>
      <c r="V2237">
        <v>1.1304767209823817E-2</v>
      </c>
      <c r="W2237">
        <v>0.180764247968311</v>
      </c>
      <c r="X2237">
        <v>2.3818578080475293E-2</v>
      </c>
      <c r="Y2237">
        <v>1.0317047365902098E-2</v>
      </c>
    </row>
    <row r="2238" spans="1:25" x14ac:dyDescent="0.25">
      <c r="A2238" s="1093"/>
      <c r="B2238" s="1452">
        <v>1988</v>
      </c>
      <c r="C2238" s="1097">
        <v>0.98782402422371685</v>
      </c>
      <c r="D2238" s="1097">
        <v>0.97686036339924176</v>
      </c>
      <c r="E2238" s="1097">
        <v>1.006380664851428</v>
      </c>
      <c r="F2238" s="1097">
        <v>0.96578172777215676</v>
      </c>
      <c r="G2238" s="1097">
        <v>1.0328285702149174</v>
      </c>
      <c r="H2238" s="1097">
        <v>1.0219520231235877</v>
      </c>
      <c r="I2238" s="1097">
        <v>1.0422416294549157</v>
      </c>
      <c r="K2238">
        <v>5.0593567248026625</v>
      </c>
      <c r="L2238">
        <v>0</v>
      </c>
      <c r="M2238">
        <v>3.5986263429820739E-3</v>
      </c>
      <c r="N2238">
        <v>0.31814487784407092</v>
      </c>
      <c r="O2238">
        <v>0.14626951732378596</v>
      </c>
      <c r="P2238">
        <v>1.9875545869075341E-2</v>
      </c>
      <c r="Q2238">
        <v>1.3393593858494206E-3</v>
      </c>
      <c r="R2238">
        <v>3.592576582008893E-3</v>
      </c>
      <c r="S2238">
        <v>0.4803805149735666</v>
      </c>
      <c r="T2238">
        <v>3.8578449520085618</v>
      </c>
      <c r="U2238">
        <v>0</v>
      </c>
      <c r="V2238">
        <v>1.1304767209823811E-2</v>
      </c>
      <c r="W2238">
        <v>0.18869185481920148</v>
      </c>
      <c r="X2238">
        <v>2.5358489428695855E-2</v>
      </c>
      <c r="Y2238">
        <v>1.0152895701004021E-2</v>
      </c>
    </row>
    <row r="2239" spans="1:25" x14ac:dyDescent="0.25">
      <c r="A2239" s="1093"/>
      <c r="B2239" s="1452">
        <v>1989</v>
      </c>
      <c r="C2239" s="1097">
        <v>1.0124993491078107</v>
      </c>
      <c r="D2239" s="1097">
        <v>1.003298885155262</v>
      </c>
      <c r="E2239" s="1097">
        <v>0.96687333389218688</v>
      </c>
      <c r="F2239" s="1097">
        <v>0.97175938300932529</v>
      </c>
      <c r="G2239" s="1097">
        <v>0.97766820469633375</v>
      </c>
      <c r="H2239" s="1097">
        <v>0.99040122757266513</v>
      </c>
      <c r="I2239" s="1097">
        <v>1.015219905753761</v>
      </c>
      <c r="K2239">
        <v>5.0111123676530687</v>
      </c>
      <c r="L2239">
        <v>0</v>
      </c>
      <c r="M2239">
        <v>3.6804046304411498E-3</v>
      </c>
      <c r="N2239">
        <v>0.28938543309080256</v>
      </c>
      <c r="O2239">
        <v>0.14311611327569568</v>
      </c>
      <c r="P2239">
        <v>1.9287197715820846E-2</v>
      </c>
      <c r="Q2239">
        <v>1.2494293092863342E-3</v>
      </c>
      <c r="R2239">
        <v>3.6740594905872561E-3</v>
      </c>
      <c r="S2239">
        <v>0.4506509281795717</v>
      </c>
      <c r="T2239">
        <v>3.8865732664553709</v>
      </c>
      <c r="U2239">
        <v>0</v>
      </c>
      <c r="V2239">
        <v>1.1304767209823808E-2</v>
      </c>
      <c r="W2239">
        <v>0.17632251500843693</v>
      </c>
      <c r="X2239">
        <v>2.2845889926539856E-2</v>
      </c>
      <c r="Y2239">
        <v>1.0383172621572255E-2</v>
      </c>
    </row>
    <row r="2240" spans="1:25" x14ac:dyDescent="0.25">
      <c r="A2240" s="1093"/>
      <c r="B2240" s="1452">
        <v>1990</v>
      </c>
      <c r="C2240" s="1097">
        <v>1.0197755879769264</v>
      </c>
      <c r="D2240" s="1097">
        <v>1.0320682867212332</v>
      </c>
      <c r="E2240" s="1097">
        <v>0.96731837337475046</v>
      </c>
      <c r="F2240" s="1097">
        <v>1.031626986694413</v>
      </c>
      <c r="G2240" s="1097">
        <v>0.97023243552090532</v>
      </c>
      <c r="H2240" s="1097">
        <v>0.99869505640949252</v>
      </c>
      <c r="I2240" s="1097">
        <v>1.0001855005106055</v>
      </c>
      <c r="K2240">
        <v>5.2948377668992723</v>
      </c>
      <c r="L2240">
        <v>0</v>
      </c>
      <c r="M2240">
        <v>3.8637783144916059E-3</v>
      </c>
      <c r="N2240">
        <v>0.30424026781136138</v>
      </c>
      <c r="O2240">
        <v>0.14914042892216212</v>
      </c>
      <c r="P2240">
        <v>2.0408496783259494E-2</v>
      </c>
      <c r="Q2240">
        <v>1.2270429122485679E-3</v>
      </c>
      <c r="R2240">
        <v>3.8575550940470405E-3</v>
      </c>
      <c r="S2240">
        <v>0.46251030094721368</v>
      </c>
      <c r="T2240">
        <v>4.1259565486497092</v>
      </c>
      <c r="U2240">
        <v>0</v>
      </c>
      <c r="V2240">
        <v>1.1304767209823822E-2</v>
      </c>
      <c r="W2240">
        <v>0.18531655034176536</v>
      </c>
      <c r="X2240">
        <v>2.3837841335996927E-2</v>
      </c>
      <c r="Y2240">
        <v>1.0901745206176205E-2</v>
      </c>
    </row>
    <row r="2241" spans="1:25" x14ac:dyDescent="0.25">
      <c r="A2241" s="1093"/>
      <c r="B2241" s="1452">
        <v>1991</v>
      </c>
      <c r="C2241" s="1097">
        <v>1.0285141599683802</v>
      </c>
      <c r="D2241" s="1097">
        <v>0.99348794504024918</v>
      </c>
      <c r="E2241" s="1097">
        <v>0.99293155557643265</v>
      </c>
      <c r="F2241" s="1097">
        <v>0.99823040132690621</v>
      </c>
      <c r="G2241" s="1097">
        <v>1.0028844005894195</v>
      </c>
      <c r="H2241" s="1097">
        <v>0.98473341000255388</v>
      </c>
      <c r="I2241" s="1097">
        <v>0.98698603039599964</v>
      </c>
      <c r="K2241">
        <v>5.11959047140284</v>
      </c>
      <c r="L2241">
        <v>0</v>
      </c>
      <c r="M2241">
        <v>3.517139111631594E-3</v>
      </c>
      <c r="N2241">
        <v>0.29879132242717382</v>
      </c>
      <c r="O2241">
        <v>0.14459005930719651</v>
      </c>
      <c r="P2241">
        <v>2.0092601033878527E-2</v>
      </c>
      <c r="Q2241">
        <v>1.2630701247561406E-3</v>
      </c>
      <c r="R2241">
        <v>3.5112019989860495E-3</v>
      </c>
      <c r="S2241">
        <v>0.44092078568471471</v>
      </c>
      <c r="T2241">
        <v>3.9891480398322781</v>
      </c>
      <c r="U2241">
        <v>0</v>
      </c>
      <c r="V2241">
        <v>1.1304767209823808E-2</v>
      </c>
      <c r="W2241">
        <v>0.17883183579778605</v>
      </c>
      <c r="X2241">
        <v>2.4731002181153969E-2</v>
      </c>
      <c r="Y2241">
        <v>9.9229249167259448E-3</v>
      </c>
    </row>
    <row r="2242" spans="1:25" x14ac:dyDescent="0.25">
      <c r="A2242" s="1093"/>
      <c r="B2242" s="1452">
        <v>1992</v>
      </c>
      <c r="C2242" s="1097">
        <v>1.0047299871744586</v>
      </c>
      <c r="D2242" s="1097">
        <v>0.99168779730837031</v>
      </c>
      <c r="E2242" s="1097">
        <v>0.98295764968851618</v>
      </c>
      <c r="F2242" s="1097">
        <v>0.99868806407331956</v>
      </c>
      <c r="G2242" s="1097">
        <v>0.99956032960018304</v>
      </c>
      <c r="H2242" s="1097">
        <v>0.98736772118996463</v>
      </c>
      <c r="I2242" s="1097">
        <v>0.98153075047192351</v>
      </c>
      <c r="K2242">
        <v>5.1458162603824</v>
      </c>
      <c r="L2242">
        <v>0</v>
      </c>
      <c r="M2242">
        <v>3.6908757068594743E-3</v>
      </c>
      <c r="N2242">
        <v>0.30441375362276113</v>
      </c>
      <c r="O2242">
        <v>0.14846494510789421</v>
      </c>
      <c r="P2242">
        <v>1.9995312740196801E-2</v>
      </c>
      <c r="Q2242">
        <v>1.2828103929550458E-3</v>
      </c>
      <c r="R2242">
        <v>3.6846647834402782E-3</v>
      </c>
      <c r="S2242">
        <v>0.4496787124533011</v>
      </c>
      <c r="T2242">
        <v>3.9922346488089597</v>
      </c>
      <c r="U2242">
        <v>0</v>
      </c>
      <c r="V2242">
        <v>1.1304767209823832E-2</v>
      </c>
      <c r="W2242">
        <v>0.18343949223893366</v>
      </c>
      <c r="X2242">
        <v>2.4594884742135496E-2</v>
      </c>
      <c r="Y2242">
        <v>1.0413143988850701E-2</v>
      </c>
    </row>
    <row r="2243" spans="1:25" x14ac:dyDescent="0.25">
      <c r="A2243" s="1093"/>
      <c r="B2243" s="1452">
        <v>1993</v>
      </c>
      <c r="C2243" s="1097">
        <v>1.0007050222792131</v>
      </c>
      <c r="D2243" s="1097">
        <v>0.9619335587324146</v>
      </c>
      <c r="E2243" s="1097">
        <v>0.97599969094213812</v>
      </c>
      <c r="F2243" s="1097">
        <v>0.9907530428195388</v>
      </c>
      <c r="G2243" s="1097">
        <v>0.96567485309493584</v>
      </c>
      <c r="H2243" s="1097">
        <v>0.96912333231372849</v>
      </c>
      <c r="I2243" s="1097">
        <v>1.0216719088526354</v>
      </c>
      <c r="K2243">
        <v>5.1255237476568389</v>
      </c>
      <c r="L2243">
        <v>0</v>
      </c>
      <c r="M2243">
        <v>3.7063749421855949E-3</v>
      </c>
      <c r="N2243">
        <v>0.29943139531372215</v>
      </c>
      <c r="O2243">
        <v>0.14988531033447799</v>
      </c>
      <c r="P2243">
        <v>1.9825799256845186E-2</v>
      </c>
      <c r="Q2243">
        <v>1.2959069524765712E-3</v>
      </c>
      <c r="R2243">
        <v>3.6999697134078528E-3</v>
      </c>
      <c r="S2243">
        <v>0.46616283563961897</v>
      </c>
      <c r="T2243">
        <v>3.961388407627394</v>
      </c>
      <c r="U2243">
        <v>0</v>
      </c>
      <c r="V2243">
        <v>1.1304767209823813E-2</v>
      </c>
      <c r="W2243">
        <v>0.18129965415036009</v>
      </c>
      <c r="X2243">
        <v>2.4479679511484446E-2</v>
      </c>
      <c r="Y2243">
        <v>1.0456396889415192E-2</v>
      </c>
    </row>
    <row r="2244" spans="1:25" x14ac:dyDescent="0.25">
      <c r="A2244" s="1093"/>
      <c r="B2244" s="1452">
        <v>1994</v>
      </c>
      <c r="C2244" s="1097">
        <v>0.9759036897716461</v>
      </c>
      <c r="D2244" s="1097">
        <v>0.99725866336948599</v>
      </c>
      <c r="E2244" s="1097">
        <v>0.97509109097057334</v>
      </c>
      <c r="F2244" s="1097">
        <v>0.98502112763497407</v>
      </c>
      <c r="G2244" s="1097">
        <v>1.0046701378788021</v>
      </c>
      <c r="H2244" s="1097">
        <v>0.97957112160604831</v>
      </c>
      <c r="I2244" s="1097">
        <v>0.99498363488555031</v>
      </c>
      <c r="K2244">
        <v>5.1065259135769976</v>
      </c>
      <c r="L2244">
        <v>0</v>
      </c>
      <c r="M2244">
        <v>3.7718330931516297E-3</v>
      </c>
      <c r="N2244">
        <v>0.30390149781192438</v>
      </c>
      <c r="O2244">
        <v>0.15064227187298621</v>
      </c>
      <c r="P2244">
        <v>1.9691505172941229E-2</v>
      </c>
      <c r="Q2244">
        <v>1.3087730435619315E-3</v>
      </c>
      <c r="R2244">
        <v>3.7653468014697427E-3</v>
      </c>
      <c r="S2244">
        <v>0.46195498632344911</v>
      </c>
      <c r="T2244">
        <v>3.9385837969739423</v>
      </c>
      <c r="U2244">
        <v>0</v>
      </c>
      <c r="V2244">
        <v>1.130476720982382E-2</v>
      </c>
      <c r="W2244">
        <v>0.18412114119239267</v>
      </c>
      <c r="X2244">
        <v>2.4382502736076072E-2</v>
      </c>
      <c r="Y2244">
        <v>1.0641157531582646E-2</v>
      </c>
    </row>
    <row r="2245" spans="1:25" x14ac:dyDescent="0.25">
      <c r="A2245" s="1093"/>
      <c r="B2245" s="1452">
        <v>1995</v>
      </c>
      <c r="C2245" s="1097">
        <v>0.98588450910302761</v>
      </c>
      <c r="D2245" s="1097">
        <v>0.98204776769455793</v>
      </c>
      <c r="E2245" s="1097">
        <v>1.0301354602881472</v>
      </c>
      <c r="F2245" s="1097">
        <v>0.97504007227275646</v>
      </c>
      <c r="G2245" s="1097">
        <v>1.0252964686283277</v>
      </c>
      <c r="H2245" s="1097">
        <v>0.98688740718556889</v>
      </c>
      <c r="I2245" s="1097">
        <v>0.99237421991875607</v>
      </c>
      <c r="K2245">
        <v>5.0645607019499783</v>
      </c>
      <c r="L2245">
        <v>0</v>
      </c>
      <c r="M2245">
        <v>3.3362391944037353E-3</v>
      </c>
      <c r="N2245">
        <v>0.31641197483909467</v>
      </c>
      <c r="O2245">
        <v>0.14699025405229765</v>
      </c>
      <c r="P2245">
        <v>2.0265250677345796E-2</v>
      </c>
      <c r="Q2245">
        <v>1.3663765898247521E-3</v>
      </c>
      <c r="R2245">
        <v>3.3304863166397354E-3</v>
      </c>
      <c r="S2245">
        <v>0.45496083838219065</v>
      </c>
      <c r="T2245">
        <v>3.8919447080316782</v>
      </c>
      <c r="U2245">
        <v>0</v>
      </c>
      <c r="V2245">
        <v>1.1304767209823817E-2</v>
      </c>
      <c r="W2245">
        <v>0.18471151576307207</v>
      </c>
      <c r="X2245">
        <v>2.7198560680986826E-2</v>
      </c>
      <c r="Y2245">
        <v>9.4122086014255969E-3</v>
      </c>
    </row>
    <row r="2246" spans="1:25" x14ac:dyDescent="0.25">
      <c r="A2246" s="1093"/>
      <c r="B2246" s="1452">
        <v>1996</v>
      </c>
      <c r="C2246" s="1097">
        <v>0.96876921958202489</v>
      </c>
      <c r="D2246" s="1097">
        <v>1.0229029164729271</v>
      </c>
      <c r="E2246" s="1097">
        <v>1.0004811558615923</v>
      </c>
      <c r="F2246" s="1097">
        <v>1.0284508404675818</v>
      </c>
      <c r="G2246" s="1097">
        <v>0.99526692312773379</v>
      </c>
      <c r="H2246" s="1097">
        <v>0.98293411503457384</v>
      </c>
      <c r="I2246" s="1097">
        <v>0.99604819697183999</v>
      </c>
      <c r="K2246">
        <v>5.3351290929508126</v>
      </c>
      <c r="L2246">
        <v>0</v>
      </c>
      <c r="M2246">
        <v>3.7354827653939019E-3</v>
      </c>
      <c r="N2246">
        <v>0.3245357875846091</v>
      </c>
      <c r="O2246">
        <v>0.15609816540858287</v>
      </c>
      <c r="P2246">
        <v>2.0935163167601786E-2</v>
      </c>
      <c r="Q2246">
        <v>1.334026853396929E-3</v>
      </c>
      <c r="R2246">
        <v>3.7293508632891825E-3</v>
      </c>
      <c r="S2246">
        <v>0.48131408972228101</v>
      </c>
      <c r="T2246">
        <v>4.1089392033656482</v>
      </c>
      <c r="U2246">
        <v>0</v>
      </c>
      <c r="V2246">
        <v>1.1304767209823808E-2</v>
      </c>
      <c r="W2246">
        <v>0.19324953758625404</v>
      </c>
      <c r="X2246">
        <v>2.688505369259701E-2</v>
      </c>
      <c r="Y2246">
        <v>1.0539430262124507E-2</v>
      </c>
    </row>
    <row r="2247" spans="1:25" x14ac:dyDescent="0.25">
      <c r="A2247" s="1093"/>
      <c r="B2247" s="1452">
        <v>1997</v>
      </c>
      <c r="C2247" s="1097">
        <v>1.0166225705091188</v>
      </c>
      <c r="D2247" s="1097">
        <v>0.99912659150309968</v>
      </c>
      <c r="E2247" s="1097">
        <v>1.0362083700204905</v>
      </c>
      <c r="F2247" s="1097">
        <v>0.9817340032432601</v>
      </c>
      <c r="G2247" s="1097">
        <v>0.99721255808000286</v>
      </c>
      <c r="H2247" s="1097">
        <v>1.0024711300410329</v>
      </c>
      <c r="I2247" s="1097">
        <v>0.99490963285114509</v>
      </c>
      <c r="K2247">
        <v>5.0709548113177014</v>
      </c>
      <c r="L2247">
        <v>0</v>
      </c>
      <c r="M2247">
        <v>3.244268295425028E-3</v>
      </c>
      <c r="N2247">
        <v>0.31327420617644675</v>
      </c>
      <c r="O2247">
        <v>0.14237478387093741</v>
      </c>
      <c r="P2247">
        <v>2.0434710063977384E-2</v>
      </c>
      <c r="Q2247">
        <v>1.3226802071682547E-3</v>
      </c>
      <c r="R2247">
        <v>3.2387984616044189E-3</v>
      </c>
      <c r="S2247">
        <v>0.44614590450044583</v>
      </c>
      <c r="T2247">
        <v>3.9179272233766307</v>
      </c>
      <c r="U2247">
        <v>0</v>
      </c>
      <c r="V2247">
        <v>1.1304767209823818E-2</v>
      </c>
      <c r="W2247">
        <v>0.18214725689999758</v>
      </c>
      <c r="X2247">
        <v>2.6875657123034434E-2</v>
      </c>
      <c r="Y2247">
        <v>9.1530917230592031E-3</v>
      </c>
    </row>
    <row r="2248" spans="1:25" x14ac:dyDescent="0.25">
      <c r="A2248" s="1093"/>
      <c r="B2248" s="1452">
        <v>1998</v>
      </c>
      <c r="C2248" s="1097">
        <v>1.0405565858103432</v>
      </c>
      <c r="D2248" s="1097">
        <v>0.96160850044752566</v>
      </c>
      <c r="E2248" s="1097">
        <v>1.0220391423274884</v>
      </c>
      <c r="F2248" s="1097">
        <v>1.0004126705484437</v>
      </c>
      <c r="G2248" s="1097">
        <v>0.99445462412044472</v>
      </c>
      <c r="H2248" s="1097">
        <v>1.0397214443068536</v>
      </c>
      <c r="I2248" s="1097">
        <v>0.97279304824202961</v>
      </c>
      <c r="K2248">
        <v>5.1657419118452896</v>
      </c>
      <c r="L2248">
        <v>0</v>
      </c>
      <c r="M2248">
        <v>3.5050389470530434E-3</v>
      </c>
      <c r="N2248">
        <v>0.32459848535239472</v>
      </c>
      <c r="O2248">
        <v>0.1443186032246967</v>
      </c>
      <c r="P2248">
        <v>2.0563160794609191E-2</v>
      </c>
      <c r="Q2248">
        <v>1.2966431672355209E-3</v>
      </c>
      <c r="R2248">
        <v>3.4994473811762327E-3</v>
      </c>
      <c r="S2248">
        <v>0.44291517295257005</v>
      </c>
      <c r="T2248">
        <v>3.9942257215823269</v>
      </c>
      <c r="U2248">
        <v>0</v>
      </c>
      <c r="V2248">
        <v>1.130476720982382E-2</v>
      </c>
      <c r="W2248">
        <v>0.19051206891644459</v>
      </c>
      <c r="X2248">
        <v>2.6123174741691905E-2</v>
      </c>
      <c r="Y2248">
        <v>9.8897054693727841E-3</v>
      </c>
    </row>
    <row r="2249" spans="1:25" x14ac:dyDescent="0.25">
      <c r="A2249" s="1093"/>
      <c r="B2249" s="1452">
        <v>1999</v>
      </c>
      <c r="C2249" s="1097">
        <v>1.0251712143558886</v>
      </c>
      <c r="D2249" s="1097">
        <v>0.99654665696134637</v>
      </c>
      <c r="E2249" s="1097">
        <v>0.99470634955620796</v>
      </c>
      <c r="F2249" s="1097">
        <v>1.0146000110260316</v>
      </c>
      <c r="G2249" s="1097">
        <v>0.97803003245345055</v>
      </c>
      <c r="H2249" s="1097">
        <v>0.9811045490944047</v>
      </c>
      <c r="I2249" s="1097">
        <v>0.96637080689348498</v>
      </c>
      <c r="K2249">
        <v>5.1931378832839288</v>
      </c>
      <c r="L2249">
        <v>0</v>
      </c>
      <c r="M2249">
        <v>3.5554680906853776E-3</v>
      </c>
      <c r="N2249">
        <v>0.30364716041460538</v>
      </c>
      <c r="O2249">
        <v>0.14721022236597164</v>
      </c>
      <c r="P2249">
        <v>2.0402068255720204E-2</v>
      </c>
      <c r="Q2249">
        <v>1.2675657945494681E-3</v>
      </c>
      <c r="R2249">
        <v>3.549541110315608E-3</v>
      </c>
      <c r="S2249">
        <v>0.43814342480972746</v>
      </c>
      <c r="T2249">
        <v>4.0543378565844881</v>
      </c>
      <c r="U2249">
        <v>0</v>
      </c>
      <c r="V2249">
        <v>1.1304767209823811E-2</v>
      </c>
      <c r="W2249">
        <v>0.18151935295741414</v>
      </c>
      <c r="X2249">
        <v>2.5280117699603626E-2</v>
      </c>
      <c r="Y2249">
        <v>1.0031274172395962E-2</v>
      </c>
    </row>
    <row r="2250" spans="1:25" x14ac:dyDescent="0.25">
      <c r="A2250" s="1093"/>
      <c r="B2250" s="1452">
        <v>2000</v>
      </c>
      <c r="C2250" s="1097">
        <v>1.0398914715700571</v>
      </c>
      <c r="D2250" s="1097">
        <v>1.0082968808224584</v>
      </c>
      <c r="E2250" s="1097">
        <v>0.9932357731250353</v>
      </c>
      <c r="F2250" s="1097">
        <v>0.96365648443233387</v>
      </c>
      <c r="G2250" s="1097">
        <v>0.98774513132511088</v>
      </c>
      <c r="H2250" s="1097">
        <v>1.0121196137014707</v>
      </c>
      <c r="I2250" s="1097">
        <v>0.99066203928396834</v>
      </c>
      <c r="K2250">
        <v>4.9477882078649547</v>
      </c>
      <c r="L2250">
        <v>0</v>
      </c>
      <c r="M2250">
        <v>3.4292098584346609E-3</v>
      </c>
      <c r="N2250">
        <v>0.29158047935835185</v>
      </c>
      <c r="O2250">
        <v>0.1372325314577659</v>
      </c>
      <c r="P2250">
        <v>1.9415601950752297E-2</v>
      </c>
      <c r="Q2250">
        <v>1.2422045727739691E-3</v>
      </c>
      <c r="R2250">
        <v>3.4233760887103244E-3</v>
      </c>
      <c r="S2250">
        <v>0.42849487349882809</v>
      </c>
      <c r="T2250">
        <v>3.8509461435884531</v>
      </c>
      <c r="U2250">
        <v>0</v>
      </c>
      <c r="V2250">
        <v>1.1304767209823822E-2</v>
      </c>
      <c r="W2250">
        <v>0.1744799720795682</v>
      </c>
      <c r="X2250">
        <v>2.3422745729263846E-2</v>
      </c>
      <c r="Y2250">
        <v>9.6747221890956889E-3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A46" zoomScale="70" zoomScaleNormal="70" workbookViewId="0">
      <selection activeCell="Q65" sqref="Q65:Q113"/>
    </sheetView>
  </sheetViews>
  <sheetFormatPr defaultColWidth="11" defaultRowHeight="12.5" x14ac:dyDescent="0.25"/>
  <cols>
    <col min="1" max="1" width="27.26953125" style="53" customWidth="1"/>
    <col min="2" max="2" width="28.7265625" style="53" customWidth="1"/>
    <col min="3" max="3" width="25.26953125" style="53" customWidth="1"/>
    <col min="4" max="4" width="18.7265625" style="53" customWidth="1"/>
    <col min="5" max="5" width="49.726562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6.7265625" style="53" customWidth="1"/>
    <col min="30" max="30" width="14.81640625" style="53" customWidth="1"/>
    <col min="31" max="31" width="15.453125" style="53" customWidth="1"/>
    <col min="32" max="32" width="11" style="53"/>
    <col min="33" max="33" width="14.81640625" style="53" customWidth="1"/>
    <col min="34" max="16384" width="11" style="53"/>
  </cols>
  <sheetData>
    <row r="1" spans="1:23" ht="15" customHeight="1" thickBot="1" x14ac:dyDescent="0.3">
      <c r="D1" s="41"/>
    </row>
    <row r="2" spans="1:23" ht="15" customHeight="1" thickTop="1" x14ac:dyDescent="0.3">
      <c r="A2" s="589" t="s">
        <v>493</v>
      </c>
      <c r="B2" s="583"/>
      <c r="C2" s="584"/>
      <c r="D2" s="41"/>
    </row>
    <row r="3" spans="1:23" ht="15" customHeight="1" x14ac:dyDescent="0.25">
      <c r="A3" s="590" t="s">
        <v>494</v>
      </c>
      <c r="B3" s="585"/>
      <c r="C3" s="586"/>
      <c r="E3" s="148"/>
      <c r="F3" s="40"/>
      <c r="G3" s="41"/>
    </row>
    <row r="4" spans="1:23" ht="30.75" customHeight="1" x14ac:dyDescent="0.25">
      <c r="A4" s="590" t="s">
        <v>495</v>
      </c>
      <c r="B4" s="585"/>
      <c r="C4" s="586"/>
      <c r="T4" s="151"/>
      <c r="U4" s="134"/>
      <c r="V4" s="134"/>
      <c r="W4" s="134"/>
    </row>
    <row r="5" spans="1:23" ht="26.25" customHeight="1" x14ac:dyDescent="0.25">
      <c r="A5" s="590" t="s">
        <v>79</v>
      </c>
      <c r="B5" s="585"/>
      <c r="C5" s="586"/>
      <c r="T5" s="151"/>
      <c r="U5" s="134"/>
      <c r="V5" s="134"/>
      <c r="W5" s="134"/>
    </row>
    <row r="6" spans="1:23" ht="15" customHeight="1" thickBot="1" x14ac:dyDescent="0.3">
      <c r="A6" s="591" t="s">
        <v>496</v>
      </c>
      <c r="B6" s="587"/>
      <c r="C6" s="588"/>
      <c r="T6" s="151"/>
      <c r="U6" s="134"/>
      <c r="V6" s="134"/>
      <c r="W6" s="134"/>
    </row>
    <row r="7" spans="1:23" ht="15" customHeight="1" thickTop="1" x14ac:dyDescent="0.25">
      <c r="T7" s="151"/>
      <c r="U7" s="134"/>
      <c r="V7" s="134"/>
      <c r="W7" s="134"/>
    </row>
    <row r="8" spans="1:23" ht="15" customHeight="1" x14ac:dyDescent="0.25">
      <c r="T8" s="151"/>
      <c r="U8" s="134"/>
      <c r="V8" s="134"/>
      <c r="W8" s="134"/>
    </row>
    <row r="9" spans="1:23" ht="15" customHeight="1" x14ac:dyDescent="0.25">
      <c r="T9" s="151"/>
      <c r="U9" s="134"/>
      <c r="V9" s="134"/>
      <c r="W9" s="134"/>
    </row>
    <row r="10" spans="1:23" ht="15" customHeight="1" x14ac:dyDescent="0.25">
      <c r="T10" s="151"/>
      <c r="U10" s="134"/>
      <c r="V10" s="134"/>
      <c r="W10" s="134"/>
    </row>
    <row r="11" spans="1:23" ht="15" customHeight="1" x14ac:dyDescent="0.25">
      <c r="T11" s="151"/>
      <c r="U11" s="134"/>
      <c r="V11" s="134"/>
      <c r="W11" s="134"/>
    </row>
    <row r="12" spans="1:23" ht="29.25" customHeight="1" x14ac:dyDescent="0.25">
      <c r="T12" s="151"/>
      <c r="U12" s="134"/>
      <c r="V12" s="134"/>
      <c r="W12" s="134"/>
    </row>
    <row r="13" spans="1:23" ht="15" customHeight="1" x14ac:dyDescent="0.35">
      <c r="A13" s="137"/>
      <c r="B13" s="147"/>
      <c r="C13" s="147"/>
      <c r="D13" s="147"/>
      <c r="E13" s="147"/>
      <c r="F13" s="134"/>
      <c r="G13" s="40"/>
      <c r="H13" s="41"/>
    </row>
    <row r="14" spans="1:23" ht="15" customHeight="1" thickBot="1" x14ac:dyDescent="0.45">
      <c r="A14" s="133"/>
    </row>
    <row r="15" spans="1:23" ht="29.25" customHeight="1" thickTop="1" thickBot="1" x14ac:dyDescent="0.4">
      <c r="A15" s="155" t="s">
        <v>89</v>
      </c>
      <c r="B15" s="150"/>
      <c r="D15" s="1675" t="s">
        <v>65</v>
      </c>
      <c r="E15" s="1676"/>
    </row>
    <row r="16" spans="1:23" ht="39.5" thickTop="1" x14ac:dyDescent="0.3">
      <c r="A16" s="156" t="s">
        <v>90</v>
      </c>
      <c r="B16" s="157"/>
      <c r="D16" s="317" t="str">
        <f>"Hydrogen Cost (Year "&amp;TEXT(ref_year,"0")&amp;" Real $/kg)"</f>
        <v>Hydrogen Cost (Year 2016 Real $/kg)</v>
      </c>
      <c r="E16" s="1211">
        <f ca="1">H2_price_nominal/INFLATION_FACTOR</f>
        <v>5.1754277256570624</v>
      </c>
    </row>
    <row r="17" spans="1:10" ht="37.5" x14ac:dyDescent="0.25">
      <c r="A17" s="158" t="s">
        <v>91</v>
      </c>
      <c r="B17" s="159">
        <f ca="1">output_kgyear</f>
        <v>17702500</v>
      </c>
      <c r="D17" s="138" t="s">
        <v>934</v>
      </c>
      <c r="E17" s="1082">
        <f ca="1">+SUM(X57:AB57)/AC57*(1+inflation_rate)^construct</f>
        <v>5.0789280919107584</v>
      </c>
    </row>
    <row r="18" spans="1:10" ht="25" x14ac:dyDescent="0.25">
      <c r="A18" s="158" t="s">
        <v>92</v>
      </c>
      <c r="B18" s="159">
        <f ca="1">B17*H2_LHV_MJ_p_kg/1000/mmBTU_to_GJ</f>
        <v>2017105.7127204614</v>
      </c>
      <c r="D18" s="139" t="s">
        <v>982</v>
      </c>
      <c r="E18" s="140">
        <f ca="1">((E20+1)/(1+B30))-1</f>
        <v>8.0000000000002069E-2</v>
      </c>
    </row>
    <row r="19" spans="1:10" ht="28.5" customHeight="1" x14ac:dyDescent="0.3">
      <c r="A19" s="158" t="s">
        <v>93</v>
      </c>
      <c r="B19" s="159">
        <f ca="1">B17*H2_LHV_MJ_p_kg</f>
        <v>2128046526.9200866</v>
      </c>
      <c r="C19" s="136"/>
      <c r="D19" s="139" t="s">
        <v>990</v>
      </c>
      <c r="E19" s="140">
        <f ca="1">((E21+1)/(1+B30))-1</f>
        <v>9.3185014982556602E-2</v>
      </c>
    </row>
    <row r="20" spans="1:10" ht="15" customHeight="1" x14ac:dyDescent="0.25">
      <c r="A20" s="160" t="s">
        <v>94</v>
      </c>
      <c r="B20" s="159">
        <f ca="1">design_cap</f>
        <v>50000</v>
      </c>
      <c r="D20" s="141" t="s">
        <v>981</v>
      </c>
      <c r="E20" s="142">
        <f ca="1">IRR(AA65:AA113)</f>
        <v>0.10052000000000194</v>
      </c>
    </row>
    <row r="21" spans="1:10" ht="15" customHeight="1" x14ac:dyDescent="0.25">
      <c r="A21" s="160" t="s">
        <v>95</v>
      </c>
      <c r="B21" s="159">
        <f ca="1">B20*365</f>
        <v>18250000</v>
      </c>
      <c r="D21" s="141" t="s">
        <v>989</v>
      </c>
      <c r="E21" s="142">
        <f ca="1">IRR(AC65:AC113)</f>
        <v>0.11395553026722505</v>
      </c>
    </row>
    <row r="22" spans="1:10" ht="15" customHeight="1" x14ac:dyDescent="0.25">
      <c r="A22" s="161" t="s">
        <v>96</v>
      </c>
      <c r="B22" s="162">
        <f ca="1">cap_factor</f>
        <v>0.97</v>
      </c>
      <c r="D22" s="144" t="s">
        <v>66</v>
      </c>
      <c r="E22" s="145">
        <f ca="1">(real_irr*(1+real_irr)^anal_period)/(((1+real_irr)^anal_period)-1)</f>
        <v>8.3860161500585326E-2</v>
      </c>
    </row>
    <row r="23" spans="1:10" ht="15" customHeight="1" x14ac:dyDescent="0.25">
      <c r="A23" s="160"/>
      <c r="B23" s="163"/>
      <c r="D23" s="144" t="s">
        <v>76</v>
      </c>
      <c r="E23" s="145">
        <f ca="1">(nominal_irr*(1+nominal_irr)^anal_period)/(((1+nominal_irr)^anal_period)-1)</f>
        <v>0.10274768859314053</v>
      </c>
    </row>
    <row r="24" spans="1:10" ht="24.75" customHeight="1" x14ac:dyDescent="0.3">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5">
      <c r="A25" s="139" t="s">
        <v>98</v>
      </c>
      <c r="B25" s="164">
        <f>startup_year</f>
        <v>2015</v>
      </c>
      <c r="D25" s="144" t="s">
        <v>78</v>
      </c>
      <c r="E25" s="145">
        <f ca="1">(E23*(1-total_tax_rate*INDEX(Depreciation!B12:H37,MATCH("NPV - Nominal IRR",Depreciation!B12:B37,0),MATCH(depr_length,recovery_period,0))))/(1-total_tax_rate)</f>
        <v>0.12265813940348715</v>
      </c>
    </row>
    <row r="26" spans="1:10" ht="15" customHeight="1" thickBot="1" x14ac:dyDescent="0.3">
      <c r="A26" s="160" t="s">
        <v>99</v>
      </c>
      <c r="B26" s="154">
        <f ca="1">real_irr</f>
        <v>0.08</v>
      </c>
      <c r="C26" s="165"/>
      <c r="D26" s="146" t="s">
        <v>249</v>
      </c>
      <c r="E26" s="1081">
        <f ca="1">NPV(nominal_irr,AA65:AA113)</f>
        <v>6.9541155607373743E-7</v>
      </c>
    </row>
    <row r="27" spans="1:10" ht="15" customHeight="1" thickTop="1" x14ac:dyDescent="0.25">
      <c r="A27" s="139" t="s">
        <v>987</v>
      </c>
      <c r="B27" s="154">
        <f ca="1">((1+B26)*(1+B30))-1</f>
        <v>0.10051999999999994</v>
      </c>
      <c r="C27" s="165"/>
      <c r="D27" s="166"/>
    </row>
    <row r="28" spans="1:10" ht="15" customHeight="1" x14ac:dyDescent="0.25">
      <c r="A28" s="160" t="s">
        <v>100</v>
      </c>
      <c r="B28" s="164">
        <f>anal_period</f>
        <v>40</v>
      </c>
      <c r="C28" s="165"/>
      <c r="D28" s="166"/>
      <c r="F28" s="166"/>
    </row>
    <row r="29" spans="1:10" ht="15" customHeight="1" x14ac:dyDescent="0.25">
      <c r="A29" s="160" t="s">
        <v>101</v>
      </c>
      <c r="B29" s="164">
        <f>plant_life</f>
        <v>40</v>
      </c>
      <c r="C29" s="165"/>
      <c r="D29" s="166"/>
    </row>
    <row r="30" spans="1:10" ht="15" customHeight="1" x14ac:dyDescent="0.25">
      <c r="A30" s="160" t="s">
        <v>102</v>
      </c>
      <c r="B30" s="154">
        <f>inflation_rate</f>
        <v>1.9E-2</v>
      </c>
      <c r="F30" s="1080"/>
      <c r="G30" s="1079"/>
      <c r="H30" s="1079"/>
      <c r="I30" s="1079"/>
      <c r="J30" s="1079"/>
    </row>
    <row r="31" spans="1:10" ht="15" customHeight="1" x14ac:dyDescent="0.25">
      <c r="A31" s="160" t="s">
        <v>103</v>
      </c>
      <c r="B31" s="167">
        <f>100%-equity</f>
        <v>0.6</v>
      </c>
    </row>
    <row r="32" spans="1:10" ht="15" customHeight="1" x14ac:dyDescent="0.25">
      <c r="A32" s="139" t="s">
        <v>104</v>
      </c>
      <c r="B32" s="168">
        <f>equity</f>
        <v>0.4</v>
      </c>
    </row>
    <row r="33" spans="1:18" ht="15" customHeight="1" x14ac:dyDescent="0.25">
      <c r="A33" s="139" t="s">
        <v>105</v>
      </c>
      <c r="B33" s="154">
        <f>total_tax_rate</f>
        <v>0.25739999999999996</v>
      </c>
    </row>
    <row r="34" spans="1:18" ht="15" customHeight="1" x14ac:dyDescent="0.25">
      <c r="A34" s="139"/>
      <c r="B34" s="169"/>
    </row>
    <row r="35" spans="1:18" ht="28.5" customHeight="1" x14ac:dyDescent="0.3">
      <c r="A35" s="170" t="s">
        <v>106</v>
      </c>
      <c r="B35" s="171"/>
    </row>
    <row r="36" spans="1:18" ht="15" customHeight="1" x14ac:dyDescent="0.25">
      <c r="A36" s="160" t="s">
        <v>107</v>
      </c>
      <c r="B36" s="164">
        <f>debt_period</f>
        <v>0</v>
      </c>
    </row>
    <row r="37" spans="1:18" ht="15" customHeight="1" x14ac:dyDescent="0.25">
      <c r="A37" s="160" t="s">
        <v>108</v>
      </c>
      <c r="B37" s="172">
        <f>debt_interest</f>
        <v>3.6999999999999998E-2</v>
      </c>
      <c r="K37" s="1079"/>
    </row>
    <row r="38" spans="1:18" ht="15" customHeight="1" x14ac:dyDescent="0.25">
      <c r="A38" s="139"/>
      <c r="B38" s="157"/>
      <c r="K38" s="1079"/>
    </row>
    <row r="39" spans="1:18" ht="28.5" customHeight="1" x14ac:dyDescent="0.3">
      <c r="A39" s="170" t="s">
        <v>109</v>
      </c>
      <c r="B39" s="157"/>
      <c r="F39" s="1079"/>
      <c r="G39" s="1079"/>
      <c r="H39" s="1079"/>
      <c r="I39" s="1079"/>
      <c r="J39" s="1079"/>
      <c r="K39" s="1079"/>
      <c r="L39" s="1079"/>
    </row>
    <row r="40" spans="1:18" ht="15" customHeight="1" x14ac:dyDescent="0.25">
      <c r="A40" s="139" t="s">
        <v>110</v>
      </c>
      <c r="B40" s="164">
        <f>construct</f>
        <v>1</v>
      </c>
      <c r="G40" s="1079"/>
      <c r="H40" s="1079"/>
    </row>
    <row r="41" spans="1:18" ht="15" customHeight="1" x14ac:dyDescent="0.25">
      <c r="A41" s="139" t="s">
        <v>111</v>
      </c>
      <c r="B41" s="162">
        <f>start_time</f>
        <v>0</v>
      </c>
    </row>
    <row r="42" spans="1:18" ht="15" customHeight="1" x14ac:dyDescent="0.25">
      <c r="A42" s="158" t="s">
        <v>112</v>
      </c>
      <c r="B42" s="167">
        <f>percnt_revs</f>
        <v>0.5</v>
      </c>
    </row>
    <row r="43" spans="1:18" ht="15" customHeight="1" x14ac:dyDescent="0.25">
      <c r="A43" s="158" t="s">
        <v>113</v>
      </c>
      <c r="B43" s="167">
        <f>percnt_var</f>
        <v>0.75</v>
      </c>
    </row>
    <row r="44" spans="1:18" ht="15" customHeight="1" x14ac:dyDescent="0.25">
      <c r="A44" s="158" t="s">
        <v>114</v>
      </c>
      <c r="B44" s="167">
        <f>percnt_fixed</f>
        <v>1</v>
      </c>
    </row>
    <row r="45" spans="1:18" ht="15" customHeight="1" x14ac:dyDescent="0.25">
      <c r="A45" s="139"/>
      <c r="B45" s="157"/>
    </row>
    <row r="46" spans="1:18" ht="28.5" customHeight="1" x14ac:dyDescent="0.3">
      <c r="A46" s="170" t="s">
        <v>115</v>
      </c>
      <c r="B46" s="157"/>
      <c r="F46" s="173"/>
    </row>
    <row r="47" spans="1:18" ht="15" customHeight="1" x14ac:dyDescent="0.25">
      <c r="A47" s="139" t="s">
        <v>389</v>
      </c>
      <c r="B47" s="174" t="str">
        <f>depr_type</f>
        <v>MACRS</v>
      </c>
      <c r="F47" s="173"/>
    </row>
    <row r="48" spans="1:18" ht="15" customHeight="1" x14ac:dyDescent="0.25">
      <c r="A48" s="139" t="s">
        <v>53</v>
      </c>
      <c r="B48" s="164">
        <f>depr_length</f>
        <v>20</v>
      </c>
      <c r="F48" s="173"/>
      <c r="R48" s="53">
        <f ca="1">inflated_othervar</f>
        <v>0</v>
      </c>
    </row>
    <row r="49" spans="1:32" ht="15" customHeight="1" x14ac:dyDescent="0.25">
      <c r="A49" s="139"/>
      <c r="B49" s="157"/>
      <c r="F49" s="173"/>
    </row>
    <row r="50" spans="1:32" ht="28.5" customHeight="1" x14ac:dyDescent="0.3">
      <c r="A50" s="170" t="s">
        <v>116</v>
      </c>
      <c r="B50" s="157"/>
      <c r="R50" s="1525">
        <f ca="1">IF(C66="","",
IF(C66&lt;0,0,
IF(AND(C66=1,start_time&lt;1),
-((SUM(F140:J140,P140:R140)*output_kgyear+inflated_othervar)*E66*percnt_var*start_time+(SUM(F140:J140,P140:R140)*output_kgyear+inflated_othervar)*E66*(1-start_time)),
IF(C66&lt;=start_time,-(SUM(F140:J140,P140:R140)*output_kgyear+inflated_othervar)*E66*percnt_var,-E66*(SUM(F140:J140,P140:R140)*output_kgyear+inflated_othervar)))))</f>
        <v>-196391.20856909329</v>
      </c>
    </row>
    <row r="51" spans="1:32" ht="30.75" customHeight="1" x14ac:dyDescent="0.25">
      <c r="A51" s="138" t="s">
        <v>978</v>
      </c>
      <c r="B51" s="175">
        <f ca="1">(total_cap-non_dep_cap)*INFLATION_FACTOR</f>
        <v>162475022.60539287</v>
      </c>
      <c r="F51" s="173"/>
    </row>
    <row r="52" spans="1:32" ht="30" customHeight="1" thickBot="1" x14ac:dyDescent="0.3">
      <c r="A52" s="138" t="s">
        <v>980</v>
      </c>
      <c r="B52" s="175">
        <f ca="1">non_dep_cap*INFLATION_FACTOR</f>
        <v>270050.0948597861</v>
      </c>
      <c r="F52" s="173"/>
    </row>
    <row r="53" spans="1:32" ht="15" customHeight="1" thickBot="1" x14ac:dyDescent="0.4">
      <c r="A53" s="138" t="s">
        <v>117</v>
      </c>
      <c r="B53" s="175">
        <f ca="1">SUM(B51:B52)</f>
        <v>162745072.70025265</v>
      </c>
      <c r="F53" s="173"/>
      <c r="W53" s="1677" t="s">
        <v>1172</v>
      </c>
      <c r="X53" s="1678"/>
      <c r="Y53" s="1130"/>
      <c r="Z53" s="1130"/>
      <c r="AA53" s="1130"/>
      <c r="AB53" s="1130"/>
      <c r="AC53" s="1131"/>
    </row>
    <row r="54" spans="1:32" ht="15" customHeight="1" thickTop="1" x14ac:dyDescent="0.3">
      <c r="A54" s="138" t="s">
        <v>983</v>
      </c>
      <c r="B54" s="175">
        <f ca="1">decom_percent*depr_cap_infl</f>
        <v>16247502.260539288</v>
      </c>
      <c r="F54" s="173"/>
      <c r="W54" s="1132"/>
      <c r="X54" s="1125" t="s">
        <v>83</v>
      </c>
      <c r="Y54" s="1126" t="s">
        <v>1122</v>
      </c>
      <c r="Z54" s="1126" t="s">
        <v>1123</v>
      </c>
      <c r="AA54" s="1125" t="s">
        <v>1124</v>
      </c>
      <c r="AB54" s="1126" t="s">
        <v>1129</v>
      </c>
      <c r="AC54" s="1133" t="s">
        <v>1125</v>
      </c>
    </row>
    <row r="55" spans="1:32" ht="15" customHeight="1" x14ac:dyDescent="0.25">
      <c r="A55" s="138" t="s">
        <v>992</v>
      </c>
      <c r="B55" s="175">
        <f ca="1">salvage_perct*B53</f>
        <v>16274507.270025266</v>
      </c>
      <c r="F55" s="173"/>
      <c r="W55" s="1134" t="s">
        <v>1120</v>
      </c>
      <c r="X55" s="1127">
        <f ca="1">-SUM(H116:K116)</f>
        <v>98342672.979217753</v>
      </c>
      <c r="Y55" s="1127">
        <f ca="1">-U116</f>
        <v>85425637.176130459</v>
      </c>
      <c r="Z55" s="1127">
        <f ca="1">-Z116</f>
        <v>2074178.3302472078</v>
      </c>
      <c r="AA55" s="1127">
        <f ca="1">-SUM(L116:S116)</f>
        <v>946534784.54230547</v>
      </c>
      <c r="AB55" s="1127">
        <f ca="1">+AF116</f>
        <v>0</v>
      </c>
      <c r="AC55" s="1135">
        <f ca="1">+AE116</f>
        <v>211095467.54064411</v>
      </c>
    </row>
    <row r="56" spans="1:32" ht="15" customHeight="1" x14ac:dyDescent="0.25">
      <c r="A56" s="160" t="s">
        <v>984</v>
      </c>
      <c r="B56" s="60">
        <f ca="1">fixed*INFLATION_FACTOR</f>
        <v>8033466.8830299107</v>
      </c>
      <c r="F56" s="173"/>
      <c r="W56" s="1134" t="s">
        <v>1130</v>
      </c>
      <c r="X56" s="1128">
        <v>1</v>
      </c>
      <c r="Y56" s="1128">
        <f>-total_tax_rate</f>
        <v>-0.25739999999999996</v>
      </c>
      <c r="Z56" s="1128">
        <v>1</v>
      </c>
      <c r="AA56" s="1128">
        <f>1-total_tax_rate</f>
        <v>0.74260000000000004</v>
      </c>
      <c r="AB56" s="1128">
        <v>-1</v>
      </c>
      <c r="AC56" s="1136">
        <f>1-total_tax_rate</f>
        <v>0.74260000000000004</v>
      </c>
    </row>
    <row r="57" spans="1:32" ht="15" customHeight="1" x14ac:dyDescent="0.25">
      <c r="A57" s="160" t="s">
        <v>985</v>
      </c>
      <c r="B57" s="60">
        <f ca="1">total_other_raw*INFLATION_FACTOR</f>
        <v>0</v>
      </c>
      <c r="E57" s="53">
        <f>CO2_OandMcost</f>
        <v>0</v>
      </c>
      <c r="F57" s="173"/>
      <c r="W57" s="1134" t="s">
        <v>1121</v>
      </c>
      <c r="X57" s="1129">
        <f t="shared" ref="X57:Z57" ca="1" si="0">+X55*X56</f>
        <v>98342672.979217753</v>
      </c>
      <c r="Y57" s="1129">
        <f t="shared" ca="1" si="0"/>
        <v>-21988559.009135976</v>
      </c>
      <c r="Z57" s="1129">
        <f t="shared" ca="1" si="0"/>
        <v>2074178.3302472078</v>
      </c>
      <c r="AA57" s="1129">
        <f ca="1">+AA55*AA56</f>
        <v>702896731.00111604</v>
      </c>
      <c r="AB57" s="1129">
        <f ca="1">+AB55*AB56</f>
        <v>0</v>
      </c>
      <c r="AC57" s="1137">
        <f ca="1">+AC55*AC56</f>
        <v>156759494.19568232</v>
      </c>
    </row>
    <row r="58" spans="1:32" ht="45.75" customHeight="1" thickBot="1" x14ac:dyDescent="0.3">
      <c r="A58" s="176" t="s">
        <v>986</v>
      </c>
      <c r="B58" s="62">
        <f ca="1">(var_misc+royalties+operator_profit+CO2_OandMcost+waste_treat+solidwaste_treat)*INFLATION_FACTOR</f>
        <v>0</v>
      </c>
      <c r="D58" s="1524">
        <f ca="1">(var_misc+royalties+operator_profit+CO2_OandMcost+waste_treat+solidwaste_treat)*INFLATION_FACTOR</f>
        <v>0</v>
      </c>
      <c r="F58" s="173"/>
      <c r="W58" s="1138"/>
      <c r="X58" s="1139"/>
      <c r="Y58" s="1139"/>
      <c r="Z58" s="1139"/>
      <c r="AA58" s="1139"/>
      <c r="AB58" s="1139"/>
      <c r="AC58" s="1140"/>
    </row>
    <row r="59" spans="1:32" ht="15" customHeight="1" thickTop="1" x14ac:dyDescent="0.25">
      <c r="F59" s="173"/>
      <c r="W59" s="1141" t="s">
        <v>1119</v>
      </c>
      <c r="X59" s="1082">
        <f ca="1">+(1+real_irr)*(1+inflation_rate)-1</f>
        <v>0.10051999999999994</v>
      </c>
      <c r="Y59" s="1139"/>
      <c r="Z59" s="1139"/>
      <c r="AA59" s="1139"/>
      <c r="AB59" s="1139"/>
      <c r="AC59" s="1140"/>
    </row>
    <row r="60" spans="1:32" ht="15" customHeight="1" thickBot="1" x14ac:dyDescent="0.3">
      <c r="F60" s="173"/>
      <c r="W60" s="1142" t="str">
        <f>+D16</f>
        <v>Hydrogen Cost (Year 2016 Real $/kg)</v>
      </c>
      <c r="X60" s="1143">
        <f ca="1">+SUM(X57:AB57)/AC57*(1+inflation_rate)^construct/INFLATION_FACTOR</f>
        <v>5.1754277256570624</v>
      </c>
      <c r="Y60" s="1144"/>
      <c r="Z60" s="1144"/>
      <c r="AA60" s="1144"/>
      <c r="AB60" s="1144"/>
      <c r="AC60" s="1145"/>
    </row>
    <row r="61" spans="1:32" ht="39.75" customHeight="1" x14ac:dyDescent="0.25">
      <c r="F61" s="173"/>
    </row>
    <row r="62" spans="1:32" ht="17.25" customHeight="1" thickBot="1" x14ac:dyDescent="0.3">
      <c r="F62" s="173"/>
    </row>
    <row r="63" spans="1:32" ht="29.25" customHeight="1" thickTop="1" thickBot="1" x14ac:dyDescent="0.4">
      <c r="A63" s="49" t="s">
        <v>118</v>
      </c>
      <c r="B63" s="177"/>
      <c r="C63" s="177"/>
      <c r="D63" s="177"/>
      <c r="E63" s="177"/>
      <c r="F63" s="177"/>
      <c r="G63" s="177"/>
      <c r="H63" s="1169"/>
      <c r="I63" s="1169"/>
      <c r="J63" s="1169"/>
      <c r="K63" s="1169"/>
      <c r="L63" s="1169"/>
      <c r="M63" s="1169"/>
      <c r="N63" s="1169"/>
      <c r="O63" s="1169"/>
      <c r="P63" s="1169"/>
      <c r="Q63" s="1169"/>
      <c r="R63" s="1169"/>
      <c r="S63" s="1169"/>
      <c r="T63" s="1169"/>
      <c r="U63" s="1169"/>
      <c r="V63" s="1169"/>
      <c r="W63" s="1169"/>
      <c r="X63" s="1169"/>
      <c r="Y63" s="1169"/>
      <c r="Z63" s="1169"/>
      <c r="AA63" s="1169"/>
      <c r="AB63" s="1169"/>
      <c r="AC63" s="1170"/>
    </row>
    <row r="64" spans="1:32" ht="66" thickTop="1" thickBot="1" x14ac:dyDescent="0.35">
      <c r="A64" s="1146" t="s">
        <v>1127</v>
      </c>
      <c r="B64" s="1147" t="s">
        <v>40</v>
      </c>
      <c r="C64" s="1147" t="s">
        <v>56</v>
      </c>
      <c r="D64" s="1147" t="s">
        <v>119</v>
      </c>
      <c r="E64" s="1148" t="s">
        <v>120</v>
      </c>
      <c r="F64" s="1148" t="s">
        <v>1132</v>
      </c>
      <c r="G64" s="1149" t="s">
        <v>121</v>
      </c>
      <c r="H64" s="1171" t="s">
        <v>122</v>
      </c>
      <c r="I64" s="1172" t="s">
        <v>123</v>
      </c>
      <c r="J64" s="1172" t="s">
        <v>1126</v>
      </c>
      <c r="K64" s="1172" t="s">
        <v>135</v>
      </c>
      <c r="L64" s="1172" t="s">
        <v>992</v>
      </c>
      <c r="M64" s="1172" t="s">
        <v>84</v>
      </c>
      <c r="N64" s="1172" t="s">
        <v>136</v>
      </c>
      <c r="O64" s="1172" t="s">
        <v>1131</v>
      </c>
      <c r="P64" s="1172" t="s">
        <v>137</v>
      </c>
      <c r="Q64" s="1172" t="s">
        <v>1133</v>
      </c>
      <c r="R64" s="1172" t="s">
        <v>138</v>
      </c>
      <c r="S64" s="1172" t="s">
        <v>139</v>
      </c>
      <c r="T64" s="1172" t="s">
        <v>140</v>
      </c>
      <c r="U64" s="1172" t="s">
        <v>60</v>
      </c>
      <c r="V64" s="1172" t="s">
        <v>141</v>
      </c>
      <c r="W64" s="1172" t="s">
        <v>142</v>
      </c>
      <c r="X64" s="1172" t="s">
        <v>144</v>
      </c>
      <c r="Y64" s="1172" t="s">
        <v>145</v>
      </c>
      <c r="Z64" s="1172" t="s">
        <v>45</v>
      </c>
      <c r="AA64" s="1173" t="s">
        <v>146</v>
      </c>
      <c r="AB64" s="1173" t="s">
        <v>147</v>
      </c>
      <c r="AC64" s="1151" t="s">
        <v>148</v>
      </c>
      <c r="AD64" s="178"/>
      <c r="AE64" s="1150" t="s">
        <v>1118</v>
      </c>
      <c r="AF64" s="1151" t="s">
        <v>1128</v>
      </c>
    </row>
    <row r="65" spans="1:32" ht="13" thickTop="1" x14ac:dyDescent="0.25">
      <c r="A65" s="179">
        <f>startup_year-construct</f>
        <v>2014</v>
      </c>
      <c r="B65" s="180">
        <v>1</v>
      </c>
      <c r="C65" s="180">
        <f>IF(construct=0,1,-construct)</f>
        <v>-1</v>
      </c>
      <c r="D65" s="180">
        <f t="shared" ref="D65:D96" si="1">IF(C65="","",IF(C65&lt;=plant_life,C65,IF(D64=plant_life,1,D64+1)))</f>
        <v>-1</v>
      </c>
      <c r="E65" s="181">
        <f t="shared" ref="E65:E96" si="2">IF(C65="","",(1+inflation_rate)^(A65-$B$25))</f>
        <v>0.9813542688910698</v>
      </c>
      <c r="F65" s="182">
        <f t="shared" ref="F65:F96" si="3">IF(C65="","",IF(C65&lt;0,0,IF(AND(C65=1,start_time&lt;1),E65*(H2_price_nominal*output_kgyear*start_time*percnt_revs+H2_price_nominal*output_kgyear*(1-start_time)),IF(C65&lt;=start_time,H2_price_nominal*E65*output_kgyear*percnt_revs,H2_price_nominal*output_kgyear*E65))))</f>
        <v>0</v>
      </c>
      <c r="G65" s="1165">
        <f ca="1">-$B$31*depr_cap_infl*E65</f>
        <v>-95667334.213185206</v>
      </c>
      <c r="H65" s="1174">
        <f ca="1">IF(C65&lt;0,-E65*equity*depr_cap_infl*percent_cap1,IF(C65=1,-E65*equity*depr_cap_infl,0))</f>
        <v>-63778222.808790147</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ca="1" si="4">IF(C65=-construct,-E65*non_dep_infl,"")</f>
        <v>-265014.81340508943</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-3539691.3658878524</v>
      </c>
      <c r="T65" s="183">
        <f t="shared" ref="T65:T96" ca="1" si="12">IF(C65="","",F65+SUM(L65:S65))</f>
        <v>-3539691.3658878524</v>
      </c>
      <c r="U65" s="183">
        <f>IF(C65="","",IF(C65&lt;-1,0,IF(C65=anal_period,-LOOKUP(C65,depr_yr,depr_cost)-Depreciation!$C$141-Depreciation!$B$166,-LOOKUP(C65,depr_yr,depr_cost))))</f>
        <v>0</v>
      </c>
      <c r="V65" s="183">
        <f t="shared" ref="V65:V96" ca="1" si="13">IF(C65="","",SUM(T65:U65))</f>
        <v>-3539691.3658878524</v>
      </c>
      <c r="W65" s="184">
        <f t="shared" ref="W65:W96" si="14">IF(C65="","",$B$33)</f>
        <v>0.25739999999999996</v>
      </c>
      <c r="X65" s="183">
        <f t="shared" ref="X65:X96" ca="1" si="15">IF(C65="","",tax_credit-(V65*W65 +Upstream_CO2_taxpYear + Proc_CO2_taxpYear))</f>
        <v>911116.55757953308</v>
      </c>
      <c r="Y65" s="183">
        <f t="shared" ref="Y65:Y96" ca="1" si="16">IF(C65="","",SUM(T65,X65))</f>
        <v>-2628574.8083083192</v>
      </c>
      <c r="Z65" s="183">
        <f>IF(C65="","",IF($B$31=0,"",-'Debt Financing Calculations'!F14))</f>
        <v>0</v>
      </c>
      <c r="AA65" s="183">
        <f t="shared" ref="AA65:AA96" ca="1" si="17">IF(C65="","",SUM(H65,I65,J65,K65,T65,X65,Z65))</f>
        <v>-66671812.430503562</v>
      </c>
      <c r="AB65" s="183">
        <f ca="1">AA65</f>
        <v>-66671812.430503562</v>
      </c>
      <c r="AC65" s="1152">
        <f t="shared" ref="AC65:AC96" ca="1" si="18">IF(C65="","",SUM(H65,I65,J65,K65,T65,Z65))</f>
        <v>-67582928.988083094</v>
      </c>
      <c r="AD65" s="134"/>
      <c r="AE65" s="1156">
        <f t="shared" ref="AE65:AE96" si="19">IF(C65="","",IF(C65&lt;0,0,IF(AND(C65=1,start_time&lt;1),(output_kgyear*start_time*percnt_revs+output_kgyear*(1-start_time)),IF(C65&lt;=start_time,output_kgyear*percnt_revs,output_kgyear))))</f>
        <v>0</v>
      </c>
      <c r="AF65" s="1152">
        <f t="shared" ref="AF65:AF96" si="20">IF(C65="","",tax_credit)</f>
        <v>0</v>
      </c>
    </row>
    <row r="66" spans="1:32" ht="13" x14ac:dyDescent="0.3">
      <c r="A66" s="58">
        <f t="shared" ref="A66:A113" si="21">IF(B66&lt;&gt;"",A65+1,"")</f>
        <v>2015</v>
      </c>
      <c r="B66" s="185">
        <f>IF(MAX($B$65:B65)&lt;(construct+anal_period),B65+1,"")</f>
        <v>2</v>
      </c>
      <c r="C66" s="185">
        <f t="shared" ref="C66:C113" si="22">IF(B66="","",IF(C65=-1,1,C65+1))</f>
        <v>1</v>
      </c>
      <c r="D66" s="185">
        <f t="shared" si="1"/>
        <v>1</v>
      </c>
      <c r="E66" s="186">
        <f t="shared" si="2"/>
        <v>1</v>
      </c>
      <c r="F66" s="59">
        <f t="shared" ca="1" si="3"/>
        <v>89909724.547050208</v>
      </c>
      <c r="G66" s="1166"/>
      <c r="H66" s="1175">
        <f>IF(C66&lt;0,-E66*equity*depr_cap_infl*percent_cap2,0)</f>
        <v>0</v>
      </c>
      <c r="I66" s="187">
        <f ca="1">IF(OR(C66&lt;0,C66=""),"",-E66*INDEX('Replacement Costs'!$A$16:$H$57,MATCH(C66,'Replacement Costs'!$C$16:$C$57,0),MATCH("Total Yearly Replacement Costs",'Replacement Costs'!$A$16:$H$16,0)))</f>
        <v>-812375.11302696448</v>
      </c>
      <c r="J66" s="187">
        <f ca="1">IF(AND(C66&gt;=1,C66&lt;anal_period),WorkingCap*SUM(N66:R66)-WorkingCap*SUM(N65:R65),IF(C66&lt;0,0,IF(B66="","",-SUM(J$65:J65))))</f>
        <v>-3712207.5833508619</v>
      </c>
      <c r="K66" s="187" t="str">
        <f t="shared" si="4"/>
        <v/>
      </c>
      <c r="L66" s="187" t="str">
        <f t="shared" si="5"/>
        <v/>
      </c>
      <c r="M66" s="187" t="str">
        <f t="shared" si="6"/>
        <v/>
      </c>
      <c r="N66" s="187">
        <f t="shared" ca="1" si="7"/>
        <v>-8033466.8830299107</v>
      </c>
      <c r="O66" s="187">
        <f t="shared" ca="1" si="8"/>
        <v>-66014293.575418226</v>
      </c>
      <c r="P66" s="187">
        <f t="shared" ca="1" si="9"/>
        <v>0</v>
      </c>
      <c r="Q66" s="187">
        <f t="shared" ca="1" si="10"/>
        <v>0</v>
      </c>
      <c r="R66" s="1523">
        <f t="shared" ca="1" si="11"/>
        <v>-196391.20856909329</v>
      </c>
      <c r="S66" s="187">
        <f ca="1">IF(B66="","",IF($B$31=0,"",-'Debt Financing Calculations'!E15))</f>
        <v>-3539691.3658878524</v>
      </c>
      <c r="T66" s="187">
        <f t="shared" ca="1" si="12"/>
        <v>12125881.514145121</v>
      </c>
      <c r="U66" s="187">
        <f ca="1">IF(C66="","",IF(C66&lt;-1,0,IF(C66=anal_period,-LOOKUP(C66,depr_yr,depr_cost)-Depreciation!$C$141-Depreciation!$B$166,-LOOKUP(C66,depr_yr,depr_cost))))</f>
        <v>-6009672.4550625868</v>
      </c>
      <c r="V66" s="187">
        <f t="shared" ca="1" si="13"/>
        <v>6116209.0590825342</v>
      </c>
      <c r="W66" s="188">
        <f t="shared" si="14"/>
        <v>0.25739999999999996</v>
      </c>
      <c r="X66" s="187">
        <f t="shared" ca="1" si="15"/>
        <v>-1574312.211807844</v>
      </c>
      <c r="Y66" s="187">
        <f t="shared" ca="1" si="16"/>
        <v>10551569.302337278</v>
      </c>
      <c r="Z66" s="187">
        <f>IF(C66="","",IF($B$31=0,"",-'Debt Financing Calculations'!F15))</f>
        <v>0</v>
      </c>
      <c r="AA66" s="187">
        <f t="shared" ca="1" si="17"/>
        <v>6026986.6059594499</v>
      </c>
      <c r="AB66" s="187">
        <f t="shared" ref="AB66:AB113" ca="1" si="23">IF(C66="","",AB65+AA66)</f>
        <v>-60644825.824544109</v>
      </c>
      <c r="AC66" s="1153">
        <f t="shared" ca="1" si="18"/>
        <v>7601298.8177672941</v>
      </c>
      <c r="AD66" s="134"/>
      <c r="AE66" s="1157">
        <f t="shared" ca="1" si="19"/>
        <v>17702500</v>
      </c>
      <c r="AF66" s="1153">
        <f t="shared" si="20"/>
        <v>0</v>
      </c>
    </row>
    <row r="67" spans="1:32" x14ac:dyDescent="0.25">
      <c r="A67" s="58">
        <f t="shared" si="21"/>
        <v>2016</v>
      </c>
      <c r="B67" s="185">
        <f>IF(MAX($B$65:B66)&lt;(construct+anal_period),B66+1,"")</f>
        <v>3</v>
      </c>
      <c r="C67" s="185">
        <f t="shared" si="22"/>
        <v>2</v>
      </c>
      <c r="D67" s="185">
        <f t="shared" si="1"/>
        <v>2</v>
      </c>
      <c r="E67" s="186">
        <f t="shared" si="2"/>
        <v>1.0189999999999999</v>
      </c>
      <c r="F67" s="59">
        <f t="shared" ca="1" si="3"/>
        <v>91618009.313444152</v>
      </c>
      <c r="G67" s="1166"/>
      <c r="H67" s="1175">
        <f>IF(C67&lt;0,-E67*equity*depr_cap_infl*percent_cap3,0)</f>
        <v>0</v>
      </c>
      <c r="I67" s="187">
        <f ca="1">IF(OR(C67&lt;0,C67=""),"",-E67*INDEX('Replacement Costs'!$A$16:$H$57,MATCH(C67,'Replacement Costs'!$C$16:$C$57,0),MATCH("Total Yearly Replacement Costs",'Replacement Costs'!$A$16:$H$16,0)))</f>
        <v>-827810.24017447676</v>
      </c>
      <c r="J67" s="187">
        <f ca="1">IF(AND(C67&gt;=1,C67&lt;anal_period),WorkingCap*SUM(N67:R67)-WorkingCap*SUM(N66:R66),IF(C67&lt;0,0,IF(B67="","",-SUM(J$65:J66))))</f>
        <v>43886.588306870777</v>
      </c>
      <c r="K67" s="187" t="str">
        <f t="shared" si="4"/>
        <v/>
      </c>
      <c r="L67" s="187" t="str">
        <f t="shared" si="5"/>
        <v/>
      </c>
      <c r="M67" s="187" t="str">
        <f t="shared" si="6"/>
        <v/>
      </c>
      <c r="N67" s="187">
        <f t="shared" ca="1" si="7"/>
        <v>-8186102.7538074786</v>
      </c>
      <c r="O67" s="187">
        <f t="shared" ca="1" si="8"/>
        <v>-64980194.505540431</v>
      </c>
      <c r="P67" s="187">
        <f t="shared" ca="1" si="9"/>
        <v>0</v>
      </c>
      <c r="Q67" s="187">
        <f t="shared" ca="1" si="10"/>
        <v>0</v>
      </c>
      <c r="R67" s="187">
        <f t="shared" ca="1" si="11"/>
        <v>-200122.64153190603</v>
      </c>
      <c r="S67" s="187">
        <f ca="1">IF(B67="","",IF($B$31=0,"",-'Debt Financing Calculations'!E16))</f>
        <v>-3539691.3658878524</v>
      </c>
      <c r="T67" s="187">
        <f t="shared" ca="1" si="12"/>
        <v>14711898.046676487</v>
      </c>
      <c r="U67" s="187">
        <f ca="1">IF(C67="","",IF(C67&lt;-1,0,IF(C67=anal_period,-LOOKUP(C67,depr_yr,depr_cost)-Depreciation!$C$141-Depreciation!$B$166,-LOOKUP(C67,depr_yr,depr_cost))))</f>
        <v>-11600063.004832361</v>
      </c>
      <c r="V67" s="187">
        <f t="shared" ca="1" si="13"/>
        <v>3111835.0418441258</v>
      </c>
      <c r="W67" s="188">
        <f t="shared" si="14"/>
        <v>0.25739999999999996</v>
      </c>
      <c r="X67" s="187">
        <f t="shared" ca="1" si="15"/>
        <v>-800986.33977067785</v>
      </c>
      <c r="Y67" s="187">
        <f t="shared" ca="1" si="16"/>
        <v>13910911.706905808</v>
      </c>
      <c r="Z67" s="187">
        <f>IF(C67="","",IF($B$31=0,"",-'Debt Financing Calculations'!F16))</f>
        <v>0</v>
      </c>
      <c r="AA67" s="187">
        <f t="shared" ca="1" si="17"/>
        <v>13126988.055038203</v>
      </c>
      <c r="AB67" s="187">
        <f t="shared" ca="1" si="23"/>
        <v>-47517837.769505903</v>
      </c>
      <c r="AC67" s="1153">
        <f t="shared" ca="1" si="18"/>
        <v>13927974.394808881</v>
      </c>
      <c r="AD67" s="134"/>
      <c r="AE67" s="1157">
        <f t="shared" ca="1" si="19"/>
        <v>17702500</v>
      </c>
      <c r="AF67" s="1153">
        <f t="shared" si="20"/>
        <v>0</v>
      </c>
    </row>
    <row r="68" spans="1:32" ht="13" x14ac:dyDescent="0.3">
      <c r="A68" s="1087">
        <f t="shared" si="21"/>
        <v>2017</v>
      </c>
      <c r="B68" s="1088">
        <f>IF(MAX($B$65:B67)&lt;(construct+anal_period),B67+1,"")</f>
        <v>4</v>
      </c>
      <c r="C68" s="1088">
        <f t="shared" si="22"/>
        <v>3</v>
      </c>
      <c r="D68" s="1088">
        <f t="shared" si="1"/>
        <v>3</v>
      </c>
      <c r="E68" s="1089">
        <f t="shared" si="2"/>
        <v>1.0383609999999999</v>
      </c>
      <c r="F68" s="1090">
        <f t="shared" ca="1" si="3"/>
        <v>93358751.490399584</v>
      </c>
      <c r="G68" s="1167"/>
      <c r="H68" s="1176">
        <f>IF(C68&lt;0,-E68*equity*depr_cap_infl*percent_cap4,0)</f>
        <v>0</v>
      </c>
      <c r="I68" s="1091">
        <f ca="1">IF(OR(C68&lt;0,C68=""),"",-E68*INDEX('Replacement Costs'!$A$16:$H$57,MATCH(C68,'Replacement Costs'!$C$16:$C$57,0),MATCH("Total Yearly Replacement Costs",'Replacement Costs'!$A$16:$H$16,0)))</f>
        <v>-843538.63473779173</v>
      </c>
      <c r="J68" s="1091">
        <f ca="1">IF(AND(C68&gt;=1,C68&lt;anal_period),WorkingCap*SUM(N68:R68)-WorkingCap*SUM(N67:R67),IF(C68&lt;0,0,IF(B68="","",-SUM(J$65:J67))))</f>
        <v>-203645.83606193494</v>
      </c>
      <c r="K68" s="1091" t="str">
        <f t="shared" si="4"/>
        <v/>
      </c>
      <c r="L68" s="1091" t="str">
        <f t="shared" si="5"/>
        <v/>
      </c>
      <c r="M68" s="1091" t="str">
        <f t="shared" si="6"/>
        <v/>
      </c>
      <c r="N68" s="1091">
        <f t="shared" ca="1" si="7"/>
        <v>-8341638.7061298201</v>
      </c>
      <c r="O68" s="1091">
        <f t="shared" ca="1" si="8"/>
        <v>-68893772.94426769</v>
      </c>
      <c r="P68" s="1091">
        <f t="shared" ca="1" si="9"/>
        <v>0</v>
      </c>
      <c r="Q68" s="1091">
        <f t="shared" ca="1" si="10"/>
        <v>0</v>
      </c>
      <c r="R68" s="1091">
        <f t="shared" ca="1" si="11"/>
        <v>-203924.97172101226</v>
      </c>
      <c r="S68" s="1091">
        <f ca="1">IF(B68="","",IF($B$31=0,"",-'Debt Financing Calculations'!E17))</f>
        <v>-3539691.3658878524</v>
      </c>
      <c r="T68" s="1091">
        <f t="shared" ca="1" si="12"/>
        <v>12379723.502393216</v>
      </c>
      <c r="U68" s="1091">
        <f ca="1">IF(C68="","",IF(C68&lt;-1,0,IF(C68=anal_period,-LOOKUP(C68,depr_yr,depr_cost)-Depreciation!$C$141-Depreciation!$B$166,-LOOKUP(C68,depr_yr,depr_cost))))</f>
        <v>-10791814.448694967</v>
      </c>
      <c r="V68" s="1091">
        <f t="shared" ca="1" si="13"/>
        <v>1587909.0536982492</v>
      </c>
      <c r="W68" s="1092">
        <f t="shared" si="14"/>
        <v>0.25739999999999996</v>
      </c>
      <c r="X68" s="1091">
        <f t="shared" ca="1" si="15"/>
        <v>-408727.79042192927</v>
      </c>
      <c r="Y68" s="1091">
        <f ca="1">IF(C68="","",SUM(T68,X68))</f>
        <v>11970995.711971287</v>
      </c>
      <c r="Z68" s="1091">
        <f>IF(C68="","",IF($B$31=0,"",-'Debt Financing Calculations'!F17))</f>
        <v>0</v>
      </c>
      <c r="AA68" s="1091">
        <f t="shared" ca="1" si="17"/>
        <v>10923811.241171559</v>
      </c>
      <c r="AB68" s="1091">
        <f t="shared" ca="1" si="23"/>
        <v>-36594026.528334342</v>
      </c>
      <c r="AC68" s="1154">
        <f t="shared" ca="1" si="18"/>
        <v>11332539.031593489</v>
      </c>
      <c r="AD68" s="1083"/>
      <c r="AE68" s="1158">
        <f t="shared" ca="1" si="19"/>
        <v>17702500</v>
      </c>
      <c r="AF68" s="1154">
        <f t="shared" si="20"/>
        <v>0</v>
      </c>
    </row>
    <row r="69" spans="1:32" x14ac:dyDescent="0.25">
      <c r="A69" s="58">
        <f t="shared" si="21"/>
        <v>2018</v>
      </c>
      <c r="B69" s="185">
        <f>IF(MAX($B$65:B68)&lt;(construct+anal_period),B68+1,"")</f>
        <v>5</v>
      </c>
      <c r="C69" s="185">
        <f t="shared" si="22"/>
        <v>4</v>
      </c>
      <c r="D69" s="185">
        <f t="shared" si="1"/>
        <v>4</v>
      </c>
      <c r="E69" s="186">
        <f t="shared" si="2"/>
        <v>1.0580898589999999</v>
      </c>
      <c r="F69" s="59">
        <f t="shared" ca="1" si="3"/>
        <v>95132567.768717185</v>
      </c>
      <c r="G69" s="1166"/>
      <c r="H69" s="1175">
        <f t="shared" ref="H69:H113" si="24">IF(C69="","",0)</f>
        <v>0</v>
      </c>
      <c r="I69" s="187">
        <f ca="1">IF(OR(C69&lt;0,C69=""),"",-E69*INDEX('Replacement Costs'!$A$16:$H$57,MATCH(C69,'Replacement Costs'!$C$16:$C$57,0),MATCH("Total Yearly Replacement Costs",'Replacement Costs'!$A$16:$H$16,0)))</f>
        <v>-859565.86879780982</v>
      </c>
      <c r="J69" s="187">
        <f ca="1">IF(AND(C69&gt;=1,C69&lt;anal_period),WorkingCap*SUM(N69:R69)-WorkingCap*SUM(N68:R68),IF(C69&lt;0,0,IF(B69="","",-SUM(J$65:J68))))</f>
        <v>5987.6805510250852</v>
      </c>
      <c r="K69" s="187" t="str">
        <f t="shared" si="4"/>
        <v/>
      </c>
      <c r="L69" s="187" t="str">
        <f t="shared" si="5"/>
        <v/>
      </c>
      <c r="M69" s="187" t="str">
        <f t="shared" si="6"/>
        <v/>
      </c>
      <c r="N69" s="187">
        <f t="shared" ca="1" si="7"/>
        <v>-8500129.8415462859</v>
      </c>
      <c r="O69" s="187">
        <f t="shared" ca="1" si="8"/>
        <v>-68611653.623368025</v>
      </c>
      <c r="P69" s="187">
        <f t="shared" ca="1" si="9"/>
        <v>0</v>
      </c>
      <c r="Q69" s="187">
        <f t="shared" ca="1" si="10"/>
        <v>0</v>
      </c>
      <c r="R69" s="187">
        <f t="shared" ca="1" si="11"/>
        <v>-207799.54618371147</v>
      </c>
      <c r="S69" s="187">
        <f ca="1">IF(B69="","",IF($B$31=0,"",-'Debt Financing Calculations'!E18))</f>
        <v>-3539691.3658878524</v>
      </c>
      <c r="T69" s="187">
        <f t="shared" ca="1" si="12"/>
        <v>14273293.391731322</v>
      </c>
      <c r="U69" s="187">
        <f ca="1">IF(C69="","",IF(C69&lt;-1,0,IF(C69=anal_period,-LOOKUP(C69,depr_yr,depr_cost)-Depreciation!$C$141-Depreciation!$B$166,-LOOKUP(C69,depr_yr,depr_cost))))</f>
        <v>-10047534.13183718</v>
      </c>
      <c r="V69" s="187">
        <f t="shared" ca="1" si="13"/>
        <v>4225759.2598941419</v>
      </c>
      <c r="W69" s="188">
        <f t="shared" si="14"/>
        <v>0.25739999999999996</v>
      </c>
      <c r="X69" s="187">
        <f t="shared" ca="1" si="15"/>
        <v>-1087710.4334967521</v>
      </c>
      <c r="Y69" s="187">
        <f t="shared" ca="1" si="16"/>
        <v>13185582.958234569</v>
      </c>
      <c r="Z69" s="187">
        <f>IF(C69="","",IF($B$31=0,"",-'Debt Financing Calculations'!F18))</f>
        <v>0</v>
      </c>
      <c r="AA69" s="187">
        <f t="shared" ca="1" si="17"/>
        <v>12332004.769987784</v>
      </c>
      <c r="AB69" s="187">
        <f t="shared" ca="1" si="23"/>
        <v>-24262021.758346558</v>
      </c>
      <c r="AC69" s="1153">
        <f t="shared" ca="1" si="18"/>
        <v>13419715.203484537</v>
      </c>
      <c r="AD69" s="134"/>
      <c r="AE69" s="1157">
        <f t="shared" ca="1" si="19"/>
        <v>17702500</v>
      </c>
      <c r="AF69" s="1153">
        <f t="shared" si="20"/>
        <v>0</v>
      </c>
    </row>
    <row r="70" spans="1:32" x14ac:dyDescent="0.25">
      <c r="A70" s="58">
        <f t="shared" si="21"/>
        <v>2019</v>
      </c>
      <c r="B70" s="185">
        <f>IF(MAX($B$65:B69)&lt;(construct+anal_period),B69+1,"")</f>
        <v>6</v>
      </c>
      <c r="C70" s="185">
        <f t="shared" si="22"/>
        <v>5</v>
      </c>
      <c r="D70" s="185">
        <f t="shared" si="1"/>
        <v>5</v>
      </c>
      <c r="E70" s="186">
        <f t="shared" si="2"/>
        <v>1.0781935663209998</v>
      </c>
      <c r="F70" s="59">
        <f t="shared" ca="1" si="3"/>
        <v>96940086.556322798</v>
      </c>
      <c r="G70" s="1166"/>
      <c r="H70" s="1175">
        <f t="shared" si="24"/>
        <v>0</v>
      </c>
      <c r="I70" s="187">
        <f ca="1">IF(OR(C70&lt;0,C70=""),"",-E70*INDEX('Replacement Costs'!$A$16:$H$57,MATCH(C70,'Replacement Costs'!$C$16:$C$57,0),MATCH("Total Yearly Replacement Costs",'Replacement Costs'!$A$16:$H$16,0)))</f>
        <v>-875897.62030496821</v>
      </c>
      <c r="J70" s="187">
        <f ca="1">IF(AND(C70&gt;=1,C70&lt;anal_period),WorkingCap*SUM(N70:R70)-WorkingCap*SUM(N69:R69),IF(C70&lt;0,0,IF(B70="","",-SUM(J$65:J69))))</f>
        <v>-118525.19047772046</v>
      </c>
      <c r="K70" s="187" t="str">
        <f t="shared" si="4"/>
        <v/>
      </c>
      <c r="L70" s="187" t="str">
        <f t="shared" si="5"/>
        <v/>
      </c>
      <c r="M70" s="187" t="str">
        <f t="shared" si="6"/>
        <v/>
      </c>
      <c r="N70" s="187">
        <f t="shared" ca="1" si="7"/>
        <v>-8661632.3085356653</v>
      </c>
      <c r="O70" s="187">
        <f t="shared" ca="1" si="8"/>
        <v>-70816706.774555564</v>
      </c>
      <c r="P70" s="187">
        <f t="shared" ca="1" si="9"/>
        <v>0</v>
      </c>
      <c r="Q70" s="187">
        <f t="shared" ca="1" si="10"/>
        <v>0</v>
      </c>
      <c r="R70" s="187">
        <f t="shared" ca="1" si="11"/>
        <v>-211747.737561202</v>
      </c>
      <c r="S70" s="187">
        <f ca="1">IF(B70="","",IF($B$31=0,"",-'Debt Financing Calculations'!E19))</f>
        <v>-3539691.3658878524</v>
      </c>
      <c r="T70" s="187">
        <f t="shared" ca="1" si="12"/>
        <v>13710308.369782522</v>
      </c>
      <c r="U70" s="187">
        <f ca="1">IF(C70="","",IF(C70&lt;-1,0,IF(C70=anal_period,-LOOKUP(C70,depr_yr,depr_cost)-Depreciation!$C$141-Depreciation!$B$166,-LOOKUP(C70,depr_yr,depr_cost))))</f>
        <v>-9357890.796879651</v>
      </c>
      <c r="V70" s="187">
        <f t="shared" ca="1" si="13"/>
        <v>4352417.5729028713</v>
      </c>
      <c r="W70" s="188">
        <f t="shared" si="14"/>
        <v>0.25739999999999996</v>
      </c>
      <c r="X70" s="187">
        <f t="shared" ca="1" si="15"/>
        <v>-1120312.2832651988</v>
      </c>
      <c r="Y70" s="187">
        <f t="shared" ca="1" si="16"/>
        <v>12589996.086517323</v>
      </c>
      <c r="Z70" s="187">
        <f>IF(C70="","",IF($B$31=0,"",-'Debt Financing Calculations'!F19))</f>
        <v>0</v>
      </c>
      <c r="AA70" s="187">
        <f t="shared" ca="1" si="17"/>
        <v>11595573.275734633</v>
      </c>
      <c r="AB70" s="187">
        <f t="shared" ca="1" si="23"/>
        <v>-12666448.482611924</v>
      </c>
      <c r="AC70" s="1153">
        <f t="shared" ca="1" si="18"/>
        <v>12715885.558999833</v>
      </c>
      <c r="AD70" s="134"/>
      <c r="AE70" s="1157">
        <f t="shared" ca="1" si="19"/>
        <v>17702500</v>
      </c>
      <c r="AF70" s="1153">
        <f t="shared" si="20"/>
        <v>0</v>
      </c>
    </row>
    <row r="71" spans="1:32" x14ac:dyDescent="0.25">
      <c r="A71" s="58">
        <f t="shared" si="21"/>
        <v>2020</v>
      </c>
      <c r="B71" s="185">
        <f>IF(MAX($B$65:B70)&lt;(construct+anal_period),B70+1,"")</f>
        <v>7</v>
      </c>
      <c r="C71" s="185">
        <f t="shared" si="22"/>
        <v>6</v>
      </c>
      <c r="D71" s="185">
        <f t="shared" si="1"/>
        <v>6</v>
      </c>
      <c r="E71" s="186">
        <f t="shared" si="2"/>
        <v>1.0986792440810986</v>
      </c>
      <c r="F71" s="59">
        <f t="shared" ca="1" si="3"/>
        <v>98781948.200892925</v>
      </c>
      <c r="G71" s="1166"/>
      <c r="H71" s="1175">
        <f t="shared" si="24"/>
        <v>0</v>
      </c>
      <c r="I71" s="187">
        <f ca="1">IF(OR(C71&lt;0,C71=""),"",-E71*INDEX('Replacement Costs'!$A$16:$H$57,MATCH(C71,'Replacement Costs'!$C$16:$C$57,0),MATCH("Total Yearly Replacement Costs",'Replacement Costs'!$A$16:$H$16,0)))</f>
        <v>-892539.67509076244</v>
      </c>
      <c r="J71" s="187">
        <f ca="1">IF(AND(C71&gt;=1,C71&lt;anal_period),WorkingCap*SUM(N71:R71)-WorkingCap*SUM(N70:R70),IF(C71&lt;0,0,IF(B71="","",-SUM(J$65:J70))))</f>
        <v>-142836.21167934034</v>
      </c>
      <c r="K71" s="187" t="str">
        <f t="shared" si="4"/>
        <v/>
      </c>
      <c r="L71" s="187" t="str">
        <f t="shared" si="5"/>
        <v/>
      </c>
      <c r="M71" s="187" t="str">
        <f t="shared" si="6"/>
        <v/>
      </c>
      <c r="N71" s="187">
        <f t="shared" ca="1" si="7"/>
        <v>-8826203.3223978411</v>
      </c>
      <c r="O71" s="187">
        <f t="shared" ca="1" si="8"/>
        <v>-73504836.787266523</v>
      </c>
      <c r="P71" s="187">
        <f t="shared" ca="1" si="9"/>
        <v>0</v>
      </c>
      <c r="Q71" s="187">
        <f t="shared" ca="1" si="10"/>
        <v>0</v>
      </c>
      <c r="R71" s="187">
        <f t="shared" ca="1" si="11"/>
        <v>-215770.94457486478</v>
      </c>
      <c r="S71" s="187">
        <f ca="1">IF(B71="","",IF($B$31=0,"",-'Debt Financing Calculations'!E20))</f>
        <v>-3539691.3658878524</v>
      </c>
      <c r="T71" s="187">
        <f t="shared" ca="1" si="12"/>
        <v>12695445.780765846</v>
      </c>
      <c r="U71" s="187">
        <f ca="1">IF(C71="","",IF(C71&lt;-1,0,IF(C71=anal_period,-LOOKUP(C71,depr_yr,depr_cost)-Depreciation!$C$141-Depreciation!$B$166,-LOOKUP(C71,depr_yr,depr_cost))))</f>
        <v>-8723124.3939091451</v>
      </c>
      <c r="V71" s="187">
        <f t="shared" ca="1" si="13"/>
        <v>3972321.3868567012</v>
      </c>
      <c r="W71" s="188">
        <f t="shared" si="14"/>
        <v>0.25739999999999996</v>
      </c>
      <c r="X71" s="187">
        <f t="shared" ca="1" si="15"/>
        <v>-1022475.5249769147</v>
      </c>
      <c r="Y71" s="187">
        <f t="shared" ca="1" si="16"/>
        <v>11672970.255788932</v>
      </c>
      <c r="Z71" s="187">
        <f>IF(C71="","",IF($B$31=0,"",-'Debt Financing Calculations'!F20))</f>
        <v>0</v>
      </c>
      <c r="AA71" s="187">
        <f t="shared" ca="1" si="17"/>
        <v>10637594.369018828</v>
      </c>
      <c r="AB71" s="187">
        <f t="shared" ca="1" si="23"/>
        <v>-2028854.1135930959</v>
      </c>
      <c r="AC71" s="1153">
        <f t="shared" ca="1" si="18"/>
        <v>11660069.893995743</v>
      </c>
      <c r="AD71" s="134"/>
      <c r="AE71" s="1157">
        <f t="shared" ca="1" si="19"/>
        <v>17702500</v>
      </c>
      <c r="AF71" s="1153">
        <f t="shared" si="20"/>
        <v>0</v>
      </c>
    </row>
    <row r="72" spans="1:32" x14ac:dyDescent="0.25">
      <c r="A72" s="58">
        <f t="shared" si="21"/>
        <v>2021</v>
      </c>
      <c r="B72" s="185">
        <f>IF(MAX($B$65:B71)&lt;(construct+anal_period),B71+1,"")</f>
        <v>8</v>
      </c>
      <c r="C72" s="185">
        <f t="shared" si="22"/>
        <v>7</v>
      </c>
      <c r="D72" s="185">
        <f t="shared" si="1"/>
        <v>7</v>
      </c>
      <c r="E72" s="186">
        <f t="shared" si="2"/>
        <v>1.1195541497186396</v>
      </c>
      <c r="F72" s="59">
        <f t="shared" ca="1" si="3"/>
        <v>100658805.2167099</v>
      </c>
      <c r="G72" s="1166"/>
      <c r="H72" s="1175">
        <f t="shared" si="24"/>
        <v>0</v>
      </c>
      <c r="I72" s="187">
        <f ca="1">IF(OR(C72&lt;0,C72=""),"",-E72*INDEX('Replacement Costs'!$A$16:$H$57,MATCH(C72,'Replacement Costs'!$C$16:$C$57,0),MATCH("Total Yearly Replacement Costs",'Replacement Costs'!$A$16:$H$16,0)))</f>
        <v>-909497.92891748704</v>
      </c>
      <c r="J72" s="187">
        <f ca="1">IF(AND(C72&gt;=1,C72&lt;anal_period),WorkingCap*SUM(N72:R72)-WorkingCap*SUM(N71:R71),IF(C72&lt;0,0,IF(B72="","",-SUM(J$65:J71))))</f>
        <v>-99046.095513665117</v>
      </c>
      <c r="K72" s="187" t="str">
        <f t="shared" si="4"/>
        <v/>
      </c>
      <c r="L72" s="187" t="str">
        <f t="shared" si="5"/>
        <v/>
      </c>
      <c r="M72" s="187" t="str">
        <f t="shared" si="6"/>
        <v/>
      </c>
      <c r="N72" s="187">
        <f t="shared" ca="1" si="7"/>
        <v>-8993901.1855234019</v>
      </c>
      <c r="O72" s="187">
        <f t="shared" ca="1" si="8"/>
        <v>-75313961.186467335</v>
      </c>
      <c r="P72" s="187">
        <f t="shared" ca="1" si="9"/>
        <v>0</v>
      </c>
      <c r="Q72" s="187">
        <f t="shared" ca="1" si="10"/>
        <v>0</v>
      </c>
      <c r="R72" s="187">
        <f t="shared" ca="1" si="11"/>
        <v>-219870.59252178724</v>
      </c>
      <c r="S72" s="187">
        <f ca="1">IF(B72="","",IF($B$31=0,"",-'Debt Financing Calculations'!E21))</f>
        <v>-3539691.3658878524</v>
      </c>
      <c r="T72" s="187">
        <f t="shared" ca="1" si="12"/>
        <v>12591380.886309519</v>
      </c>
      <c r="U72" s="187">
        <f ca="1">IF(C72="","",IF(C72&lt;-1,0,IF(C72=anal_period,-LOOKUP(C72,depr_yr,depr_cost)-Depreciation!$C$141-Depreciation!$B$166,-LOOKUP(C72,depr_yr,depr_cost))))</f>
        <v>-8135466.5354573159</v>
      </c>
      <c r="V72" s="187">
        <f t="shared" ca="1" si="13"/>
        <v>4455914.3508522036</v>
      </c>
      <c r="W72" s="188">
        <f t="shared" si="14"/>
        <v>0.25739999999999996</v>
      </c>
      <c r="X72" s="187">
        <f t="shared" ca="1" si="15"/>
        <v>-1146952.353909357</v>
      </c>
      <c r="Y72" s="187">
        <f t="shared" ca="1" si="16"/>
        <v>11444428.532400163</v>
      </c>
      <c r="Z72" s="187">
        <f>IF(C72="","",IF($B$31=0,"",-'Debt Financing Calculations'!F21))</f>
        <v>0</v>
      </c>
      <c r="AA72" s="187">
        <f t="shared" ca="1" si="17"/>
        <v>10435884.507969011</v>
      </c>
      <c r="AB72" s="187">
        <f t="shared" ca="1" si="23"/>
        <v>8407030.3943759147</v>
      </c>
      <c r="AC72" s="1153">
        <f t="shared" ca="1" si="18"/>
        <v>11582836.861878367</v>
      </c>
      <c r="AD72" s="134"/>
      <c r="AE72" s="1157">
        <f t="shared" ca="1" si="19"/>
        <v>17702500</v>
      </c>
      <c r="AF72" s="1153">
        <f t="shared" si="20"/>
        <v>0</v>
      </c>
    </row>
    <row r="73" spans="1:32" x14ac:dyDescent="0.25">
      <c r="A73" s="58">
        <f t="shared" si="21"/>
        <v>2022</v>
      </c>
      <c r="B73" s="185">
        <f>IF(MAX($B$65:B72)&lt;(construct+anal_period),B72+1,"")</f>
        <v>9</v>
      </c>
      <c r="C73" s="185">
        <f t="shared" si="22"/>
        <v>8</v>
      </c>
      <c r="D73" s="185">
        <f t="shared" si="1"/>
        <v>8</v>
      </c>
      <c r="E73" s="186">
        <f t="shared" si="2"/>
        <v>1.1408256785632938</v>
      </c>
      <c r="F73" s="59">
        <f t="shared" ca="1" si="3"/>
        <v>102571322.51582739</v>
      </c>
      <c r="G73" s="1166"/>
      <c r="H73" s="1175">
        <f t="shared" si="24"/>
        <v>0</v>
      </c>
      <c r="I73" s="187">
        <f ca="1">IF(OR(C73&lt;0,C73=""),"",-E73*INDEX('Replacement Costs'!$A$16:$H$57,MATCH(C73,'Replacement Costs'!$C$16:$C$57,0),MATCH("Total Yearly Replacement Costs",'Replacement Costs'!$A$16:$H$16,0)))</f>
        <v>-20786315.308858048</v>
      </c>
      <c r="J73" s="187">
        <f ca="1">IF(AND(C73&gt;=1,C73&lt;anal_period),WorkingCap*SUM(N73:R73)-WorkingCap*SUM(N72:R72),IF(C73&lt;0,0,IF(B73="","",-SUM(J$65:J72))))</f>
        <v>-204158.82164440025</v>
      </c>
      <c r="K73" s="187" t="str">
        <f t="shared" si="4"/>
        <v/>
      </c>
      <c r="L73" s="187" t="str">
        <f t="shared" si="5"/>
        <v/>
      </c>
      <c r="M73" s="187" t="str">
        <f t="shared" si="6"/>
        <v/>
      </c>
      <c r="N73" s="187">
        <f t="shared" ca="1" si="7"/>
        <v>-9164785.308048347</v>
      </c>
      <c r="O73" s="187">
        <f t="shared" ca="1" si="8"/>
        <v>-79222075.955572486</v>
      </c>
      <c r="P73" s="187">
        <f t="shared" ca="1" si="9"/>
        <v>0</v>
      </c>
      <c r="Q73" s="187">
        <f t="shared" ca="1" si="10"/>
        <v>0</v>
      </c>
      <c r="R73" s="187">
        <f t="shared" ca="1" si="11"/>
        <v>-224048.13377970119</v>
      </c>
      <c r="S73" s="187">
        <f ca="1">IF(B73="","",IF($B$31=0,"",-'Debt Financing Calculations'!E22))</f>
        <v>-3539691.3658878524</v>
      </c>
      <c r="T73" s="187">
        <f t="shared" ca="1" si="12"/>
        <v>10420721.752538994</v>
      </c>
      <c r="U73" s="187">
        <f ca="1">IF(C73="","",IF(C73&lt;-1,0,IF(C73=anal_period,-LOOKUP(C73,depr_yr,depr_cost)-Depreciation!$C$141-Depreciation!$B$166,-LOOKUP(C73,depr_yr,depr_cost))))</f>
        <v>-8339857.6202976229</v>
      </c>
      <c r="V73" s="187">
        <f t="shared" ca="1" si="13"/>
        <v>2080864.1322413711</v>
      </c>
      <c r="W73" s="188">
        <f t="shared" si="14"/>
        <v>0.25739999999999996</v>
      </c>
      <c r="X73" s="187">
        <f t="shared" ca="1" si="15"/>
        <v>-535614.42763892887</v>
      </c>
      <c r="Y73" s="187">
        <f t="shared" ca="1" si="16"/>
        <v>9885107.3249000646</v>
      </c>
      <c r="Z73" s="187">
        <f>IF(C73="","",IF($B$31=0,"",-'Debt Financing Calculations'!F22))</f>
        <v>0</v>
      </c>
      <c r="AA73" s="187">
        <f t="shared" ca="1" si="17"/>
        <v>-11105366.805602383</v>
      </c>
      <c r="AB73" s="187">
        <f t="shared" ca="1" si="23"/>
        <v>-2698336.4112264682</v>
      </c>
      <c r="AC73" s="1153">
        <f t="shared" ca="1" si="18"/>
        <v>-10569752.377963454</v>
      </c>
      <c r="AD73" s="134"/>
      <c r="AE73" s="1157">
        <f t="shared" ca="1" si="19"/>
        <v>17702500</v>
      </c>
      <c r="AF73" s="1153">
        <f t="shared" si="20"/>
        <v>0</v>
      </c>
    </row>
    <row r="74" spans="1:32" x14ac:dyDescent="0.25">
      <c r="A74" s="58">
        <f t="shared" si="21"/>
        <v>2023</v>
      </c>
      <c r="B74" s="185">
        <f>IF(MAX($B$65:B73)&lt;(construct+anal_period),B73+1,"")</f>
        <v>10</v>
      </c>
      <c r="C74" s="185">
        <f t="shared" si="22"/>
        <v>9</v>
      </c>
      <c r="D74" s="185">
        <f t="shared" si="1"/>
        <v>9</v>
      </c>
      <c r="E74" s="186">
        <f t="shared" si="2"/>
        <v>1.1625013664559962</v>
      </c>
      <c r="F74" s="59">
        <f t="shared" ca="1" si="3"/>
        <v>104520177.64362809</v>
      </c>
      <c r="G74" s="1166"/>
      <c r="H74" s="1175">
        <f t="shared" si="24"/>
        <v>0</v>
      </c>
      <c r="I74" s="187">
        <f ca="1">IF(OR(C74&lt;0,C74=""),"",-E74*INDEX('Replacement Costs'!$A$16:$H$57,MATCH(C74,'Replacement Costs'!$C$16:$C$57,0),MATCH("Total Yearly Replacement Costs",'Replacement Costs'!$A$16:$H$16,0)))</f>
        <v>-944387.17896869057</v>
      </c>
      <c r="J74" s="187">
        <f ca="1">IF(AND(C74&gt;=1,C74&lt;anal_period),WorkingCap*SUM(N74:R74)-WorkingCap*SUM(N73:R73),IF(C74&lt;0,0,IF(B74="","",-SUM(J$65:J73))))</f>
        <v>-96973.20804751385</v>
      </c>
      <c r="K74" s="187" t="str">
        <f t="shared" si="4"/>
        <v/>
      </c>
      <c r="L74" s="187" t="str">
        <f t="shared" si="5"/>
        <v/>
      </c>
      <c r="M74" s="187" t="str">
        <f t="shared" si="6"/>
        <v/>
      </c>
      <c r="N74" s="187">
        <f t="shared" ca="1" si="7"/>
        <v>-9338916.2289012633</v>
      </c>
      <c r="O74" s="187">
        <f t="shared" ca="1" si="8"/>
        <v>-80983152.281128034</v>
      </c>
      <c r="P74" s="187">
        <f t="shared" ca="1" si="9"/>
        <v>0</v>
      </c>
      <c r="Q74" s="187">
        <f t="shared" ca="1" si="10"/>
        <v>0</v>
      </c>
      <c r="R74" s="187">
        <f t="shared" ca="1" si="11"/>
        <v>-228305.0483215155</v>
      </c>
      <c r="S74" s="187">
        <f ca="1">IF(B74="","",IF($B$31=0,"",-'Debt Financing Calculations'!E23))</f>
        <v>-3539691.3658878524</v>
      </c>
      <c r="T74" s="187">
        <f t="shared" ca="1" si="12"/>
        <v>10430112.719389424</v>
      </c>
      <c r="U74" s="187">
        <f ca="1">IF(C74="","",IF(C74&lt;-1,0,IF(C74=anal_period,-LOOKUP(C74,depr_yr,depr_cost)-Depreciation!$C$141-Depreciation!$B$166,-LOOKUP(C74,depr_yr,depr_cost))))</f>
        <v>-8976680.7404064275</v>
      </c>
      <c r="V74" s="187">
        <f t="shared" ca="1" si="13"/>
        <v>1453431.9789829962</v>
      </c>
      <c r="W74" s="188">
        <f t="shared" si="14"/>
        <v>0.25739999999999996</v>
      </c>
      <c r="X74" s="187">
        <f t="shared" ca="1" si="15"/>
        <v>-374113.39139022317</v>
      </c>
      <c r="Y74" s="187">
        <f t="shared" ca="1" si="16"/>
        <v>10055999.327999201</v>
      </c>
      <c r="Z74" s="187">
        <f>IF(C74="","",IF($B$31=0,"",-'Debt Financing Calculations'!F23))</f>
        <v>0</v>
      </c>
      <c r="AA74" s="187">
        <f t="shared" ca="1" si="17"/>
        <v>9014638.9409829956</v>
      </c>
      <c r="AB74" s="187">
        <f t="shared" ca="1" si="23"/>
        <v>6316302.5297565274</v>
      </c>
      <c r="AC74" s="1153">
        <f t="shared" ca="1" si="18"/>
        <v>9388752.3323732186</v>
      </c>
      <c r="AD74" s="134"/>
      <c r="AE74" s="1157">
        <f t="shared" ca="1" si="19"/>
        <v>17702500</v>
      </c>
      <c r="AF74" s="1153">
        <f t="shared" si="20"/>
        <v>0</v>
      </c>
    </row>
    <row r="75" spans="1:32" x14ac:dyDescent="0.25">
      <c r="A75" s="58">
        <f t="shared" si="21"/>
        <v>2024</v>
      </c>
      <c r="B75" s="185">
        <f>IF(MAX($B$65:B74)&lt;(construct+anal_period),B74+1,"")</f>
        <v>11</v>
      </c>
      <c r="C75" s="185">
        <f t="shared" si="22"/>
        <v>10</v>
      </c>
      <c r="D75" s="185">
        <f t="shared" si="1"/>
        <v>10</v>
      </c>
      <c r="E75" s="186">
        <f t="shared" si="2"/>
        <v>1.1845888924186601</v>
      </c>
      <c r="F75" s="59">
        <f t="shared" ca="1" si="3"/>
        <v>106506061.01885702</v>
      </c>
      <c r="G75" s="1166"/>
      <c r="H75" s="1175">
        <f t="shared" si="24"/>
        <v>0</v>
      </c>
      <c r="I75" s="187">
        <f ca="1">IF(OR(C75&lt;0,C75=""),"",-E75*INDEX('Replacement Costs'!$A$16:$H$57,MATCH(C75,'Replacement Costs'!$C$16:$C$57,0),MATCH("Total Yearly Replacement Costs",'Replacement Costs'!$A$16:$H$16,0)))</f>
        <v>-962330.53536909563</v>
      </c>
      <c r="J75" s="187">
        <f ca="1">IF(AND(C75&gt;=1,C75&lt;anal_period),WorkingCap*SUM(N75:R75)-WorkingCap*SUM(N74:R74),IF(C75&lt;0,0,IF(B75="","",-SUM(J$65:J74))))</f>
        <v>-75145.80811010208</v>
      </c>
      <c r="K75" s="187" t="str">
        <f t="shared" si="4"/>
        <v/>
      </c>
      <c r="L75" s="187" t="str">
        <f t="shared" si="5"/>
        <v/>
      </c>
      <c r="M75" s="187" t="str">
        <f t="shared" si="6"/>
        <v/>
      </c>
      <c r="N75" s="187">
        <f t="shared" ca="1" si="7"/>
        <v>-9516355.637250388</v>
      </c>
      <c r="O75" s="187">
        <f t="shared" ca="1" si="8"/>
        <v>-82304291.239062846</v>
      </c>
      <c r="P75" s="187">
        <f t="shared" ca="1" si="9"/>
        <v>0</v>
      </c>
      <c r="Q75" s="187">
        <f t="shared" ca="1" si="10"/>
        <v>0</v>
      </c>
      <c r="R75" s="187">
        <f t="shared" ca="1" si="11"/>
        <v>-232642.84423962428</v>
      </c>
      <c r="S75" s="187">
        <f ca="1">IF(B75="","",IF($B$31=0,"",-'Debt Financing Calculations'!E24))</f>
        <v>-3539691.3658878524</v>
      </c>
      <c r="T75" s="187">
        <f t="shared" ca="1" si="12"/>
        <v>10913079.932416305</v>
      </c>
      <c r="U75" s="187">
        <f ca="1">IF(C75="","",IF(C75&lt;-1,0,IF(C75=anal_period,-LOOKUP(C75,depr_yr,depr_cost)-Depreciation!$C$141-Depreciation!$B$166,-LOOKUP(C75,depr_yr,depr_cost))))</f>
        <v>-8911830.2888275478</v>
      </c>
      <c r="V75" s="187">
        <f t="shared" ca="1" si="13"/>
        <v>2001249.6435887571</v>
      </c>
      <c r="W75" s="188">
        <f t="shared" si="14"/>
        <v>0.25739999999999996</v>
      </c>
      <c r="X75" s="187">
        <f t="shared" ca="1" si="15"/>
        <v>-515121.65825974604</v>
      </c>
      <c r="Y75" s="187">
        <f t="shared" ca="1" si="16"/>
        <v>10397958.274156559</v>
      </c>
      <c r="Z75" s="187">
        <f>IF(C75="","",IF($B$31=0,"",-'Debt Financing Calculations'!F24))</f>
        <v>0</v>
      </c>
      <c r="AA75" s="187">
        <f t="shared" ca="1" si="17"/>
        <v>9360481.9306773618</v>
      </c>
      <c r="AB75" s="187">
        <f t="shared" ca="1" si="23"/>
        <v>15676784.460433889</v>
      </c>
      <c r="AC75" s="1153">
        <f t="shared" ca="1" si="18"/>
        <v>9875603.5889371075</v>
      </c>
      <c r="AD75" s="134"/>
      <c r="AE75" s="1157">
        <f t="shared" ca="1" si="19"/>
        <v>17702500</v>
      </c>
      <c r="AF75" s="1153">
        <f t="shared" si="20"/>
        <v>0</v>
      </c>
    </row>
    <row r="76" spans="1:32" x14ac:dyDescent="0.25">
      <c r="A76" s="58">
        <f t="shared" si="21"/>
        <v>2025</v>
      </c>
      <c r="B76" s="185">
        <f>IF(MAX($B$65:B75)&lt;(construct+anal_period),B75+1,"")</f>
        <v>12</v>
      </c>
      <c r="C76" s="185">
        <f t="shared" si="22"/>
        <v>11</v>
      </c>
      <c r="D76" s="185">
        <f t="shared" si="1"/>
        <v>11</v>
      </c>
      <c r="E76" s="186">
        <f t="shared" si="2"/>
        <v>1.2070960813746145</v>
      </c>
      <c r="F76" s="59">
        <f t="shared" ca="1" si="3"/>
        <v>108529676.1782153</v>
      </c>
      <c r="G76" s="1166"/>
      <c r="H76" s="1175">
        <f t="shared" si="24"/>
        <v>0</v>
      </c>
      <c r="I76" s="187">
        <f ca="1">IF(OR(C76&lt;0,C76=""),"",-E76*INDEX('Replacement Costs'!$A$16:$H$57,MATCH(C76,'Replacement Costs'!$C$16:$C$57,0),MATCH("Total Yearly Replacement Costs",'Replacement Costs'!$A$16:$H$16,0)))</f>
        <v>-980614.81554110837</v>
      </c>
      <c r="J76" s="187">
        <f ca="1">IF(AND(C76&gt;=1,C76&lt;anal_period),WorkingCap*SUM(N76:R76)-WorkingCap*SUM(N75:R75),IF(C76&lt;0,0,IF(B76="","",-SUM(J$65:J75))))</f>
        <v>-188140.7767441012</v>
      </c>
      <c r="K76" s="187" t="str">
        <f t="shared" si="4"/>
        <v/>
      </c>
      <c r="L76" s="187" t="str">
        <f t="shared" si="5"/>
        <v/>
      </c>
      <c r="M76" s="187" t="str">
        <f t="shared" si="6"/>
        <v/>
      </c>
      <c r="N76" s="187">
        <f t="shared" ca="1" si="7"/>
        <v>-9697166.3943581451</v>
      </c>
      <c r="O76" s="187">
        <f t="shared" ca="1" si="8"/>
        <v>-85881875.802796572</v>
      </c>
      <c r="P76" s="187">
        <f t="shared" ca="1" si="9"/>
        <v>0</v>
      </c>
      <c r="Q76" s="187">
        <f t="shared" ca="1" si="10"/>
        <v>0</v>
      </c>
      <c r="R76" s="187">
        <f t="shared" ca="1" si="11"/>
        <v>-237063.05828017712</v>
      </c>
      <c r="S76" s="187">
        <f ca="1">IF(B76="","",IF($B$31=0,"",-'Debt Financing Calculations'!E25))</f>
        <v>-3539691.3658878524</v>
      </c>
      <c r="T76" s="187">
        <f t="shared" ca="1" si="12"/>
        <v>9173879.5568925589</v>
      </c>
      <c r="U76" s="187">
        <f ca="1">IF(C76="","",IF(C76&lt;-1,0,IF(C76=anal_period,-LOOKUP(C76,depr_yr,depr_cost)-Depreciation!$C$141-Depreciation!$B$166,-LOOKUP(C76,depr_yr,depr_cost))))</f>
        <v>-8859361.1488341205</v>
      </c>
      <c r="V76" s="187">
        <f t="shared" ca="1" si="13"/>
        <v>314518.40805843845</v>
      </c>
      <c r="W76" s="188">
        <f t="shared" si="14"/>
        <v>0.25739999999999996</v>
      </c>
      <c r="X76" s="187">
        <f t="shared" ca="1" si="15"/>
        <v>-80957.038234242049</v>
      </c>
      <c r="Y76" s="187">
        <f t="shared" ca="1" si="16"/>
        <v>9092922.5186583176</v>
      </c>
      <c r="Z76" s="187">
        <f>IF(C76="","",IF($B$31=0,"",-'Debt Financing Calculations'!F25))</f>
        <v>0</v>
      </c>
      <c r="AA76" s="187">
        <f t="shared" ca="1" si="17"/>
        <v>7924166.9263731074</v>
      </c>
      <c r="AB76" s="187">
        <f t="shared" ca="1" si="23"/>
        <v>23600951.386806995</v>
      </c>
      <c r="AC76" s="1153">
        <f t="shared" ca="1" si="18"/>
        <v>8005123.9646073496</v>
      </c>
      <c r="AD76" s="134"/>
      <c r="AE76" s="1157">
        <f t="shared" ca="1" si="19"/>
        <v>17702500</v>
      </c>
      <c r="AF76" s="1153">
        <f t="shared" si="20"/>
        <v>0</v>
      </c>
    </row>
    <row r="77" spans="1:32" x14ac:dyDescent="0.25">
      <c r="A77" s="58">
        <f t="shared" si="21"/>
        <v>2026</v>
      </c>
      <c r="B77" s="185">
        <f>IF(MAX($B$65:B76)&lt;(construct+anal_period),B76+1,"")</f>
        <v>13</v>
      </c>
      <c r="C77" s="185">
        <f t="shared" si="22"/>
        <v>12</v>
      </c>
      <c r="D77" s="185">
        <f t="shared" si="1"/>
        <v>12</v>
      </c>
      <c r="E77" s="186">
        <f t="shared" si="2"/>
        <v>1.2300309069207322</v>
      </c>
      <c r="F77" s="59">
        <f t="shared" ca="1" si="3"/>
        <v>110591740.02560139</v>
      </c>
      <c r="G77" s="1166"/>
      <c r="H77" s="1175">
        <f t="shared" si="24"/>
        <v>0</v>
      </c>
      <c r="I77" s="187">
        <f ca="1">IF(OR(C77&lt;0,C77=""),"",-E77*INDEX('Replacement Costs'!$A$16:$H$57,MATCH(C77,'Replacement Costs'!$C$16:$C$57,0),MATCH("Total Yearly Replacement Costs",'Replacement Costs'!$A$16:$H$16,0)))</f>
        <v>-999246.49703638954</v>
      </c>
      <c r="J77" s="187">
        <f ca="1">IF(AND(C77&gt;=1,C77&lt;anal_period),WorkingCap*SUM(N77:R77)-WorkingCap*SUM(N76:R76),IF(C77&lt;0,0,IF(B77="","",-SUM(J$65:J76))))</f>
        <v>-135462.14136269595</v>
      </c>
      <c r="K77" s="187" t="str">
        <f t="shared" si="4"/>
        <v/>
      </c>
      <c r="L77" s="187" t="str">
        <f t="shared" si="5"/>
        <v/>
      </c>
      <c r="M77" s="187" t="str">
        <f t="shared" si="6"/>
        <v/>
      </c>
      <c r="N77" s="187">
        <f t="shared" ca="1" si="7"/>
        <v>-9881412.5558509491</v>
      </c>
      <c r="O77" s="187">
        <f t="shared" ca="1" si="8"/>
        <v>-88402368.270450354</v>
      </c>
      <c r="P77" s="187">
        <f t="shared" ca="1" si="9"/>
        <v>0</v>
      </c>
      <c r="Q77" s="187">
        <f t="shared" ca="1" si="10"/>
        <v>0</v>
      </c>
      <c r="R77" s="187">
        <f t="shared" ca="1" si="11"/>
        <v>-241567.2563875005</v>
      </c>
      <c r="S77" s="187">
        <f ca="1">IF(B77="","",IF($B$31=0,"",-'Debt Financing Calculations'!E26))</f>
        <v>-3539691.3658878524</v>
      </c>
      <c r="T77" s="187">
        <f t="shared" ca="1" si="12"/>
        <v>8526700.5770247281</v>
      </c>
      <c r="U77" s="187">
        <f ca="1">IF(C77="","",IF(C77&lt;-1,0,IF(C77=anal_period,-LOOKUP(C77,depr_yr,depr_cost)-Depreciation!$C$141-Depreciation!$B$166,-LOOKUP(C77,depr_yr,depr_cost))))</f>
        <v>-8811703.8549316935</v>
      </c>
      <c r="V77" s="187">
        <f t="shared" ca="1" si="13"/>
        <v>-285003.27790696546</v>
      </c>
      <c r="W77" s="188">
        <f t="shared" si="14"/>
        <v>0.25739999999999996</v>
      </c>
      <c r="X77" s="187">
        <f t="shared" ca="1" si="15"/>
        <v>73359.843733252899</v>
      </c>
      <c r="Y77" s="187">
        <f t="shared" ca="1" si="16"/>
        <v>8600060.420757981</v>
      </c>
      <c r="Z77" s="187">
        <f>IF(C77="","",IF($B$31=0,"",-'Debt Financing Calculations'!F26))</f>
        <v>0</v>
      </c>
      <c r="AA77" s="187">
        <f t="shared" ca="1" si="17"/>
        <v>7465351.782358896</v>
      </c>
      <c r="AB77" s="187">
        <f t="shared" ca="1" si="23"/>
        <v>31066303.169165891</v>
      </c>
      <c r="AC77" s="1153">
        <f t="shared" ca="1" si="18"/>
        <v>7391991.938625643</v>
      </c>
      <c r="AD77" s="134"/>
      <c r="AE77" s="1157">
        <f t="shared" ca="1" si="19"/>
        <v>17702500</v>
      </c>
      <c r="AF77" s="1153">
        <f t="shared" si="20"/>
        <v>0</v>
      </c>
    </row>
    <row r="78" spans="1:32" x14ac:dyDescent="0.25">
      <c r="A78" s="58">
        <f t="shared" si="21"/>
        <v>2027</v>
      </c>
      <c r="B78" s="185">
        <f>IF(MAX($B$65:B77)&lt;(construct+anal_period),B77+1,"")</f>
        <v>14</v>
      </c>
      <c r="C78" s="185">
        <f t="shared" si="22"/>
        <v>13</v>
      </c>
      <c r="D78" s="185">
        <f t="shared" si="1"/>
        <v>13</v>
      </c>
      <c r="E78" s="186">
        <f t="shared" si="2"/>
        <v>1.253401494152226</v>
      </c>
      <c r="F78" s="59">
        <f t="shared" ca="1" si="3"/>
        <v>112692983.08608781</v>
      </c>
      <c r="G78" s="1166"/>
      <c r="H78" s="1175">
        <f t="shared" si="24"/>
        <v>0</v>
      </c>
      <c r="I78" s="187">
        <f ca="1">IF(OR(C78&lt;0,C78=""),"",-E78*INDEX('Replacement Costs'!$A$16:$H$57,MATCH(C78,'Replacement Costs'!$C$16:$C$57,0),MATCH("Total Yearly Replacement Costs",'Replacement Costs'!$A$16:$H$16,0)))</f>
        <v>-1018232.1804800808</v>
      </c>
      <c r="J78" s="187">
        <f ca="1">IF(AND(C78&gt;=1,C78&lt;anal_period),WorkingCap*SUM(N78:R78)-WorkingCap*SUM(N77:R77),IF(C78&lt;0,0,IF(B78="","",-SUM(J$65:J77))))</f>
        <v>-119550.47021061461</v>
      </c>
      <c r="K78" s="187" t="str">
        <f t="shared" si="4"/>
        <v/>
      </c>
      <c r="L78" s="187" t="str">
        <f t="shared" si="5"/>
        <v/>
      </c>
      <c r="M78" s="187" t="str">
        <f t="shared" si="6"/>
        <v/>
      </c>
      <c r="N78" s="187">
        <f t="shared" ca="1" si="7"/>
        <v>-10069159.394412115</v>
      </c>
      <c r="O78" s="187">
        <f t="shared" ca="1" si="8"/>
        <v>-90601041.058230117</v>
      </c>
      <c r="P78" s="187">
        <f t="shared" ca="1" si="9"/>
        <v>0</v>
      </c>
      <c r="Q78" s="187">
        <f t="shared" ca="1" si="10"/>
        <v>0</v>
      </c>
      <c r="R78" s="187">
        <f t="shared" ca="1" si="11"/>
        <v>-246157.03425886299</v>
      </c>
      <c r="S78" s="187">
        <f ca="1">IF(B78="","",IF($B$31=0,"",-'Debt Financing Calculations'!E27))</f>
        <v>-3539691.3658878524</v>
      </c>
      <c r="T78" s="187">
        <f t="shared" ca="1" si="12"/>
        <v>8236934.2332988679</v>
      </c>
      <c r="U78" s="187">
        <f ca="1">IF(C78="","",IF(C78&lt;-1,0,IF(C78=anal_period,-LOOKUP(C78,depr_yr,depr_cost)-Depreciation!$C$141-Depreciation!$B$166,-LOOKUP(C78,depr_yr,depr_cost))))</f>
        <v>-8775268.6520582754</v>
      </c>
      <c r="V78" s="187">
        <f t="shared" ca="1" si="13"/>
        <v>-538334.41875940748</v>
      </c>
      <c r="W78" s="188">
        <f t="shared" si="14"/>
        <v>0.25739999999999996</v>
      </c>
      <c r="X78" s="187">
        <f t="shared" ca="1" si="15"/>
        <v>138567.27938867145</v>
      </c>
      <c r="Y78" s="187">
        <f t="shared" ca="1" si="16"/>
        <v>8375501.5126875397</v>
      </c>
      <c r="Z78" s="187">
        <f>IF(C78="","",IF($B$31=0,"",-'Debt Financing Calculations'!F27))</f>
        <v>0</v>
      </c>
      <c r="AA78" s="187">
        <f t="shared" ca="1" si="17"/>
        <v>7237718.8619968444</v>
      </c>
      <c r="AB78" s="187">
        <f t="shared" ca="1" si="23"/>
        <v>38304022.031162739</v>
      </c>
      <c r="AC78" s="1153">
        <f t="shared" ca="1" si="18"/>
        <v>7099151.5826081727</v>
      </c>
      <c r="AD78" s="134"/>
      <c r="AE78" s="1157">
        <f t="shared" ca="1" si="19"/>
        <v>17702500</v>
      </c>
      <c r="AF78" s="1153">
        <f t="shared" si="20"/>
        <v>0</v>
      </c>
    </row>
    <row r="79" spans="1:32" x14ac:dyDescent="0.25">
      <c r="A79" s="58">
        <f t="shared" si="21"/>
        <v>2028</v>
      </c>
      <c r="B79" s="185">
        <f>IF(MAX($B$65:B78)&lt;(construct+anal_period),B78+1,"")</f>
        <v>15</v>
      </c>
      <c r="C79" s="185">
        <f t="shared" si="22"/>
        <v>14</v>
      </c>
      <c r="D79" s="185">
        <f t="shared" si="1"/>
        <v>14</v>
      </c>
      <c r="E79" s="186">
        <f t="shared" si="2"/>
        <v>1.277216122541118</v>
      </c>
      <c r="F79" s="59">
        <f t="shared" ca="1" si="3"/>
        <v>114834149.76472345</v>
      </c>
      <c r="G79" s="1166"/>
      <c r="H79" s="1175">
        <f t="shared" si="24"/>
        <v>0</v>
      </c>
      <c r="I79" s="187">
        <f ca="1">IF(OR(C79&lt;0,C79=""),"",-E79*INDEX('Replacement Costs'!$A$16:$H$57,MATCH(C79,'Replacement Costs'!$C$16:$C$57,0),MATCH("Total Yearly Replacement Costs",'Replacement Costs'!$A$16:$H$16,0)))</f>
        <v>-1037578.591909202</v>
      </c>
      <c r="J79" s="187">
        <f ca="1">IF(AND(C79&gt;=1,C79&lt;anal_period),WorkingCap*SUM(N79:R79)-WorkingCap*SUM(N78:R78),IF(C79&lt;0,0,IF(B79="","",-SUM(J$65:J78))))</f>
        <v>-125863.86023271643</v>
      </c>
      <c r="K79" s="187" t="str">
        <f t="shared" si="4"/>
        <v/>
      </c>
      <c r="L79" s="187" t="str">
        <f t="shared" si="5"/>
        <v/>
      </c>
      <c r="M79" s="187" t="str">
        <f t="shared" si="6"/>
        <v/>
      </c>
      <c r="N79" s="187">
        <f t="shared" ca="1" si="7"/>
        <v>-10260473.422905944</v>
      </c>
      <c r="O79" s="187">
        <f t="shared" ca="1" si="8"/>
        <v>-92922327.250739694</v>
      </c>
      <c r="P79" s="187">
        <f t="shared" ca="1" si="9"/>
        <v>0</v>
      </c>
      <c r="Q79" s="187">
        <f t="shared" ca="1" si="10"/>
        <v>0</v>
      </c>
      <c r="R79" s="187">
        <f t="shared" ca="1" si="11"/>
        <v>-250834.01790978134</v>
      </c>
      <c r="S79" s="187">
        <f ca="1">IF(B79="","",IF($B$31=0,"",-'Debt Financing Calculations'!E28))</f>
        <v>-3539691.3658878524</v>
      </c>
      <c r="T79" s="187">
        <f t="shared" ca="1" si="12"/>
        <v>7860823.7072801739</v>
      </c>
      <c r="U79" s="187">
        <f ca="1">IF(C79="","",IF(C79&lt;-1,0,IF(C79=anal_period,-LOOKUP(C79,depr_yr,depr_cost)-Depreciation!$C$141-Depreciation!$B$166,-LOOKUP(C79,depr_yr,depr_cost))))</f>
        <v>-8742685.2847701088</v>
      </c>
      <c r="V79" s="187">
        <f t="shared" ca="1" si="13"/>
        <v>-881861.57748993486</v>
      </c>
      <c r="W79" s="188">
        <f t="shared" si="14"/>
        <v>0.25739999999999996</v>
      </c>
      <c r="X79" s="187">
        <f t="shared" ca="1" si="15"/>
        <v>226991.17004590921</v>
      </c>
      <c r="Y79" s="187">
        <f t="shared" ca="1" si="16"/>
        <v>8087814.8773260834</v>
      </c>
      <c r="Z79" s="187">
        <f>IF(C79="","",IF($B$31=0,"",-'Debt Financing Calculations'!F28))</f>
        <v>0</v>
      </c>
      <c r="AA79" s="187">
        <f t="shared" ca="1" si="17"/>
        <v>6924372.4251841651</v>
      </c>
      <c r="AB79" s="187">
        <f t="shared" ca="1" si="23"/>
        <v>45228394.456346907</v>
      </c>
      <c r="AC79" s="1153">
        <f t="shared" ca="1" si="18"/>
        <v>6697381.2551382557</v>
      </c>
      <c r="AD79" s="134"/>
      <c r="AE79" s="1157">
        <f t="shared" ca="1" si="19"/>
        <v>17702500</v>
      </c>
      <c r="AF79" s="1153">
        <f t="shared" si="20"/>
        <v>0</v>
      </c>
    </row>
    <row r="80" spans="1:32" x14ac:dyDescent="0.25">
      <c r="A80" s="58">
        <f t="shared" si="21"/>
        <v>2029</v>
      </c>
      <c r="B80" s="185">
        <f>IF(MAX($B$65:B79)&lt;(construct+anal_period),B79+1,"")</f>
        <v>16</v>
      </c>
      <c r="C80" s="185">
        <f t="shared" si="22"/>
        <v>15</v>
      </c>
      <c r="D80" s="185">
        <f t="shared" si="1"/>
        <v>15</v>
      </c>
      <c r="E80" s="186">
        <f t="shared" si="2"/>
        <v>1.3014832288693996</v>
      </c>
      <c r="F80" s="59">
        <f t="shared" ca="1" si="3"/>
        <v>117015998.61025321</v>
      </c>
      <c r="G80" s="1166"/>
      <c r="H80" s="1175">
        <f t="shared" si="24"/>
        <v>0</v>
      </c>
      <c r="I80" s="187">
        <f ca="1">IF(OR(C80&lt;0,C80=""),"",-E80*INDEX('Replacement Costs'!$A$16:$H$57,MATCH(C80,'Replacement Costs'!$C$16:$C$57,0),MATCH("Total Yearly Replacement Costs",'Replacement Costs'!$A$16:$H$16,0)))</f>
        <v>-23713562.267058562</v>
      </c>
      <c r="J80" s="187">
        <f ca="1">IF(AND(C80&gt;=1,C80&lt;anal_period),WorkingCap*SUM(N80:R80)-WorkingCap*SUM(N79:R79),IF(C80&lt;0,0,IF(B80="","",-SUM(J$65:J79))))</f>
        <v>-122274.36482634954</v>
      </c>
      <c r="K80" s="187" t="str">
        <f t="shared" si="4"/>
        <v/>
      </c>
      <c r="L80" s="187" t="str">
        <f t="shared" si="5"/>
        <v/>
      </c>
      <c r="M80" s="187" t="str">
        <f t="shared" si="6"/>
        <v/>
      </c>
      <c r="N80" s="187">
        <f t="shared" ca="1" si="7"/>
        <v>-10455422.417941159</v>
      </c>
      <c r="O80" s="187">
        <f t="shared" ca="1" si="8"/>
        <v>-95168099.705891192</v>
      </c>
      <c r="P80" s="187">
        <f t="shared" ca="1" si="9"/>
        <v>0</v>
      </c>
      <c r="Q80" s="187">
        <f t="shared" ca="1" si="10"/>
        <v>0</v>
      </c>
      <c r="R80" s="187">
        <f t="shared" ca="1" si="11"/>
        <v>-255599.86425006724</v>
      </c>
      <c r="S80" s="187">
        <f ca="1">IF(B80="","",IF($B$31=0,"",-'Debt Financing Calculations'!E29))</f>
        <v>-3539691.3658878524</v>
      </c>
      <c r="T80" s="187">
        <f t="shared" ca="1" si="12"/>
        <v>7597185.2562829554</v>
      </c>
      <c r="U80" s="187">
        <f ca="1">IF(C80="","",IF(C80&lt;-1,0,IF(C80=anal_period,-LOOKUP(C80,depr_yr,depr_cost)-Depreciation!$C$141-Depreciation!$B$166,-LOOKUP(C80,depr_yr,depr_cost))))</f>
        <v>-9569974.7374370471</v>
      </c>
      <c r="V80" s="187">
        <f t="shared" ca="1" si="13"/>
        <v>-1972789.4811540917</v>
      </c>
      <c r="W80" s="188">
        <f t="shared" si="14"/>
        <v>0.25739999999999996</v>
      </c>
      <c r="X80" s="187">
        <f t="shared" ca="1" si="15"/>
        <v>507796.01244906313</v>
      </c>
      <c r="Y80" s="187">
        <f t="shared" ca="1" si="16"/>
        <v>8104981.2687320188</v>
      </c>
      <c r="Z80" s="187">
        <f>IF(C80="","",IF($B$31=0,"",-'Debt Financing Calculations'!F29))</f>
        <v>0</v>
      </c>
      <c r="AA80" s="187">
        <f t="shared" ca="1" si="17"/>
        <v>-15730855.363152891</v>
      </c>
      <c r="AB80" s="187">
        <f t="shared" ca="1" si="23"/>
        <v>29497539.093194015</v>
      </c>
      <c r="AC80" s="1153">
        <f t="shared" ca="1" si="18"/>
        <v>-16238651.375601955</v>
      </c>
      <c r="AD80" s="134"/>
      <c r="AE80" s="1157">
        <f t="shared" ca="1" si="19"/>
        <v>17702500</v>
      </c>
      <c r="AF80" s="1153">
        <f t="shared" si="20"/>
        <v>0</v>
      </c>
    </row>
    <row r="81" spans="1:32" x14ac:dyDescent="0.25">
      <c r="A81" s="58">
        <f t="shared" si="21"/>
        <v>2030</v>
      </c>
      <c r="B81" s="185">
        <f>IF(MAX($B$65:B80)&lt;(construct+anal_period),B80+1,"")</f>
        <v>17</v>
      </c>
      <c r="C81" s="185">
        <f t="shared" si="22"/>
        <v>16</v>
      </c>
      <c r="D81" s="185">
        <f t="shared" si="1"/>
        <v>16</v>
      </c>
      <c r="E81" s="186">
        <f t="shared" si="2"/>
        <v>1.3262114102179181</v>
      </c>
      <c r="F81" s="59">
        <f t="shared" ca="1" si="3"/>
        <v>119239302.58384803</v>
      </c>
      <c r="G81" s="1166"/>
      <c r="H81" s="1175">
        <f t="shared" si="24"/>
        <v>0</v>
      </c>
      <c r="I81" s="187">
        <f ca="1">IF(OR(C81&lt;0,C81=""),"",-E81*INDEX('Replacement Costs'!$A$16:$H$57,MATCH(C81,'Replacement Costs'!$C$16:$C$57,0),MATCH("Total Yearly Replacement Costs",'Replacement Costs'!$A$16:$H$16,0)))</f>
        <v>-1077381.1442734313</v>
      </c>
      <c r="J81" s="187">
        <f ca="1">IF(AND(C81&gt;=1,C81&lt;anal_period),WorkingCap*SUM(N81:R81)-WorkingCap*SUM(N80:R80),IF(C81&lt;0,0,IF(B81="","",-SUM(J$65:J80))))</f>
        <v>-117584.36727089994</v>
      </c>
      <c r="K81" s="187" t="str">
        <f t="shared" si="4"/>
        <v/>
      </c>
      <c r="L81" s="187" t="str">
        <f t="shared" si="5"/>
        <v/>
      </c>
      <c r="M81" s="187" t="str">
        <f t="shared" si="6"/>
        <v/>
      </c>
      <c r="N81" s="187">
        <f t="shared" ca="1" si="7"/>
        <v>-10654075.443882041</v>
      </c>
      <c r="O81" s="187">
        <f t="shared" ca="1" si="8"/>
        <v>-97316277.627947539</v>
      </c>
      <c r="P81" s="187">
        <f t="shared" ca="1" si="9"/>
        <v>0</v>
      </c>
      <c r="Q81" s="187">
        <f t="shared" ca="1" si="10"/>
        <v>0</v>
      </c>
      <c r="R81" s="187">
        <f t="shared" ca="1" si="11"/>
        <v>-260456.26167081849</v>
      </c>
      <c r="S81" s="187">
        <f ca="1">IF(B81="","",IF($B$31=0,"",-'Debt Financing Calculations'!E30))</f>
        <v>-3539691.3658878524</v>
      </c>
      <c r="T81" s="187">
        <f t="shared" ca="1" si="12"/>
        <v>7468801.8844597787</v>
      </c>
      <c r="U81" s="187">
        <f ca="1">IF(C81="","",IF(C81&lt;-1,0,IF(C81=anal_period,-LOOKUP(C81,depr_yr,depr_cost)-Depreciation!$C$141-Depreciation!$B$166,-LOOKUP(C81,depr_yr,depr_cost))))</f>
        <v>-10392099.865373144</v>
      </c>
      <c r="V81" s="187">
        <f t="shared" ca="1" si="13"/>
        <v>-2923297.9809133653</v>
      </c>
      <c r="W81" s="188">
        <f t="shared" si="14"/>
        <v>0.25739999999999996</v>
      </c>
      <c r="X81" s="187">
        <f t="shared" ca="1" si="15"/>
        <v>752456.90028710011</v>
      </c>
      <c r="Y81" s="187">
        <f t="shared" ca="1" si="16"/>
        <v>8221258.7847468788</v>
      </c>
      <c r="Z81" s="187">
        <f>IF(C81="","",IF($B$31=0,"",-'Debt Financing Calculations'!F30))</f>
        <v>0</v>
      </c>
      <c r="AA81" s="187">
        <f t="shared" ca="1" si="17"/>
        <v>7026293.2732025478</v>
      </c>
      <c r="AB81" s="187">
        <f t="shared" ca="1" si="23"/>
        <v>36523832.366396561</v>
      </c>
      <c r="AC81" s="1153">
        <f t="shared" ca="1" si="18"/>
        <v>6273836.3729154477</v>
      </c>
      <c r="AD81" s="134"/>
      <c r="AE81" s="1157">
        <f t="shared" ca="1" si="19"/>
        <v>17702500</v>
      </c>
      <c r="AF81" s="1153">
        <f t="shared" si="20"/>
        <v>0</v>
      </c>
    </row>
    <row r="82" spans="1:32" x14ac:dyDescent="0.25">
      <c r="A82" s="58">
        <f t="shared" si="21"/>
        <v>2031</v>
      </c>
      <c r="B82" s="185">
        <f>IF(MAX($B$65:B81)&lt;(construct+anal_period),B81+1,"")</f>
        <v>18</v>
      </c>
      <c r="C82" s="185">
        <f t="shared" si="22"/>
        <v>17</v>
      </c>
      <c r="D82" s="185">
        <f t="shared" si="1"/>
        <v>17</v>
      </c>
      <c r="E82" s="186">
        <f t="shared" si="2"/>
        <v>1.3514094270120585</v>
      </c>
      <c r="F82" s="59">
        <f t="shared" ca="1" si="3"/>
        <v>121504849.33294113</v>
      </c>
      <c r="G82" s="1166"/>
      <c r="H82" s="1175">
        <f t="shared" si="24"/>
        <v>0</v>
      </c>
      <c r="I82" s="187">
        <f ca="1">IF(OR(C82&lt;0,C82=""),"",-E82*INDEX('Replacement Costs'!$A$16:$H$57,MATCH(C82,'Replacement Costs'!$C$16:$C$57,0),MATCH("Total Yearly Replacement Costs",'Replacement Costs'!$A$16:$H$16,0)))</f>
        <v>-1097851.3860146264</v>
      </c>
      <c r="J82" s="187">
        <f ca="1">IF(AND(C82&gt;=1,C82&lt;anal_period),WorkingCap*SUM(N82:R82)-WorkingCap*SUM(N81:R81),IF(C82&lt;0,0,IF(B82="","",-SUM(J$65:J81))))</f>
        <v>-109100.66832551453</v>
      </c>
      <c r="K82" s="187" t="str">
        <f t="shared" si="4"/>
        <v/>
      </c>
      <c r="L82" s="187" t="str">
        <f t="shared" si="5"/>
        <v/>
      </c>
      <c r="M82" s="187" t="str">
        <f t="shared" si="6"/>
        <v/>
      </c>
      <c r="N82" s="187">
        <f t="shared" ca="1" si="7"/>
        <v>-10856502.877315799</v>
      </c>
      <c r="O82" s="187">
        <f t="shared" ca="1" si="8"/>
        <v>-99290914.892052338</v>
      </c>
      <c r="P82" s="187">
        <f t="shared" ca="1" si="9"/>
        <v>0</v>
      </c>
      <c r="Q82" s="187">
        <f t="shared" ca="1" si="10"/>
        <v>0</v>
      </c>
      <c r="R82" s="187">
        <f t="shared" ca="1" si="11"/>
        <v>-265404.93064256402</v>
      </c>
      <c r="S82" s="187">
        <f ca="1">IF(B82="","",IF($B$31=0,"",-'Debt Financing Calculations'!E31))</f>
        <v>-3539691.3658878524</v>
      </c>
      <c r="T82" s="187">
        <f t="shared" ca="1" si="12"/>
        <v>7552335.2670425773</v>
      </c>
      <c r="U82" s="187">
        <f ca="1">IF(C82="","",IF(C82&lt;-1,0,IF(C82=anal_period,-LOOKUP(C82,depr_yr,depr_cost)-Depreciation!$C$141-Depreciation!$B$166,-LOOKUP(C82,depr_yr,depr_cost))))</f>
        <v>-10321340.27493952</v>
      </c>
      <c r="V82" s="187">
        <f t="shared" ca="1" si="13"/>
        <v>-2769005.007896943</v>
      </c>
      <c r="W82" s="188">
        <f t="shared" si="14"/>
        <v>0.25739999999999996</v>
      </c>
      <c r="X82" s="187">
        <f t="shared" ca="1" si="15"/>
        <v>712741.88903267297</v>
      </c>
      <c r="Y82" s="187">
        <f t="shared" ca="1" si="16"/>
        <v>8265077.1560752504</v>
      </c>
      <c r="Z82" s="187">
        <f>IF(C82="","",IF($B$31=0,"",-'Debt Financing Calculations'!F31))</f>
        <v>0</v>
      </c>
      <c r="AA82" s="187">
        <f t="shared" ca="1" si="17"/>
        <v>7058125.1017351095</v>
      </c>
      <c r="AB82" s="187">
        <f t="shared" ca="1" si="23"/>
        <v>43581957.468131669</v>
      </c>
      <c r="AC82" s="1153">
        <f t="shared" ca="1" si="18"/>
        <v>6345383.2127024364</v>
      </c>
      <c r="AD82" s="134"/>
      <c r="AE82" s="1157">
        <f t="shared" ca="1" si="19"/>
        <v>17702500</v>
      </c>
      <c r="AF82" s="1153">
        <f t="shared" si="20"/>
        <v>0</v>
      </c>
    </row>
    <row r="83" spans="1:32" x14ac:dyDescent="0.25">
      <c r="A83" s="58">
        <f t="shared" si="21"/>
        <v>2032</v>
      </c>
      <c r="B83" s="185">
        <f>IF(MAX($B$65:B82)&lt;(construct+anal_period),B82+1,"")</f>
        <v>19</v>
      </c>
      <c r="C83" s="185">
        <f t="shared" si="22"/>
        <v>18</v>
      </c>
      <c r="D83" s="185">
        <f t="shared" si="1"/>
        <v>18</v>
      </c>
      <c r="E83" s="186">
        <f t="shared" si="2"/>
        <v>1.3770862061252875</v>
      </c>
      <c r="F83" s="59">
        <f t="shared" ca="1" si="3"/>
        <v>123813441.47026701</v>
      </c>
      <c r="G83" s="1166"/>
      <c r="H83" s="1175">
        <f t="shared" si="24"/>
        <v>0</v>
      </c>
      <c r="I83" s="187">
        <f ca="1">IF(OR(C83&lt;0,C83=""),"",-E83*INDEX('Replacement Costs'!$A$16:$H$57,MATCH(C83,'Replacement Costs'!$C$16:$C$57,0),MATCH("Total Yearly Replacement Costs",'Replacement Costs'!$A$16:$H$16,0)))</f>
        <v>-1118710.5623489041</v>
      </c>
      <c r="J83" s="187">
        <f ca="1">IF(AND(C83&gt;=1,C83&lt;anal_period),WorkingCap*SUM(N83:R83)-WorkingCap*SUM(N82:R82),IF(C83&lt;0,0,IF(B83="","",-SUM(J$65:J82))))</f>
        <v>-93350.404870686121</v>
      </c>
      <c r="K83" s="187" t="str">
        <f t="shared" si="4"/>
        <v/>
      </c>
      <c r="L83" s="187" t="str">
        <f t="shared" si="5"/>
        <v/>
      </c>
      <c r="M83" s="187" t="str">
        <f t="shared" si="6"/>
        <v/>
      </c>
      <c r="N83" s="187">
        <f t="shared" ca="1" si="7"/>
        <v>-11062776.431984799</v>
      </c>
      <c r="O83" s="187">
        <f t="shared" ca="1" si="8"/>
        <v>-100946606.74111485</v>
      </c>
      <c r="P83" s="187">
        <f t="shared" ca="1" si="9"/>
        <v>0</v>
      </c>
      <c r="Q83" s="187">
        <f t="shared" ca="1" si="10"/>
        <v>0</v>
      </c>
      <c r="R83" s="187">
        <f t="shared" ca="1" si="11"/>
        <v>-270447.62432477274</v>
      </c>
      <c r="S83" s="187">
        <f ca="1">IF(B83="","",IF($B$31=0,"",-'Debt Financing Calculations'!E32))</f>
        <v>-3539691.3658878524</v>
      </c>
      <c r="T83" s="187">
        <f t="shared" ca="1" si="12"/>
        <v>7993919.3069547415</v>
      </c>
      <c r="U83" s="187">
        <f ca="1">IF(C83="","",IF(C83&lt;-1,0,IF(C83=anal_period,-LOOKUP(C83,depr_yr,depr_cost)-Depreciation!$C$141-Depreciation!$B$166,-LOOKUP(C83,depr_yr,depr_cost))))</f>
        <v>-10258258.662708899</v>
      </c>
      <c r="V83" s="187">
        <f t="shared" ca="1" si="13"/>
        <v>-2264339.3557541575</v>
      </c>
      <c r="W83" s="188">
        <f t="shared" si="14"/>
        <v>0.25739999999999996</v>
      </c>
      <c r="X83" s="187">
        <f t="shared" ca="1" si="15"/>
        <v>582840.95017112012</v>
      </c>
      <c r="Y83" s="187">
        <f t="shared" ca="1" si="16"/>
        <v>8576760.2571258619</v>
      </c>
      <c r="Z83" s="187">
        <f>IF(C83="","",IF($B$31=0,"",-'Debt Financing Calculations'!F32))</f>
        <v>0</v>
      </c>
      <c r="AA83" s="187">
        <f t="shared" ca="1" si="17"/>
        <v>7364699.2899062717</v>
      </c>
      <c r="AB83" s="187">
        <f t="shared" ca="1" si="23"/>
        <v>50946656.75803794</v>
      </c>
      <c r="AC83" s="1153">
        <f t="shared" ca="1" si="18"/>
        <v>6781858.3397351513</v>
      </c>
      <c r="AD83" s="134"/>
      <c r="AE83" s="1157">
        <f t="shared" ca="1" si="19"/>
        <v>17702500</v>
      </c>
      <c r="AF83" s="1153">
        <f t="shared" si="20"/>
        <v>0</v>
      </c>
    </row>
    <row r="84" spans="1:32" x14ac:dyDescent="0.25">
      <c r="A84" s="58">
        <f t="shared" si="21"/>
        <v>2033</v>
      </c>
      <c r="B84" s="185">
        <f>IF(MAX($B$65:B83)&lt;(construct+anal_period),B83+1,"")</f>
        <v>20</v>
      </c>
      <c r="C84" s="185">
        <f t="shared" si="22"/>
        <v>19</v>
      </c>
      <c r="D84" s="185">
        <f t="shared" si="1"/>
        <v>19</v>
      </c>
      <c r="E84" s="186">
        <f t="shared" si="2"/>
        <v>1.4032508440416678</v>
      </c>
      <c r="F84" s="59">
        <f t="shared" ca="1" si="3"/>
        <v>126165896.85820206</v>
      </c>
      <c r="G84" s="1166"/>
      <c r="H84" s="1175">
        <f t="shared" si="24"/>
        <v>0</v>
      </c>
      <c r="I84" s="187">
        <f ca="1">IF(OR(C84&lt;0,C84=""),"",-E84*INDEX('Replacement Costs'!$A$16:$H$57,MATCH(C84,'Replacement Costs'!$C$16:$C$57,0),MATCH("Total Yearly Replacement Costs",'Replacement Costs'!$A$16:$H$16,0)))</f>
        <v>-1139966.063033533</v>
      </c>
      <c r="J84" s="187">
        <f ca="1">IF(AND(C84&gt;=1,C84&lt;anal_period),WorkingCap*SUM(N84:R84)-WorkingCap*SUM(N83:R83),IF(C84&lt;0,0,IF(B84="","",-SUM(J$65:J83))))</f>
        <v>-88281.911705895327</v>
      </c>
      <c r="K84" s="187" t="str">
        <f t="shared" si="4"/>
        <v/>
      </c>
      <c r="L84" s="187" t="str">
        <f t="shared" si="5"/>
        <v/>
      </c>
      <c r="M84" s="187" t="str">
        <f t="shared" si="6"/>
        <v/>
      </c>
      <c r="N84" s="187">
        <f t="shared" ca="1" si="7"/>
        <v>-11272969.184192508</v>
      </c>
      <c r="O84" s="187">
        <f t="shared" ca="1" si="8"/>
        <v>-102496913.71816288</v>
      </c>
      <c r="P84" s="187">
        <f t="shared" ca="1" si="9"/>
        <v>0</v>
      </c>
      <c r="Q84" s="187">
        <f t="shared" ca="1" si="10"/>
        <v>0</v>
      </c>
      <c r="R84" s="187">
        <f t="shared" ca="1" si="11"/>
        <v>-275586.12918694335</v>
      </c>
      <c r="S84" s="187">
        <f ca="1">IF(B84="","",IF($B$31=0,"",-'Debt Financing Calculations'!E33))</f>
        <v>-3539691.3658878524</v>
      </c>
      <c r="T84" s="187">
        <f t="shared" ca="1" si="12"/>
        <v>8580736.4607718736</v>
      </c>
      <c r="U84" s="187">
        <f ca="1">IF(C84="","",IF(C84&lt;-1,0,IF(C84=anal_period,-LOOKUP(C84,depr_yr,depr_cost)-Depreciation!$C$141-Depreciation!$B$166,-LOOKUP(C84,depr_yr,depr_cost))))</f>
        <v>-10207113.468048165</v>
      </c>
      <c r="V84" s="187">
        <f t="shared" ca="1" si="13"/>
        <v>-1626377.007276291</v>
      </c>
      <c r="W84" s="188">
        <f t="shared" si="14"/>
        <v>0.25739999999999996</v>
      </c>
      <c r="X84" s="187">
        <f t="shared" ca="1" si="15"/>
        <v>418629.44167291722</v>
      </c>
      <c r="Y84" s="187">
        <f t="shared" ca="1" si="16"/>
        <v>8999365.902444791</v>
      </c>
      <c r="Z84" s="187">
        <f>IF(C84="","",IF($B$31=0,"",-'Debt Financing Calculations'!F33))</f>
        <v>0</v>
      </c>
      <c r="AA84" s="187">
        <f t="shared" ca="1" si="17"/>
        <v>7771117.9277053624</v>
      </c>
      <c r="AB84" s="187">
        <f t="shared" ca="1" si="23"/>
        <v>58717774.685743302</v>
      </c>
      <c r="AC84" s="1153">
        <f t="shared" ca="1" si="18"/>
        <v>7352488.486032445</v>
      </c>
      <c r="AD84" s="134"/>
      <c r="AE84" s="1157">
        <f t="shared" ca="1" si="19"/>
        <v>17702500</v>
      </c>
      <c r="AF84" s="1153">
        <f t="shared" si="20"/>
        <v>0</v>
      </c>
    </row>
    <row r="85" spans="1:32" x14ac:dyDescent="0.25">
      <c r="A85" s="58">
        <f t="shared" si="21"/>
        <v>2034</v>
      </c>
      <c r="B85" s="185">
        <f>IF(MAX($B$65:B84)&lt;(construct+anal_period),B84+1,"")</f>
        <v>21</v>
      </c>
      <c r="C85" s="185">
        <f t="shared" si="22"/>
        <v>20</v>
      </c>
      <c r="D85" s="185">
        <f t="shared" si="1"/>
        <v>20</v>
      </c>
      <c r="E85" s="186">
        <f t="shared" si="2"/>
        <v>1.4299126100784596</v>
      </c>
      <c r="F85" s="59">
        <f t="shared" ca="1" si="3"/>
        <v>128563048.89850791</v>
      </c>
      <c r="G85" s="1166"/>
      <c r="H85" s="1175">
        <f t="shared" si="24"/>
        <v>0</v>
      </c>
      <c r="I85" s="187">
        <f ca="1">IF(OR(C85&lt;0,C85=""),"",-E85*INDEX('Replacement Costs'!$A$16:$H$57,MATCH(C85,'Replacement Costs'!$C$16:$C$57,0),MATCH("Total Yearly Replacement Costs",'Replacement Costs'!$A$16:$H$16,0)))</f>
        <v>-1161625.4182311704</v>
      </c>
      <c r="J85" s="187">
        <f ca="1">IF(AND(C85&gt;=1,C85&lt;anal_period),WorkingCap*SUM(N85:R85)-WorkingCap*SUM(N84:R84),IF(C85&lt;0,0,IF(B85="","",-SUM(J$65:J84))))</f>
        <v>-93165.888950134628</v>
      </c>
      <c r="K85" s="187" t="str">
        <f t="shared" si="4"/>
        <v/>
      </c>
      <c r="L85" s="187" t="str">
        <f t="shared" si="5"/>
        <v/>
      </c>
      <c r="M85" s="187" t="str">
        <f t="shared" si="6"/>
        <v/>
      </c>
      <c r="N85" s="187">
        <f t="shared" ca="1" si="7"/>
        <v>-11487155.598692168</v>
      </c>
      <c r="O85" s="187">
        <f t="shared" ca="1" si="8"/>
        <v>-104140808.94621135</v>
      </c>
      <c r="P85" s="187">
        <f t="shared" ca="1" si="9"/>
        <v>0</v>
      </c>
      <c r="Q85" s="187">
        <f t="shared" ca="1" si="10"/>
        <v>0</v>
      </c>
      <c r="R85" s="187">
        <f t="shared" ca="1" si="11"/>
        <v>-280822.26564149529</v>
      </c>
      <c r="S85" s="187">
        <f ca="1">IF(B85="","",IF($B$31=0,"",-'Debt Financing Calculations'!E34))</f>
        <v>-3539691.3658878524</v>
      </c>
      <c r="T85" s="187">
        <f t="shared" ca="1" si="12"/>
        <v>9114570.7220750451</v>
      </c>
      <c r="U85" s="187">
        <f ca="1">IF(C85="","",IF(C85&lt;-1,0,IF(C85=anal_period,-LOOKUP(C85,depr_yr,depr_cost)-Depreciation!$C$141-Depreciation!$B$166,-LOOKUP(C85,depr_yr,depr_cost))))</f>
        <v>-10162323.783012511</v>
      </c>
      <c r="V85" s="187">
        <f t="shared" ca="1" si="13"/>
        <v>-1047753.0609374661</v>
      </c>
      <c r="W85" s="188">
        <f t="shared" si="14"/>
        <v>0.25739999999999996</v>
      </c>
      <c r="X85" s="187">
        <f t="shared" ca="1" si="15"/>
        <v>269691.63788530376</v>
      </c>
      <c r="Y85" s="187">
        <f t="shared" ca="1" si="16"/>
        <v>9384262.3599603493</v>
      </c>
      <c r="Z85" s="187">
        <f>IF(C85="","",IF($B$31=0,"",-'Debt Financing Calculations'!F34))</f>
        <v>0</v>
      </c>
      <c r="AA85" s="187">
        <f t="shared" ca="1" si="17"/>
        <v>8129471.052779044</v>
      </c>
      <c r="AB85" s="187">
        <f t="shared" ca="1" si="23"/>
        <v>66847245.738522343</v>
      </c>
      <c r="AC85" s="1153">
        <f t="shared" ca="1" si="18"/>
        <v>7859779.4148937399</v>
      </c>
      <c r="AD85" s="134"/>
      <c r="AE85" s="1157">
        <f t="shared" ca="1" si="19"/>
        <v>17702500</v>
      </c>
      <c r="AF85" s="1153">
        <f t="shared" si="20"/>
        <v>0</v>
      </c>
    </row>
    <row r="86" spans="1:32" x14ac:dyDescent="0.25">
      <c r="A86" s="58">
        <f t="shared" si="21"/>
        <v>2035</v>
      </c>
      <c r="B86" s="185">
        <f>IF(MAX($B$65:B85)&lt;(construct+anal_period),B85+1,"")</f>
        <v>22</v>
      </c>
      <c r="C86" s="185">
        <f t="shared" si="22"/>
        <v>21</v>
      </c>
      <c r="D86" s="185">
        <f t="shared" si="1"/>
        <v>21</v>
      </c>
      <c r="E86" s="186">
        <f t="shared" si="2"/>
        <v>1.4570809496699502</v>
      </c>
      <c r="F86" s="59">
        <f t="shared" ca="1" si="3"/>
        <v>131005746.82757954</v>
      </c>
      <c r="G86" s="1166"/>
      <c r="H86" s="1175">
        <f t="shared" si="24"/>
        <v>0</v>
      </c>
      <c r="I86" s="187">
        <f ca="1">IF(OR(C86&lt;0,C86=""),"",-E86*INDEX('Replacement Costs'!$A$16:$H$57,MATCH(C86,'Replacement Costs'!$C$16:$C$57,0),MATCH("Total Yearly Replacement Costs",'Replacement Costs'!$A$16:$H$16,0)))</f>
        <v>-1183696.3011775624</v>
      </c>
      <c r="J86" s="187">
        <f ca="1">IF(AND(C86&gt;=1,C86&lt;anal_period),WorkingCap*SUM(N86:R86)-WorkingCap*SUM(N85:R85),IF(C86&lt;0,0,IF(B86="","",-SUM(J$65:J85))))</f>
        <v>-128875.37481631339</v>
      </c>
      <c r="K86" s="187" t="str">
        <f t="shared" si="4"/>
        <v/>
      </c>
      <c r="L86" s="187" t="str">
        <f t="shared" si="5"/>
        <v/>
      </c>
      <c r="M86" s="187" t="str">
        <f t="shared" si="6"/>
        <v/>
      </c>
      <c r="N86" s="187">
        <f t="shared" ca="1" si="7"/>
        <v>-11705411.555067318</v>
      </c>
      <c r="O86" s="187">
        <f t="shared" ca="1" si="8"/>
        <v>-106494724.86311528</v>
      </c>
      <c r="P86" s="187">
        <f t="shared" ca="1" si="9"/>
        <v>0</v>
      </c>
      <c r="Q86" s="187">
        <f t="shared" ca="1" si="10"/>
        <v>0</v>
      </c>
      <c r="R86" s="187">
        <f t="shared" ca="1" si="11"/>
        <v>-286157.88868868368</v>
      </c>
      <c r="S86" s="187">
        <f ca="1">IF(B86="","",IF($B$31=0,"",-'Debt Financing Calculations'!E35))</f>
        <v>-3539691.3658878524</v>
      </c>
      <c r="T86" s="187">
        <f t="shared" ca="1" si="12"/>
        <v>8979761.1548204124</v>
      </c>
      <c r="U86" s="187">
        <f ca="1">IF(C86="","",IF(C86&lt;-1,0,IF(C86=anal_period,-LOOKUP(C86,depr_yr,depr_cost)-Depreciation!$C$141-Depreciation!$B$166,-LOOKUP(C86,depr_yr,depr_cost))))</f>
        <v>-6553020.8449782059</v>
      </c>
      <c r="V86" s="187">
        <f t="shared" ca="1" si="13"/>
        <v>2426740.3098422065</v>
      </c>
      <c r="W86" s="188">
        <f t="shared" si="14"/>
        <v>0.25739999999999996</v>
      </c>
      <c r="X86" s="187">
        <f t="shared" ca="1" si="15"/>
        <v>-624642.95575338393</v>
      </c>
      <c r="Y86" s="187">
        <f t="shared" ca="1" si="16"/>
        <v>8355118.1990670282</v>
      </c>
      <c r="Z86" s="187">
        <f>IF(C86="","",IF($B$31=0,"",-'Debt Financing Calculations'!F35))</f>
        <v>0</v>
      </c>
      <c r="AA86" s="187">
        <f t="shared" ca="1" si="17"/>
        <v>7042546.5230731526</v>
      </c>
      <c r="AB86" s="187">
        <f t="shared" ca="1" si="23"/>
        <v>73889792.261595502</v>
      </c>
      <c r="AC86" s="1153">
        <f t="shared" ca="1" si="18"/>
        <v>7667189.4788265368</v>
      </c>
      <c r="AD86" s="134"/>
      <c r="AE86" s="1157">
        <f t="shared" ca="1" si="19"/>
        <v>17702500</v>
      </c>
      <c r="AF86" s="1153">
        <f t="shared" si="20"/>
        <v>0</v>
      </c>
    </row>
    <row r="87" spans="1:32" x14ac:dyDescent="0.25">
      <c r="A87" s="58">
        <f t="shared" si="21"/>
        <v>2036</v>
      </c>
      <c r="B87" s="185">
        <f>IF(MAX($B$65:B86)&lt;(construct+anal_period),B86+1,"")</f>
        <v>23</v>
      </c>
      <c r="C87" s="185">
        <f t="shared" si="22"/>
        <v>22</v>
      </c>
      <c r="D87" s="185">
        <f t="shared" si="1"/>
        <v>22</v>
      </c>
      <c r="E87" s="186">
        <f t="shared" si="2"/>
        <v>1.4847654877136791</v>
      </c>
      <c r="F87" s="59">
        <f t="shared" ca="1" si="3"/>
        <v>133494856.01730354</v>
      </c>
      <c r="G87" s="1166"/>
      <c r="H87" s="1175">
        <f t="shared" si="24"/>
        <v>0</v>
      </c>
      <c r="I87" s="187">
        <f ca="1">IF(OR(C87&lt;0,C87=""),"",-E87*INDEX('Replacement Costs'!$A$16:$H$57,MATCH(C87,'Replacement Costs'!$C$16:$C$57,0),MATCH("Total Yearly Replacement Costs",'Replacement Costs'!$A$16:$H$16,0)))</f>
        <v>-27053040.764469996</v>
      </c>
      <c r="J87" s="187">
        <f ca="1">IF(AND(C87&gt;=1,C87&lt;anal_period),WorkingCap*SUM(N87:R87)-WorkingCap*SUM(N86:R86),IF(C87&lt;0,0,IF(B87="","",-SUM(J$65:J86))))</f>
        <v>-132290.05823626276</v>
      </c>
      <c r="K87" s="187" t="str">
        <f t="shared" si="4"/>
        <v/>
      </c>
      <c r="L87" s="187" t="str">
        <f t="shared" si="5"/>
        <v/>
      </c>
      <c r="M87" s="187" t="str">
        <f t="shared" si="6"/>
        <v/>
      </c>
      <c r="N87" s="187">
        <f t="shared" ca="1" si="7"/>
        <v>-11927814.374613594</v>
      </c>
      <c r="O87" s="187">
        <f t="shared" ca="1" si="8"/>
        <v>-108912686.20840918</v>
      </c>
      <c r="P87" s="187">
        <f t="shared" ca="1" si="9"/>
        <v>0</v>
      </c>
      <c r="Q87" s="187">
        <f t="shared" ca="1" si="10"/>
        <v>0</v>
      </c>
      <c r="R87" s="187">
        <f t="shared" ca="1" si="11"/>
        <v>-291594.88857376867</v>
      </c>
      <c r="S87" s="187">
        <f ca="1">IF(B87="","",IF($B$31=0,"",-'Debt Financing Calculations'!E36))</f>
        <v>-3539691.3658878524</v>
      </c>
      <c r="T87" s="187">
        <f t="shared" ca="1" si="12"/>
        <v>8823069.1798191518</v>
      </c>
      <c r="U87" s="187">
        <f ca="1">IF(C87="","",IF(C87&lt;-1,0,IF(C87=anal_period,-LOOKUP(C87,depr_yr,depr_cost)-Depreciation!$C$141-Depreciation!$B$166,-LOOKUP(C87,depr_yr,depr_cost))))</f>
        <v>-3901370.0931223826</v>
      </c>
      <c r="V87" s="187">
        <f t="shared" ca="1" si="13"/>
        <v>4921699.0866967691</v>
      </c>
      <c r="W87" s="188">
        <f t="shared" si="14"/>
        <v>0.25739999999999996</v>
      </c>
      <c r="X87" s="187">
        <f t="shared" ca="1" si="15"/>
        <v>-1266845.3449157481</v>
      </c>
      <c r="Y87" s="187">
        <f t="shared" ca="1" si="16"/>
        <v>7556223.8349034041</v>
      </c>
      <c r="Z87" s="187">
        <f>IF(C87="","",IF($B$31=0,"",-'Debt Financing Calculations'!F36))</f>
        <v>0</v>
      </c>
      <c r="AA87" s="187">
        <f t="shared" ca="1" si="17"/>
        <v>-19629106.987802856</v>
      </c>
      <c r="AB87" s="187">
        <f t="shared" ca="1" si="23"/>
        <v>54260685.273792647</v>
      </c>
      <c r="AC87" s="1153">
        <f t="shared" ca="1" si="18"/>
        <v>-18362261.642887108</v>
      </c>
      <c r="AD87" s="134"/>
      <c r="AE87" s="1157">
        <f t="shared" ca="1" si="19"/>
        <v>17702500</v>
      </c>
      <c r="AF87" s="1153">
        <f t="shared" si="20"/>
        <v>0</v>
      </c>
    </row>
    <row r="88" spans="1:32" x14ac:dyDescent="0.25">
      <c r="A88" s="58">
        <f t="shared" si="21"/>
        <v>2037</v>
      </c>
      <c r="B88" s="185">
        <f>IF(MAX($B$65:B87)&lt;(construct+anal_period),B87+1,"")</f>
        <v>24</v>
      </c>
      <c r="C88" s="185">
        <f t="shared" si="22"/>
        <v>23</v>
      </c>
      <c r="D88" s="185">
        <f t="shared" si="1"/>
        <v>23</v>
      </c>
      <c r="E88" s="186">
        <f t="shared" si="2"/>
        <v>1.5129760319802392</v>
      </c>
      <c r="F88" s="59">
        <f t="shared" ca="1" si="3"/>
        <v>136031258.28163233</v>
      </c>
      <c r="G88" s="1166"/>
      <c r="H88" s="1175">
        <f t="shared" si="24"/>
        <v>0</v>
      </c>
      <c r="I88" s="187">
        <f ca="1">IF(OR(C88&lt;0,C88=""),"",-E88*INDEX('Replacement Costs'!$A$16:$H$57,MATCH(C88,'Replacement Costs'!$C$16:$C$57,0),MATCH("Total Yearly Replacement Costs",'Replacement Costs'!$A$16:$H$16,0)))</f>
        <v>-1229104.074987035</v>
      </c>
      <c r="J88" s="187">
        <f ca="1">IF(AND(C88&gt;=1,C88&lt;anal_period),WorkingCap*SUM(N88:R88)-WorkingCap*SUM(N87:R87),IF(C88&lt;0,0,IF(B88="","",-SUM(J$65:J87))))</f>
        <v>-110879.83567055874</v>
      </c>
      <c r="K88" s="187" t="str">
        <f t="shared" si="4"/>
        <v/>
      </c>
      <c r="L88" s="187" t="str">
        <f t="shared" si="5"/>
        <v/>
      </c>
      <c r="M88" s="187" t="str">
        <f t="shared" si="6"/>
        <v/>
      </c>
      <c r="N88" s="187">
        <f t="shared" ca="1" si="7"/>
        <v>-12154442.847731255</v>
      </c>
      <c r="O88" s="187">
        <f t="shared" ca="1" si="8"/>
        <v>-110898114.1458198</v>
      </c>
      <c r="P88" s="187">
        <f t="shared" ca="1" si="9"/>
        <v>0</v>
      </c>
      <c r="Q88" s="187">
        <f t="shared" ca="1" si="10"/>
        <v>0</v>
      </c>
      <c r="R88" s="187">
        <f t="shared" ca="1" si="11"/>
        <v>-297135.19145667029</v>
      </c>
      <c r="S88" s="187">
        <f ca="1">IF(B88="","",IF($B$31=0,"",-'Debt Financing Calculations'!E37))</f>
        <v>-3539691.3658878524</v>
      </c>
      <c r="T88" s="187">
        <f t="shared" ca="1" si="12"/>
        <v>9141874.7307367623</v>
      </c>
      <c r="U88" s="187">
        <f ca="1">IF(C88="","",IF(C88&lt;-1,0,IF(C88=anal_period,-LOOKUP(C88,depr_yr,depr_cost)-Depreciation!$C$141-Depreciation!$B$166,-LOOKUP(C88,depr_yr,depr_cost))))</f>
        <v>-4803612.9254397657</v>
      </c>
      <c r="V88" s="187">
        <f t="shared" ca="1" si="13"/>
        <v>4338261.8052969966</v>
      </c>
      <c r="W88" s="188">
        <f t="shared" si="14"/>
        <v>0.25739999999999996</v>
      </c>
      <c r="X88" s="187">
        <f t="shared" ca="1" si="15"/>
        <v>-1116668.5886834469</v>
      </c>
      <c r="Y88" s="187">
        <f t="shared" ca="1" si="16"/>
        <v>8025206.1420533154</v>
      </c>
      <c r="Z88" s="187">
        <f>IF(C88="","",IF($B$31=0,"",-'Debt Financing Calculations'!F37))</f>
        <v>0</v>
      </c>
      <c r="AA88" s="187">
        <f t="shared" ca="1" si="17"/>
        <v>6685222.2313957214</v>
      </c>
      <c r="AB88" s="187">
        <f t="shared" ca="1" si="23"/>
        <v>60945907.505188368</v>
      </c>
      <c r="AC88" s="1153">
        <f t="shared" ca="1" si="18"/>
        <v>7801890.8200791683</v>
      </c>
      <c r="AD88" s="134"/>
      <c r="AE88" s="1157">
        <f t="shared" ca="1" si="19"/>
        <v>17702500</v>
      </c>
      <c r="AF88" s="1153">
        <f t="shared" si="20"/>
        <v>0</v>
      </c>
    </row>
    <row r="89" spans="1:32" x14ac:dyDescent="0.25">
      <c r="A89" s="58">
        <f t="shared" si="21"/>
        <v>2038</v>
      </c>
      <c r="B89" s="185">
        <f>IF(MAX($B$65:B88)&lt;(construct+anal_period),B88+1,"")</f>
        <v>25</v>
      </c>
      <c r="C89" s="185">
        <f t="shared" si="22"/>
        <v>24</v>
      </c>
      <c r="D89" s="185">
        <f t="shared" si="1"/>
        <v>24</v>
      </c>
      <c r="E89" s="186">
        <f t="shared" si="2"/>
        <v>1.5417225765878635</v>
      </c>
      <c r="F89" s="59">
        <f t="shared" ca="1" si="3"/>
        <v>138615852.18898332</v>
      </c>
      <c r="G89" s="1166"/>
      <c r="H89" s="1175">
        <f t="shared" si="24"/>
        <v>0</v>
      </c>
      <c r="I89" s="187">
        <f ca="1">IF(OR(C89&lt;0,C89=""),"",-E89*INDEX('Replacement Costs'!$A$16:$H$57,MATCH(C89,'Replacement Costs'!$C$16:$C$57,0),MATCH("Total Yearly Replacement Costs",'Replacement Costs'!$A$16:$H$16,0)))</f>
        <v>-1252457.0524117886</v>
      </c>
      <c r="J89" s="187">
        <f ca="1">IF(AND(C89&gt;=1,C89&lt;anal_period),WorkingCap*SUM(N89:R89)-WorkingCap*SUM(N88:R88),IF(C89&lt;0,0,IF(B89="","",-SUM(J$65:J88))))</f>
        <v>-118437.20345343929</v>
      </c>
      <c r="K89" s="187" t="str">
        <f t="shared" si="4"/>
        <v/>
      </c>
      <c r="L89" s="187" t="str">
        <f t="shared" si="5"/>
        <v/>
      </c>
      <c r="M89" s="187" t="str">
        <f t="shared" si="6"/>
        <v/>
      </c>
      <c r="N89" s="187">
        <f t="shared" ca="1" si="7"/>
        <v>-12385377.261838147</v>
      </c>
      <c r="O89" s="187">
        <f t="shared" ca="1" si="8"/>
        <v>-113030278.23214401</v>
      </c>
      <c r="P89" s="187">
        <f t="shared" ca="1" si="9"/>
        <v>0</v>
      </c>
      <c r="Q89" s="187">
        <f t="shared" ca="1" si="10"/>
        <v>0</v>
      </c>
      <c r="R89" s="187">
        <f t="shared" ca="1" si="11"/>
        <v>-302780.760094347</v>
      </c>
      <c r="S89" s="187">
        <f ca="1">IF(B89="","",IF($B$31=0,"",-'Debt Financing Calculations'!E38))</f>
        <v>-3539691.3658878524</v>
      </c>
      <c r="T89" s="187">
        <f t="shared" ca="1" si="12"/>
        <v>9357724.56901896</v>
      </c>
      <c r="U89" s="187">
        <f ca="1">IF(C89="","",IF(C89&lt;-1,0,IF(C89=anal_period,-LOOKUP(C89,depr_yr,depr_cost)-Depreciation!$C$141-Depreciation!$B$166,-LOOKUP(C89,depr_yr,depr_cost))))</f>
        <v>-4683271.5728058927</v>
      </c>
      <c r="V89" s="187">
        <f t="shared" ca="1" si="13"/>
        <v>4674452.9962130673</v>
      </c>
      <c r="W89" s="188">
        <f t="shared" si="14"/>
        <v>0.25739999999999996</v>
      </c>
      <c r="X89" s="187">
        <f t="shared" ca="1" si="15"/>
        <v>-1203204.2012252433</v>
      </c>
      <c r="Y89" s="187">
        <f t="shared" ca="1" si="16"/>
        <v>8154520.3677937165</v>
      </c>
      <c r="Z89" s="187">
        <f>IF(C89="","",IF($B$31=0,"",-'Debt Financing Calculations'!F38))</f>
        <v>0</v>
      </c>
      <c r="AA89" s="187">
        <f t="shared" ca="1" si="17"/>
        <v>6783626.1119284891</v>
      </c>
      <c r="AB89" s="187">
        <f t="shared" ca="1" si="23"/>
        <v>67729533.617116854</v>
      </c>
      <c r="AC89" s="1153">
        <f t="shared" ca="1" si="18"/>
        <v>7986830.3131537326</v>
      </c>
      <c r="AD89" s="134"/>
      <c r="AE89" s="1157">
        <f t="shared" ca="1" si="19"/>
        <v>17702500</v>
      </c>
      <c r="AF89" s="1153">
        <f t="shared" si="20"/>
        <v>0</v>
      </c>
    </row>
    <row r="90" spans="1:32" x14ac:dyDescent="0.25">
      <c r="A90" s="58">
        <f t="shared" si="21"/>
        <v>2039</v>
      </c>
      <c r="B90" s="185">
        <f>IF(MAX($B$65:B89)&lt;(construct+anal_period),B89+1,"")</f>
        <v>26</v>
      </c>
      <c r="C90" s="185">
        <f t="shared" si="22"/>
        <v>25</v>
      </c>
      <c r="D90" s="185">
        <f t="shared" si="1"/>
        <v>25</v>
      </c>
      <c r="E90" s="186">
        <f t="shared" si="2"/>
        <v>1.5710153055430329</v>
      </c>
      <c r="F90" s="59">
        <f t="shared" ca="1" si="3"/>
        <v>141249553.38057402</v>
      </c>
      <c r="G90" s="1166"/>
      <c r="H90" s="1175">
        <f t="shared" si="24"/>
        <v>0</v>
      </c>
      <c r="I90" s="187">
        <f ca="1">IF(OR(C90&lt;0,C90=""),"",-E90*INDEX('Replacement Costs'!$A$16:$H$57,MATCH(C90,'Replacement Costs'!$C$16:$C$57,0),MATCH("Total Yearly Replacement Costs",'Replacement Costs'!$A$16:$H$16,0)))</f>
        <v>-1276253.7364076125</v>
      </c>
      <c r="J90" s="187">
        <f ca="1">IF(AND(C90&gt;=1,C90&lt;anal_period),WorkingCap*SUM(N90:R90)-WorkingCap*SUM(N89:R89),IF(C90&lt;0,0,IF(B90="","",-SUM(J$65:J89))))</f>
        <v>-123889.49459381774</v>
      </c>
      <c r="K90" s="187" t="str">
        <f t="shared" si="4"/>
        <v/>
      </c>
      <c r="L90" s="187" t="str">
        <f t="shared" si="5"/>
        <v/>
      </c>
      <c r="M90" s="187" t="str">
        <f t="shared" si="6"/>
        <v/>
      </c>
      <c r="N90" s="187">
        <f t="shared" ca="1" si="7"/>
        <v>-12620699.429813072</v>
      </c>
      <c r="O90" s="187">
        <f t="shared" ca="1" si="8"/>
        <v>-115266993.12160365</v>
      </c>
      <c r="P90" s="187">
        <f t="shared" ca="1" si="9"/>
        <v>0</v>
      </c>
      <c r="Q90" s="187">
        <f t="shared" ca="1" si="10"/>
        <v>0</v>
      </c>
      <c r="R90" s="187">
        <f t="shared" ca="1" si="11"/>
        <v>-308533.59453613957</v>
      </c>
      <c r="S90" s="187">
        <f ca="1">IF(B90="","",IF($B$31=0,"",-'Debt Financing Calculations'!E39))</f>
        <v>-3539691.3658878524</v>
      </c>
      <c r="T90" s="187">
        <f t="shared" ca="1" si="12"/>
        <v>9513635.8687333018</v>
      </c>
      <c r="U90" s="187">
        <f ca="1">IF(C90="","",IF(C90&lt;-1,0,IF(C90=anal_period,-LOOKUP(C90,depr_yr,depr_cost)-Depreciation!$C$141-Depreciation!$B$166,-LOOKUP(C90,depr_yr,depr_cost))))</f>
        <v>-4574217.5883335248</v>
      </c>
      <c r="V90" s="187">
        <f t="shared" ca="1" si="13"/>
        <v>4939418.280399777</v>
      </c>
      <c r="W90" s="188">
        <f t="shared" si="14"/>
        <v>0.25739999999999996</v>
      </c>
      <c r="X90" s="187">
        <f t="shared" ca="1" si="15"/>
        <v>-1271406.2653749024</v>
      </c>
      <c r="Y90" s="187">
        <f t="shared" ca="1" si="16"/>
        <v>8242229.6033583991</v>
      </c>
      <c r="Z90" s="187">
        <f>IF(C90="","",IF($B$31=0,"",-'Debt Financing Calculations'!F39))</f>
        <v>0</v>
      </c>
      <c r="AA90" s="187">
        <f t="shared" ca="1" si="17"/>
        <v>6842086.3723569689</v>
      </c>
      <c r="AB90" s="187">
        <f t="shared" ca="1" si="23"/>
        <v>74571619.98947382</v>
      </c>
      <c r="AC90" s="1153">
        <f t="shared" ca="1" si="18"/>
        <v>8113492.6377318716</v>
      </c>
      <c r="AD90" s="134"/>
      <c r="AE90" s="1157">
        <f t="shared" ca="1" si="19"/>
        <v>17702500</v>
      </c>
      <c r="AF90" s="1153">
        <f t="shared" si="20"/>
        <v>0</v>
      </c>
    </row>
    <row r="91" spans="1:32" x14ac:dyDescent="0.25">
      <c r="A91" s="58">
        <f t="shared" si="21"/>
        <v>2040</v>
      </c>
      <c r="B91" s="185">
        <f>IF(MAX($B$65:B90)&lt;(construct+anal_period),B90+1,"")</f>
        <v>27</v>
      </c>
      <c r="C91" s="185">
        <f t="shared" si="22"/>
        <v>26</v>
      </c>
      <c r="D91" s="185">
        <f t="shared" si="1"/>
        <v>26</v>
      </c>
      <c r="E91" s="186">
        <f t="shared" si="2"/>
        <v>1.6008645963483503</v>
      </c>
      <c r="F91" s="59">
        <f t="shared" ca="1" si="3"/>
        <v>143933294.89480489</v>
      </c>
      <c r="G91" s="1166"/>
      <c r="H91" s="1175">
        <f t="shared" si="24"/>
        <v>0</v>
      </c>
      <c r="I91" s="187">
        <f ca="1">IF(OR(C91&lt;0,C91=""),"",-E91*INDEX('Replacement Costs'!$A$16:$H$57,MATCH(C91,'Replacement Costs'!$C$16:$C$57,0),MATCH("Total Yearly Replacement Costs",'Replacement Costs'!$A$16:$H$16,0)))</f>
        <v>-1300502.557399357</v>
      </c>
      <c r="J91" s="187">
        <f ca="1">IF(AND(C91&gt;=1,C91&lt;anal_period),WorkingCap*SUM(N91:R91)-WorkingCap*SUM(N90:R90),IF(C91&lt;0,0,IF(B91="","",-SUM(J$65:J90))))</f>
        <v>-108016.11803717539</v>
      </c>
      <c r="K91" s="187" t="str">
        <f t="shared" si="4"/>
        <v/>
      </c>
      <c r="L91" s="187" t="str">
        <f t="shared" si="5"/>
        <v/>
      </c>
      <c r="M91" s="187" t="str">
        <f t="shared" si="6"/>
        <v/>
      </c>
      <c r="N91" s="187">
        <f t="shared" ca="1" si="7"/>
        <v>-12860492.718979519</v>
      </c>
      <c r="O91" s="187">
        <f t="shared" ca="1" si="8"/>
        <v>-117181660.05488451</v>
      </c>
      <c r="P91" s="187">
        <f t="shared" ca="1" si="9"/>
        <v>0</v>
      </c>
      <c r="Q91" s="187">
        <f t="shared" ca="1" si="10"/>
        <v>0</v>
      </c>
      <c r="R91" s="187">
        <f t="shared" ca="1" si="11"/>
        <v>-314395.7328323262</v>
      </c>
      <c r="S91" s="187">
        <f ca="1">IF(B91="","",IF($B$31=0,"",-'Debt Financing Calculations'!E40))</f>
        <v>-3539691.3658878524</v>
      </c>
      <c r="T91" s="187">
        <f t="shared" ca="1" si="12"/>
        <v>10037055.022220686</v>
      </c>
      <c r="U91" s="187">
        <f ca="1">IF(C91="","",IF(C91&lt;-1,0,IF(C91=anal_period,-LOOKUP(C91,depr_yr,depr_cost)-Depreciation!$C$141-Depreciation!$B$166,-LOOKUP(C91,depr_yr,depr_cost))))</f>
        <v>-4474795.4307979792</v>
      </c>
      <c r="V91" s="187">
        <f t="shared" ca="1" si="13"/>
        <v>5562259.5914227068</v>
      </c>
      <c r="W91" s="188">
        <f t="shared" si="14"/>
        <v>0.25739999999999996</v>
      </c>
      <c r="X91" s="187">
        <f t="shared" ca="1" si="15"/>
        <v>-1431725.6188322045</v>
      </c>
      <c r="Y91" s="187">
        <f t="shared" ca="1" si="16"/>
        <v>8605329.4033884816</v>
      </c>
      <c r="Z91" s="187">
        <f>IF(C91="","",IF($B$31=0,"",-'Debt Financing Calculations'!F40))</f>
        <v>0</v>
      </c>
      <c r="AA91" s="187">
        <f t="shared" ca="1" si="17"/>
        <v>7196810.7279519495</v>
      </c>
      <c r="AB91" s="187">
        <f t="shared" ca="1" si="23"/>
        <v>81768430.717425764</v>
      </c>
      <c r="AC91" s="1153">
        <f t="shared" ca="1" si="18"/>
        <v>8628536.346784154</v>
      </c>
      <c r="AD91" s="134"/>
      <c r="AE91" s="1157">
        <f t="shared" ca="1" si="19"/>
        <v>17702500</v>
      </c>
      <c r="AF91" s="1153">
        <f t="shared" si="20"/>
        <v>0</v>
      </c>
    </row>
    <row r="92" spans="1:32" x14ac:dyDescent="0.25">
      <c r="A92" s="58">
        <f t="shared" si="21"/>
        <v>2041</v>
      </c>
      <c r="B92" s="185">
        <f>IF(MAX($B$65:B91)&lt;(construct+anal_period),B91+1,"")</f>
        <v>28</v>
      </c>
      <c r="C92" s="185">
        <f t="shared" si="22"/>
        <v>27</v>
      </c>
      <c r="D92" s="185">
        <f t="shared" si="1"/>
        <v>27</v>
      </c>
      <c r="E92" s="186">
        <f t="shared" si="2"/>
        <v>1.631281023678969</v>
      </c>
      <c r="F92" s="59">
        <f t="shared" ca="1" si="3"/>
        <v>146668027.49780619</v>
      </c>
      <c r="G92" s="1166"/>
      <c r="H92" s="1175">
        <f t="shared" si="24"/>
        <v>0</v>
      </c>
      <c r="I92" s="187">
        <f ca="1">IF(OR(C92&lt;0,C92=""),"",-E92*INDEX('Replacement Costs'!$A$16:$H$57,MATCH(C92,'Replacement Costs'!$C$16:$C$57,0),MATCH("Total Yearly Replacement Costs",'Replacement Costs'!$A$16:$H$16,0)))</f>
        <v>-1325212.1059899447</v>
      </c>
      <c r="J92" s="187">
        <f ca="1">IF(AND(C92&gt;=1,C92&lt;anal_period),WorkingCap*SUM(N92:R92)-WorkingCap*SUM(N91:R91),IF(C92&lt;0,0,IF(B92="","",-SUM(J$65:J91))))</f>
        <v>-106280.16559627466</v>
      </c>
      <c r="K92" s="187" t="str">
        <f t="shared" si="4"/>
        <v/>
      </c>
      <c r="L92" s="187" t="str">
        <f t="shared" si="5"/>
        <v/>
      </c>
      <c r="M92" s="187" t="str">
        <f t="shared" si="6"/>
        <v/>
      </c>
      <c r="N92" s="187">
        <f t="shared" ca="1" si="7"/>
        <v>-13104842.08064013</v>
      </c>
      <c r="O92" s="187">
        <f t="shared" ca="1" si="8"/>
        <v>-119056940.48622558</v>
      </c>
      <c r="P92" s="187">
        <f t="shared" ca="1" si="9"/>
        <v>0</v>
      </c>
      <c r="Q92" s="187">
        <f t="shared" ca="1" si="10"/>
        <v>0</v>
      </c>
      <c r="R92" s="187">
        <f t="shared" ca="1" si="11"/>
        <v>-320369.25175614038</v>
      </c>
      <c r="S92" s="187">
        <f ca="1">IF(B92="","",IF($B$31=0,"",-'Debt Financing Calculations'!E41))</f>
        <v>-3539691.3658878524</v>
      </c>
      <c r="T92" s="187">
        <f t="shared" ca="1" si="12"/>
        <v>10646184.313296467</v>
      </c>
      <c r="U92" s="187">
        <f ca="1">IF(C92="","",IF(C92&lt;-1,0,IF(C92=anal_period,-LOOKUP(C92,depr_yr,depr_cost)-Depreciation!$C$141-Depreciation!$B$166,-LOOKUP(C92,depr_yr,depr_cost))))</f>
        <v>-4385124.2444970543</v>
      </c>
      <c r="V92" s="187">
        <f t="shared" ca="1" si="13"/>
        <v>6261060.0687994128</v>
      </c>
      <c r="W92" s="188">
        <f t="shared" si="14"/>
        <v>0.25739999999999996</v>
      </c>
      <c r="X92" s="187">
        <f t="shared" ca="1" si="15"/>
        <v>-1611596.8617089686</v>
      </c>
      <c r="Y92" s="187">
        <f t="shared" ca="1" si="16"/>
        <v>9034587.4515874982</v>
      </c>
      <c r="Z92" s="187">
        <f>IF(C92="","",IF($B$31=0,"",-'Debt Financing Calculations'!F41))</f>
        <v>0</v>
      </c>
      <c r="AA92" s="187">
        <f t="shared" ca="1" si="17"/>
        <v>7603095.1800012793</v>
      </c>
      <c r="AB92" s="187">
        <f t="shared" ca="1" si="23"/>
        <v>89371525.897427037</v>
      </c>
      <c r="AC92" s="1153">
        <f t="shared" ca="1" si="18"/>
        <v>9214692.0417102482</v>
      </c>
      <c r="AD92" s="134"/>
      <c r="AE92" s="1157">
        <f t="shared" ca="1" si="19"/>
        <v>17702500</v>
      </c>
      <c r="AF92" s="1153">
        <f t="shared" si="20"/>
        <v>0</v>
      </c>
    </row>
    <row r="93" spans="1:32" x14ac:dyDescent="0.25">
      <c r="A93" s="58">
        <f t="shared" si="21"/>
        <v>2042</v>
      </c>
      <c r="B93" s="185">
        <f>IF(MAX($B$65:B92)&lt;(construct+anal_period),B92+1,"")</f>
        <v>29</v>
      </c>
      <c r="C93" s="185">
        <f t="shared" si="22"/>
        <v>28</v>
      </c>
      <c r="D93" s="185">
        <f t="shared" si="1"/>
        <v>28</v>
      </c>
      <c r="E93" s="186">
        <f t="shared" si="2"/>
        <v>1.6622753631288694</v>
      </c>
      <c r="F93" s="59">
        <f t="shared" ca="1" si="3"/>
        <v>149454720.02026451</v>
      </c>
      <c r="G93" s="1166"/>
      <c r="H93" s="1175">
        <f t="shared" si="24"/>
        <v>0</v>
      </c>
      <c r="I93" s="187">
        <f ca="1">IF(OR(C93&lt;0,C93=""),"",-E93*INDEX('Replacement Costs'!$A$16:$H$57,MATCH(C93,'Replacement Costs'!$C$16:$C$57,0),MATCH("Total Yearly Replacement Costs",'Replacement Costs'!$A$16:$H$16,0)))</f>
        <v>-1350391.1360037536</v>
      </c>
      <c r="J93" s="187">
        <f ca="1">IF(AND(C93&gt;=1,C93&lt;anal_period),WorkingCap*SUM(N93:R93)-WorkingCap*SUM(N92:R92),IF(C93&lt;0,0,IF(B93="","",-SUM(J$65:J92))))</f>
        <v>-132893.61677094921</v>
      </c>
      <c r="K93" s="187" t="str">
        <f t="shared" si="4"/>
        <v/>
      </c>
      <c r="L93" s="187" t="str">
        <f t="shared" si="5"/>
        <v/>
      </c>
      <c r="M93" s="187" t="str">
        <f t="shared" si="6"/>
        <v/>
      </c>
      <c r="N93" s="187">
        <f t="shared" ca="1" si="7"/>
        <v>-13353834.080172291</v>
      </c>
      <c r="O93" s="187">
        <f t="shared" ca="1" si="8"/>
        <v>-121459733.80632904</v>
      </c>
      <c r="P93" s="187">
        <f t="shared" ca="1" si="9"/>
        <v>0</v>
      </c>
      <c r="Q93" s="187">
        <f t="shared" ca="1" si="10"/>
        <v>0</v>
      </c>
      <c r="R93" s="187">
        <f t="shared" ca="1" si="11"/>
        <v>-326456.26753950707</v>
      </c>
      <c r="S93" s="187">
        <f ca="1">IF(B93="","",IF($B$31=0,"",-'Debt Financing Calculations'!E42))</f>
        <v>-3539691.3658878524</v>
      </c>
      <c r="T93" s="187">
        <f t="shared" ca="1" si="12"/>
        <v>10775004.500335813</v>
      </c>
      <c r="U93" s="187">
        <f ca="1">IF(C93="","",IF(C93&lt;-1,0,IF(C93=anal_period,-LOOKUP(C93,depr_yr,depr_cost)-Depreciation!$C$141-Depreciation!$B$166,-LOOKUP(C93,depr_yr,depr_cost))))</f>
        <v>-3860740.9619512288</v>
      </c>
      <c r="V93" s="187">
        <f t="shared" ca="1" si="13"/>
        <v>6914263.5383845838</v>
      </c>
      <c r="W93" s="188">
        <f t="shared" si="14"/>
        <v>0.25739999999999996</v>
      </c>
      <c r="X93" s="187">
        <f t="shared" ca="1" si="15"/>
        <v>-1779731.4347801916</v>
      </c>
      <c r="Y93" s="187">
        <f t="shared" ca="1" si="16"/>
        <v>8995273.0655556209</v>
      </c>
      <c r="Z93" s="187">
        <f>IF(C93="","",IF($B$31=0,"",-'Debt Financing Calculations'!F42))</f>
        <v>0</v>
      </c>
      <c r="AA93" s="187">
        <f t="shared" ca="1" si="17"/>
        <v>7511988.3127809186</v>
      </c>
      <c r="AB93" s="187">
        <f t="shared" ca="1" si="23"/>
        <v>96883514.210207954</v>
      </c>
      <c r="AC93" s="1153">
        <f t="shared" ca="1" si="18"/>
        <v>9291719.7475611102</v>
      </c>
      <c r="AD93" s="134"/>
      <c r="AE93" s="1157">
        <f t="shared" ca="1" si="19"/>
        <v>17702500</v>
      </c>
      <c r="AF93" s="1153">
        <f t="shared" si="20"/>
        <v>0</v>
      </c>
    </row>
    <row r="94" spans="1:32" x14ac:dyDescent="0.25">
      <c r="A94" s="58">
        <f t="shared" si="21"/>
        <v>2043</v>
      </c>
      <c r="B94" s="185">
        <f>IF(MAX($B$65:B93)&lt;(construct+anal_period),B93+1,"")</f>
        <v>30</v>
      </c>
      <c r="C94" s="185">
        <f t="shared" si="22"/>
        <v>29</v>
      </c>
      <c r="D94" s="185">
        <f t="shared" si="1"/>
        <v>29</v>
      </c>
      <c r="E94" s="186">
        <f t="shared" si="2"/>
        <v>1.6938585950283176</v>
      </c>
      <c r="F94" s="59">
        <f t="shared" ca="1" si="3"/>
        <v>152294359.7006495</v>
      </c>
      <c r="G94" s="1166"/>
      <c r="H94" s="1175">
        <f t="shared" si="24"/>
        <v>0</v>
      </c>
      <c r="I94" s="187">
        <f ca="1">IF(OR(C94&lt;0,C94=""),"",-E94*INDEX('Replacement Costs'!$A$16:$H$57,MATCH(C94,'Replacement Costs'!$C$16:$C$57,0),MATCH("Total Yearly Replacement Costs",'Replacement Costs'!$A$16:$H$16,0)))</f>
        <v>-30862803.587326929</v>
      </c>
      <c r="J94" s="187">
        <f ca="1">IF(AND(C94&gt;=1,C94&lt;anal_period),WorkingCap*SUM(N94:R94)-WorkingCap*SUM(N93:R93),IF(C94&lt;0,0,IF(B94="","",-SUM(J$65:J93))))</f>
        <v>-147268.57723168004</v>
      </c>
      <c r="K94" s="187" t="str">
        <f t="shared" si="4"/>
        <v/>
      </c>
      <c r="L94" s="187" t="str">
        <f t="shared" si="5"/>
        <v/>
      </c>
      <c r="M94" s="187" t="str">
        <f t="shared" si="6"/>
        <v/>
      </c>
      <c r="N94" s="187">
        <f t="shared" ca="1" si="7"/>
        <v>-13607556.927695563</v>
      </c>
      <c r="O94" s="187">
        <f t="shared" ca="1" si="8"/>
        <v>-124145179.8343561</v>
      </c>
      <c r="P94" s="187">
        <f t="shared" ca="1" si="9"/>
        <v>0</v>
      </c>
      <c r="Q94" s="187">
        <f t="shared" ca="1" si="10"/>
        <v>0</v>
      </c>
      <c r="R94" s="187">
        <f t="shared" ca="1" si="11"/>
        <v>-332658.93662275764</v>
      </c>
      <c r="S94" s="187">
        <f ca="1">IF(B94="","",IF($B$31=0,"",-'Debt Financing Calculations'!E43))</f>
        <v>-3539691.3658878524</v>
      </c>
      <c r="T94" s="187">
        <f t="shared" ca="1" si="12"/>
        <v>10669272.636087209</v>
      </c>
      <c r="U94" s="187">
        <f ca="1">IF(C94="","",IF(C94&lt;-1,0,IF(C94=anal_period,-LOOKUP(C94,depr_yr,depr_cost)-Depreciation!$C$141-Depreciation!$B$166,-LOOKUP(C94,depr_yr,depr_cost))))</f>
        <v>-4450783.1838128818</v>
      </c>
      <c r="V94" s="187">
        <f t="shared" ca="1" si="13"/>
        <v>6218489.4522743272</v>
      </c>
      <c r="W94" s="188">
        <f t="shared" si="14"/>
        <v>0.25739999999999996</v>
      </c>
      <c r="X94" s="187">
        <f t="shared" ca="1" si="15"/>
        <v>-1600639.1850154116</v>
      </c>
      <c r="Y94" s="187">
        <f t="shared" ca="1" si="16"/>
        <v>9068633.4510717969</v>
      </c>
      <c r="Z94" s="187">
        <f>IF(C94="","",IF($B$31=0,"",-'Debt Financing Calculations'!F43))</f>
        <v>0</v>
      </c>
      <c r="AA94" s="187">
        <f t="shared" ca="1" si="17"/>
        <v>-21941438.713486809</v>
      </c>
      <c r="AB94" s="187">
        <f t="shared" ca="1" si="23"/>
        <v>74942075.496721148</v>
      </c>
      <c r="AC94" s="1153">
        <f t="shared" ca="1" si="18"/>
        <v>-20340799.528471399</v>
      </c>
      <c r="AD94" s="134"/>
      <c r="AE94" s="1157">
        <f t="shared" ca="1" si="19"/>
        <v>17702500</v>
      </c>
      <c r="AF94" s="1153">
        <f t="shared" si="20"/>
        <v>0</v>
      </c>
    </row>
    <row r="95" spans="1:32" x14ac:dyDescent="0.25">
      <c r="A95" s="58">
        <f t="shared" si="21"/>
        <v>2044</v>
      </c>
      <c r="B95" s="185">
        <f>IF(MAX($B$65:B94)&lt;(construct+anal_period),B94+1,"")</f>
        <v>31</v>
      </c>
      <c r="C95" s="185">
        <f t="shared" si="22"/>
        <v>30</v>
      </c>
      <c r="D95" s="185">
        <f t="shared" si="1"/>
        <v>30</v>
      </c>
      <c r="E95" s="186">
        <f t="shared" si="2"/>
        <v>1.7260419083338554</v>
      </c>
      <c r="F95" s="59">
        <f t="shared" ca="1" si="3"/>
        <v>155187952.53496182</v>
      </c>
      <c r="G95" s="1166"/>
      <c r="H95" s="1175">
        <f t="shared" si="24"/>
        <v>0</v>
      </c>
      <c r="I95" s="187">
        <f ca="1">IF(OR(C95&lt;0,C95=""),"",-E95*INDEX('Replacement Costs'!$A$16:$H$57,MATCH(C95,'Replacement Costs'!$C$16:$C$57,0),MATCH("Total Yearly Replacement Costs",'Replacement Costs'!$A$16:$H$16,0)))</f>
        <v>-1402193.4903719933</v>
      </c>
      <c r="J95" s="187">
        <f ca="1">IF(AND(C95&gt;=1,C95&lt;anal_period),WorkingCap*SUM(N95:R95)-WorkingCap*SUM(N94:R94),IF(C95&lt;0,0,IF(B95="","",-SUM(J$65:J94))))</f>
        <v>-155013.67833123822</v>
      </c>
      <c r="K95" s="187" t="str">
        <f t="shared" si="4"/>
        <v/>
      </c>
      <c r="L95" s="187" t="str">
        <f t="shared" si="5"/>
        <v/>
      </c>
      <c r="M95" s="187" t="str">
        <f t="shared" si="6"/>
        <v/>
      </c>
      <c r="N95" s="187">
        <f t="shared" ca="1" si="7"/>
        <v>-13866100.509321777</v>
      </c>
      <c r="O95" s="187">
        <f t="shared" ca="1" si="8"/>
        <v>-126980589.29955882</v>
      </c>
      <c r="P95" s="187">
        <f t="shared" ca="1" si="9"/>
        <v>0</v>
      </c>
      <c r="Q95" s="187">
        <f t="shared" ca="1" si="10"/>
        <v>0</v>
      </c>
      <c r="R95" s="187">
        <f t="shared" ca="1" si="11"/>
        <v>-338979.45641858998</v>
      </c>
      <c r="S95" s="187">
        <f ca="1">IF(B95="","",IF($B$31=0,"",-'Debt Financing Calculations'!E44))</f>
        <v>-3539691.3658878524</v>
      </c>
      <c r="T95" s="187">
        <f t="shared" ca="1" si="12"/>
        <v>10462591.903774768</v>
      </c>
      <c r="U95" s="187">
        <f ca="1">IF(C95="","",IF(C95&lt;-1,0,IF(C95=anal_period,-LOOKUP(C95,depr_yr,depr_cost)-Depreciation!$C$141-Depreciation!$B$166,-LOOKUP(C95,depr_yr,depr_cost))))</f>
        <v>-5480084.9752202295</v>
      </c>
      <c r="V95" s="187">
        <f t="shared" ca="1" si="13"/>
        <v>4982506.9285545386</v>
      </c>
      <c r="W95" s="188">
        <f t="shared" si="14"/>
        <v>0.25739999999999996</v>
      </c>
      <c r="X95" s="187">
        <f t="shared" ca="1" si="15"/>
        <v>-1282497.283409938</v>
      </c>
      <c r="Y95" s="187">
        <f t="shared" ca="1" si="16"/>
        <v>9180094.6203648299</v>
      </c>
      <c r="Z95" s="187">
        <f>IF(C95="","",IF($B$31=0,"",-'Debt Financing Calculations'!F44))</f>
        <v>0</v>
      </c>
      <c r="AA95" s="187">
        <f t="shared" ca="1" si="17"/>
        <v>7622887.4516615979</v>
      </c>
      <c r="AB95" s="187">
        <f t="shared" ca="1" si="23"/>
        <v>82564962.94838275</v>
      </c>
      <c r="AC95" s="1153">
        <f t="shared" ca="1" si="18"/>
        <v>8905384.7350715362</v>
      </c>
      <c r="AD95" s="134"/>
      <c r="AE95" s="1157">
        <f t="shared" ca="1" si="19"/>
        <v>17702500</v>
      </c>
      <c r="AF95" s="1153">
        <f t="shared" si="20"/>
        <v>0</v>
      </c>
    </row>
    <row r="96" spans="1:32" x14ac:dyDescent="0.25">
      <c r="A96" s="58">
        <f t="shared" si="21"/>
        <v>2045</v>
      </c>
      <c r="B96" s="185">
        <f>IF(MAX($B$65:B95)&lt;(construct+anal_period),B95+1,"")</f>
        <v>32</v>
      </c>
      <c r="C96" s="185">
        <f t="shared" si="22"/>
        <v>31</v>
      </c>
      <c r="D96" s="185">
        <f t="shared" si="1"/>
        <v>31</v>
      </c>
      <c r="E96" s="186">
        <f t="shared" si="2"/>
        <v>1.7588367045921991</v>
      </c>
      <c r="F96" s="59">
        <f t="shared" ca="1" si="3"/>
        <v>158136523.63312614</v>
      </c>
      <c r="G96" s="1166"/>
      <c r="H96" s="1175">
        <f t="shared" si="24"/>
        <v>0</v>
      </c>
      <c r="I96" s="187">
        <f ca="1">IF(OR(C96&lt;0,C96=""),"",-E96*INDEX('Replacement Costs'!$A$16:$H$57,MATCH(C96,'Replacement Costs'!$C$16:$C$57,0),MATCH("Total Yearly Replacement Costs",'Replacement Costs'!$A$16:$H$16,0)))</f>
        <v>-1428835.1666890616</v>
      </c>
      <c r="J96" s="187">
        <f ca="1">IF(AND(C96&gt;=1,C96&lt;anal_period),WorkingCap*SUM(N96:R96)-WorkingCap*SUM(N95:R95),IF(C96&lt;0,0,IF(B96="","",-SUM(J$65:J95))))</f>
        <v>-157759.86314108968</v>
      </c>
      <c r="K96" s="187" t="str">
        <f t="shared" si="4"/>
        <v/>
      </c>
      <c r="L96" s="187" t="str">
        <f t="shared" si="5"/>
        <v/>
      </c>
      <c r="M96" s="187" t="str">
        <f t="shared" si="6"/>
        <v/>
      </c>
      <c r="N96" s="187">
        <f t="shared" ca="1" si="7"/>
        <v>-14129556.418998893</v>
      </c>
      <c r="O96" s="187">
        <f t="shared" ca="1" si="8"/>
        <v>-129865890.04303154</v>
      </c>
      <c r="P96" s="187">
        <f t="shared" ca="1" si="9"/>
        <v>0</v>
      </c>
      <c r="Q96" s="187">
        <f t="shared" ca="1" si="10"/>
        <v>0</v>
      </c>
      <c r="R96" s="187">
        <f t="shared" ca="1" si="11"/>
        <v>-345420.06609054329</v>
      </c>
      <c r="S96" s="187">
        <f ca="1">IF(B96="","",IF($B$31=0,"",-'Debt Financing Calculations'!E45))</f>
        <v>-3539691.3658878524</v>
      </c>
      <c r="T96" s="187">
        <f t="shared" ca="1" si="12"/>
        <v>10255965.739117295</v>
      </c>
      <c r="U96" s="187">
        <f ca="1">IF(C96="","",IF(C96&lt;-1,0,IF(C96=anal_period,-LOOKUP(C96,depr_yr,depr_cost)-Depreciation!$C$141-Depreciation!$B$166,-LOOKUP(C96,depr_yr,depr_cost))))</f>
        <v>-5342796.4699424654</v>
      </c>
      <c r="V96" s="187">
        <f t="shared" ca="1" si="13"/>
        <v>4913169.2691748291</v>
      </c>
      <c r="W96" s="188">
        <f t="shared" si="14"/>
        <v>0.25739999999999996</v>
      </c>
      <c r="X96" s="187">
        <f t="shared" ca="1" si="15"/>
        <v>-1264649.7698856008</v>
      </c>
      <c r="Y96" s="187">
        <f t="shared" ca="1" si="16"/>
        <v>8991315.9692316931</v>
      </c>
      <c r="Z96" s="187">
        <f>IF(C96="","",IF($B$31=0,"",-'Debt Financing Calculations'!F45))</f>
        <v>0</v>
      </c>
      <c r="AA96" s="187">
        <f t="shared" ca="1" si="17"/>
        <v>7404720.9394015437</v>
      </c>
      <c r="AB96" s="187">
        <f t="shared" ca="1" si="23"/>
        <v>89969683.887784287</v>
      </c>
      <c r="AC96" s="1153">
        <f t="shared" ca="1" si="18"/>
        <v>8669370.7092871442</v>
      </c>
      <c r="AD96" s="134"/>
      <c r="AE96" s="1157">
        <f t="shared" ca="1" si="19"/>
        <v>17702500</v>
      </c>
      <c r="AF96" s="1153">
        <f t="shared" si="20"/>
        <v>0</v>
      </c>
    </row>
    <row r="97" spans="1:32" x14ac:dyDescent="0.25">
      <c r="A97" s="58">
        <f t="shared" si="21"/>
        <v>2046</v>
      </c>
      <c r="B97" s="185">
        <f>IF(MAX($B$65:B96)&lt;(construct+anal_period),B96+1,"")</f>
        <v>33</v>
      </c>
      <c r="C97" s="185">
        <f t="shared" si="22"/>
        <v>32</v>
      </c>
      <c r="D97" s="185">
        <f t="shared" ref="D97:D113" si="25">IF(C97="","",IF(C97&lt;=plant_life,C97,IF(D96=plant_life,1,D96+1)))</f>
        <v>32</v>
      </c>
      <c r="E97" s="186">
        <f t="shared" ref="E97:E113" si="26">IF(C97="","",(1+inflation_rate)^(A97-$B$25))</f>
        <v>1.7922546019794507</v>
      </c>
      <c r="F97" s="59">
        <f t="shared" ref="F97:F113" ca="1" si="27">IF(C97="","",IF(C97&lt;0,0,IF(AND(C97=1,start_time&lt;1),E97*(H2_price_nominal*output_kgyear*start_time*percnt_revs+H2_price_nominal*output_kgyear*(1-start_time)),IF(C97&lt;=start_time,H2_price_nominal*E97*output_kgyear*percnt_revs,H2_price_nominal*output_kgyear*E97))))</f>
        <v>161141117.58215553</v>
      </c>
      <c r="G97" s="1166"/>
      <c r="H97" s="1175">
        <f t="shared" si="24"/>
        <v>0</v>
      </c>
      <c r="I97" s="187">
        <f ca="1">IF(OR(C97&lt;0,C97=""),"",-E97*INDEX('Replacement Costs'!$A$16:$H$57,MATCH(C97,'Replacement Costs'!$C$16:$C$57,0),MATCH("Total Yearly Replacement Costs",'Replacement Costs'!$A$16:$H$16,0)))</f>
        <v>-1455983.0348561534</v>
      </c>
      <c r="J97" s="187">
        <f ca="1">IF(AND(C97&gt;=1,C97&lt;anal_period),WorkingCap*SUM(N97:R97)-WorkingCap*SUM(N96:R96),IF(C97&lt;0,0,IF(B97="","",-SUM(J$65:J96))))</f>
        <v>-161608.71176237613</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-14398017.990959872</v>
      </c>
      <c r="O97" s="187">
        <f t="shared" ref="O97:O109" ca="1" si="32">IF(C97="","",IF(C97&lt;0,0,IF(AND(C97=1,start_time&lt;1),-(SUM(B171:E171)*output_kgyear*E97*percnt_var*start_time+SUM(B171:E171)*output_kgyear*E97*(1-start_time)),IF(C97&lt;=start_time,-SUM(B171:E171)*output_kgyear*E97*percnt_var,-SUM(B171:E171)*output_kgyear*E97))))</f>
        <v>-132823039.72506239</v>
      </c>
      <c r="P97" s="187">
        <f t="shared" ref="P97:P113" ca="1" si="33">IF(C97="","",IF(C97&lt;0,0,IF(AND(C97=1,start_time&lt;1),-(inflated_otherraw*E97*percnt_var*start_time+inflated_otherraw*E97*(1-start_time)),IF(C97&lt;=start_time,-inflated_otherraw*E97*percnt_var,-(inflated_otherraw*E97)))))</f>
        <v>0</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-351983.0473462636</v>
      </c>
      <c r="S97" s="187">
        <f ca="1">IF(B97="","",IF($B$31=0,"",-'Debt Financing Calculations'!E46))</f>
        <v>-3539691.3658878524</v>
      </c>
      <c r="T97" s="187">
        <f t="shared" ref="T97:T113" ca="1" si="35">IF(C97="","",F97+SUM(L97:S97))</f>
        <v>10028385.452899158</v>
      </c>
      <c r="U97" s="187">
        <f ca="1">IF(C97="","",IF(C97&lt;-1,0,IF(C97=anal_period,-LOOKUP(C97,depr_yr,depr_cost)-Depreciation!$C$141-Depreciation!$B$166,-LOOKUP(C97,depr_yr,depr_cost))))</f>
        <v>-5218384.8841067459</v>
      </c>
      <c r="V97" s="187">
        <f t="shared" ref="V97:V113" ca="1" si="36">IF(C97="","",SUM(T97:U97))</f>
        <v>4810000.5687924121</v>
      </c>
      <c r="W97" s="188">
        <f t="shared" ref="W97:W113" si="37">IF(C97="","",$B$33)</f>
        <v>0.25739999999999996</v>
      </c>
      <c r="X97" s="187">
        <f t="shared" ref="X97:X113" ca="1" si="38">IF(C97="","",tax_credit-(V97*W97 +Upstream_CO2_taxpYear + Proc_CO2_taxpYear))</f>
        <v>-1238094.1464071667</v>
      </c>
      <c r="Y97" s="187">
        <f t="shared" ref="Y97:Y113" ca="1" si="39">IF(C97="","",SUM(T97,X97))</f>
        <v>8790291.3064919915</v>
      </c>
      <c r="Z97" s="187">
        <f>IF(C97="","",IF($B$31=0,"",-'Debt Financing Calculations'!F46))</f>
        <v>0</v>
      </c>
      <c r="AA97" s="187">
        <f t="shared" ref="AA97:AA113" ca="1" si="40">IF(C97="","",SUM(H97,I97,J97,K97,T97,X97,Z97))</f>
        <v>7172699.5598734617</v>
      </c>
      <c r="AB97" s="187">
        <f t="shared" ca="1" si="23"/>
        <v>97142383.447657749</v>
      </c>
      <c r="AC97" s="1153">
        <f t="shared" ref="AC97:AC113" ca="1" si="41">IF(C97="","",SUM(H97,I97,J97,K97,T97,Z97))</f>
        <v>8410793.7062806282</v>
      </c>
      <c r="AD97" s="134"/>
      <c r="AE97" s="1157">
        <f t="shared" ref="AE97:AE113" ca="1" si="42">IF(C97="","",IF(C97&lt;0,0,IF(AND(C97=1,start_time&lt;1),(output_kgyear*start_time*percnt_revs+output_kgyear*(1-start_time)),IF(C97&lt;=start_time,output_kgyear*percnt_revs,output_kgyear))))</f>
        <v>17702500</v>
      </c>
      <c r="AF97" s="1153">
        <f t="shared" ref="AF97:AF113" si="43">IF(C97="","",tax_credit)</f>
        <v>0</v>
      </c>
    </row>
    <row r="98" spans="1:32" x14ac:dyDescent="0.25">
      <c r="A98" s="58">
        <f t="shared" si="21"/>
        <v>2047</v>
      </c>
      <c r="B98" s="185">
        <f>IF(MAX($B$65:B97)&lt;(construct+anal_period),B97+1,"")</f>
        <v>34</v>
      </c>
      <c r="C98" s="185">
        <f t="shared" si="22"/>
        <v>33</v>
      </c>
      <c r="D98" s="185">
        <f t="shared" si="25"/>
        <v>33</v>
      </c>
      <c r="E98" s="186">
        <f t="shared" si="26"/>
        <v>1.8263074394170602</v>
      </c>
      <c r="F98" s="59">
        <f t="shared" ca="1" si="27"/>
        <v>164202798.81621647</v>
      </c>
      <c r="G98" s="1166"/>
      <c r="H98" s="1175">
        <f t="shared" si="24"/>
        <v>0</v>
      </c>
      <c r="I98" s="187">
        <f ca="1">IF(OR(C98&lt;0,C98=""),"",-E98*INDEX('Replacement Costs'!$A$16:$H$57,MATCH(C98,'Replacement Costs'!$C$16:$C$57,0),MATCH("Total Yearly Replacement Costs",'Replacement Costs'!$A$16:$H$16,0)))</f>
        <v>-1483646.7125184203</v>
      </c>
      <c r="J98" s="187">
        <f ca="1">IF(AND(C98&gt;=1,C98&lt;anal_period),WorkingCap*SUM(N98:R98)-WorkingCap*SUM(N97:R97),IF(C98&lt;0,0,IF(B98="","",-SUM(J$65:J97))))</f>
        <v>-162583.84738724027</v>
      </c>
      <c r="K98" s="187" t="str">
        <f t="shared" si="28"/>
        <v/>
      </c>
      <c r="L98" s="187" t="str">
        <f t="shared" si="29"/>
        <v/>
      </c>
      <c r="M98" s="187" t="str">
        <f t="shared" si="30"/>
        <v/>
      </c>
      <c r="N98" s="187">
        <f t="shared" ca="1" si="31"/>
        <v>-14671580.332788108</v>
      </c>
      <c r="O98" s="187">
        <f t="shared" ca="1" si="32"/>
        <v>-135794466.65307939</v>
      </c>
      <c r="P98" s="187">
        <f t="shared" ca="1" si="33"/>
        <v>0</v>
      </c>
      <c r="Q98" s="187">
        <f t="shared" ca="1" si="10"/>
        <v>0</v>
      </c>
      <c r="R98" s="187">
        <f t="shared" ca="1" si="34"/>
        <v>-358670.72524584259</v>
      </c>
      <c r="S98" s="187">
        <f ca="1">IF(B98="","",IF($B$31=0,"",-'Debt Financing Calculations'!E47))</f>
        <v>-3539691.3658878524</v>
      </c>
      <c r="T98" s="187">
        <f t="shared" ca="1" si="35"/>
        <v>9838389.7392152846</v>
      </c>
      <c r="U98" s="187">
        <f ca="1">IF(C98="","",IF(C98&lt;-1,0,IF(C98=anal_period,-LOOKUP(C98,depr_yr,depr_cost)-Depreciation!$C$141-Depreciation!$B$166,-LOOKUP(C98,depr_yr,depr_cost))))</f>
        <v>-5104961.5337720308</v>
      </c>
      <c r="V98" s="187">
        <f t="shared" ca="1" si="36"/>
        <v>4733428.2054432537</v>
      </c>
      <c r="W98" s="188">
        <f t="shared" si="37"/>
        <v>0.25739999999999996</v>
      </c>
      <c r="X98" s="187">
        <f t="shared" ca="1" si="38"/>
        <v>-1218384.4200810934</v>
      </c>
      <c r="Y98" s="187">
        <f t="shared" ca="1" si="39"/>
        <v>8620005.3191341907</v>
      </c>
      <c r="Z98" s="187">
        <f>IF(C98="","",IF($B$31=0,"",-'Debt Financing Calculations'!F47))</f>
        <v>0</v>
      </c>
      <c r="AA98" s="187">
        <f t="shared" ca="1" si="40"/>
        <v>6973774.7592285313</v>
      </c>
      <c r="AB98" s="187">
        <f t="shared" ca="1" si="23"/>
        <v>104116158.20688628</v>
      </c>
      <c r="AC98" s="1153">
        <f t="shared" ca="1" si="41"/>
        <v>8192159.1793096242</v>
      </c>
      <c r="AD98" s="134"/>
      <c r="AE98" s="1157">
        <f t="shared" ca="1" si="42"/>
        <v>17702500</v>
      </c>
      <c r="AF98" s="1153">
        <f t="shared" si="43"/>
        <v>0</v>
      </c>
    </row>
    <row r="99" spans="1:32" x14ac:dyDescent="0.25">
      <c r="A99" s="58">
        <f t="shared" si="21"/>
        <v>2048</v>
      </c>
      <c r="B99" s="185">
        <f>IF(MAX($B$65:B98)&lt;(construct+anal_period),B98+1,"")</f>
        <v>35</v>
      </c>
      <c r="C99" s="185">
        <f t="shared" si="22"/>
        <v>34</v>
      </c>
      <c r="D99" s="185">
        <f t="shared" si="25"/>
        <v>34</v>
      </c>
      <c r="E99" s="186">
        <f t="shared" si="26"/>
        <v>1.8610072807659841</v>
      </c>
      <c r="F99" s="59">
        <f t="shared" ca="1" si="27"/>
        <v>167322651.99372455</v>
      </c>
      <c r="G99" s="1166"/>
      <c r="H99" s="1175">
        <f t="shared" si="24"/>
        <v>0</v>
      </c>
      <c r="I99" s="187">
        <f ca="1">IF(OR(C99&lt;0,C99=""),"",-E99*INDEX('Replacement Costs'!$A$16:$H$57,MATCH(C99,'Replacement Costs'!$C$16:$C$57,0),MATCH("Total Yearly Replacement Costs",'Replacement Costs'!$A$16:$H$16,0)))</f>
        <v>-1511836.00005627</v>
      </c>
      <c r="J99" s="187">
        <f ca="1">IF(AND(C99&gt;=1,C99&lt;anal_period),WorkingCap*SUM(N99:R99)-WorkingCap*SUM(N98:R98),IF(C99&lt;0,0,IF(B99="","",-SUM(J$65:J98))))</f>
        <v>-168946.94037309755</v>
      </c>
      <c r="K99" s="187" t="str">
        <f t="shared" si="28"/>
        <v/>
      </c>
      <c r="L99" s="187" t="str">
        <f t="shared" si="29"/>
        <v/>
      </c>
      <c r="M99" s="187" t="str">
        <f t="shared" si="30"/>
        <v/>
      </c>
      <c r="N99" s="187">
        <f t="shared" ca="1" si="31"/>
        <v>-14950340.35911108</v>
      </c>
      <c r="O99" s="187">
        <f t="shared" ca="1" si="32"/>
        <v>-138887830.69043869</v>
      </c>
      <c r="P99" s="187">
        <f t="shared" ca="1" si="33"/>
        <v>0</v>
      </c>
      <c r="Q99" s="187">
        <f t="shared" ca="1" si="10"/>
        <v>0</v>
      </c>
      <c r="R99" s="187">
        <f t="shared" ca="1" si="34"/>
        <v>-365485.46902551351</v>
      </c>
      <c r="S99" s="187">
        <f ca="1">IF(B99="","",IF($B$31=0,"",-'Debt Financing Calculations'!E48))</f>
        <v>-3539691.3658878524</v>
      </c>
      <c r="T99" s="187">
        <f t="shared" ca="1" si="35"/>
        <v>9579304.1092614233</v>
      </c>
      <c r="U99" s="187">
        <f ca="1">IF(C99="","",IF(C99&lt;-1,0,IF(C99=anal_period,-LOOKUP(C99,depr_yr,depr_cost)-Depreciation!$C$141-Depreciation!$B$166,-LOOKUP(C99,depr_yr,depr_cost))))</f>
        <v>-5002662.3418127019</v>
      </c>
      <c r="V99" s="187">
        <f t="shared" ca="1" si="36"/>
        <v>4576641.7674487215</v>
      </c>
      <c r="W99" s="188">
        <f t="shared" si="37"/>
        <v>0.25739999999999996</v>
      </c>
      <c r="X99" s="187">
        <f t="shared" ca="1" si="38"/>
        <v>-1178027.5909413006</v>
      </c>
      <c r="Y99" s="187">
        <f t="shared" ca="1" si="39"/>
        <v>8401276.5183201227</v>
      </c>
      <c r="Z99" s="187">
        <f>IF(C99="","",IF($B$31=0,"",-'Debt Financing Calculations'!F48))</f>
        <v>0</v>
      </c>
      <c r="AA99" s="187">
        <f t="shared" ca="1" si="40"/>
        <v>6720493.5778907556</v>
      </c>
      <c r="AB99" s="187">
        <f t="shared" ca="1" si="23"/>
        <v>110836651.78477703</v>
      </c>
      <c r="AC99" s="1153">
        <f t="shared" ca="1" si="41"/>
        <v>7898521.1688320562</v>
      </c>
      <c r="AD99" s="134"/>
      <c r="AE99" s="1157">
        <f t="shared" ca="1" si="42"/>
        <v>17702500</v>
      </c>
      <c r="AF99" s="1153">
        <f t="shared" si="43"/>
        <v>0</v>
      </c>
    </row>
    <row r="100" spans="1:32" x14ac:dyDescent="0.25">
      <c r="A100" s="58">
        <f t="shared" si="21"/>
        <v>2049</v>
      </c>
      <c r="B100" s="185">
        <f>IF(MAX($B$65:B99)&lt;(construct+anal_period),B99+1,"")</f>
        <v>36</v>
      </c>
      <c r="C100" s="185">
        <f t="shared" si="22"/>
        <v>35</v>
      </c>
      <c r="D100" s="185">
        <f t="shared" si="25"/>
        <v>35</v>
      </c>
      <c r="E100" s="186">
        <f t="shared" si="26"/>
        <v>1.8963664191005378</v>
      </c>
      <c r="F100" s="59">
        <f t="shared" ca="1" si="27"/>
        <v>170501782.38160533</v>
      </c>
      <c r="G100" s="1166"/>
      <c r="H100" s="1175">
        <f t="shared" si="24"/>
        <v>0</v>
      </c>
      <c r="I100" s="187">
        <f ca="1">IF(OR(C100&lt;0,C100=""),"",-E100*INDEX('Replacement Costs'!$A$16:$H$57,MATCH(C100,'Replacement Costs'!$C$16:$C$57,0),MATCH("Total Yearly Replacement Costs",'Replacement Costs'!$A$16:$H$16,0)))</f>
        <v>-1540560.8840573393</v>
      </c>
      <c r="J100" s="187">
        <f ca="1">IF(AND(C100&gt;=1,C100&lt;anal_period),WorkingCap*SUM(N100:R100)-WorkingCap*SUM(N99:R99),IF(C100&lt;0,0,IF(B100="","",-SUM(J$65:J99))))</f>
        <v>-169150.64882662427</v>
      </c>
      <c r="K100" s="187" t="str">
        <f t="shared" si="28"/>
        <v/>
      </c>
      <c r="L100" s="187" t="str">
        <f t="shared" si="29"/>
        <v/>
      </c>
      <c r="M100" s="187" t="str">
        <f t="shared" si="30"/>
        <v/>
      </c>
      <c r="N100" s="187">
        <f t="shared" ca="1" si="31"/>
        <v>-15234396.82593419</v>
      </c>
      <c r="O100" s="187">
        <f t="shared" ca="1" si="32"/>
        <v>-141979842.97623658</v>
      </c>
      <c r="P100" s="187">
        <f t="shared" ca="1" si="33"/>
        <v>0</v>
      </c>
      <c r="Q100" s="187">
        <f t="shared" ca="1" si="10"/>
        <v>0</v>
      </c>
      <c r="R100" s="187">
        <f t="shared" ca="1" si="34"/>
        <v>-372429.69293699827</v>
      </c>
      <c r="S100" s="187">
        <f ca="1">IF(B100="","",IF($B$31=0,"",-'Debt Financing Calculations'!E49))</f>
        <v>-3539691.3658878524</v>
      </c>
      <c r="T100" s="187">
        <f t="shared" ca="1" si="35"/>
        <v>9375421.5206097066</v>
      </c>
      <c r="U100" s="187">
        <f ca="1">IF(C100="","",IF(C100&lt;-1,0,IF(C100=anal_period,-LOOKUP(C100,depr_yr,depr_cost)-Depreciation!$C$141-Depreciation!$B$166,-LOOKUP(C100,depr_yr,depr_cost))))</f>
        <v>-4404432.4276751122</v>
      </c>
      <c r="V100" s="187">
        <f t="shared" ca="1" si="36"/>
        <v>4970989.0929345945</v>
      </c>
      <c r="W100" s="188">
        <f t="shared" si="37"/>
        <v>0.25739999999999996</v>
      </c>
      <c r="X100" s="187">
        <f t="shared" ca="1" si="38"/>
        <v>-1279532.5925213643</v>
      </c>
      <c r="Y100" s="187">
        <f t="shared" ca="1" si="39"/>
        <v>8095888.9280883428</v>
      </c>
      <c r="Z100" s="187">
        <f>IF(C100="","",IF($B$31=0,"",-'Debt Financing Calculations'!F49))</f>
        <v>0</v>
      </c>
      <c r="AA100" s="187">
        <f t="shared" ca="1" si="40"/>
        <v>6386177.3952043783</v>
      </c>
      <c r="AB100" s="187">
        <f t="shared" ca="1" si="23"/>
        <v>117222829.17998141</v>
      </c>
      <c r="AC100" s="1153">
        <f t="shared" ca="1" si="41"/>
        <v>7665709.9877257431</v>
      </c>
      <c r="AD100" s="134"/>
      <c r="AE100" s="1157">
        <f t="shared" ca="1" si="42"/>
        <v>17702500</v>
      </c>
      <c r="AF100" s="1153">
        <f t="shared" si="43"/>
        <v>0</v>
      </c>
    </row>
    <row r="101" spans="1:32" x14ac:dyDescent="0.25">
      <c r="A101" s="58">
        <f t="shared" si="21"/>
        <v>2050</v>
      </c>
      <c r="B101" s="185">
        <f>IF(MAX($B$65:B100)&lt;(construct+anal_period),B100+1,"")</f>
        <v>37</v>
      </c>
      <c r="C101" s="185">
        <f t="shared" si="22"/>
        <v>36</v>
      </c>
      <c r="D101" s="185">
        <f t="shared" si="25"/>
        <v>36</v>
      </c>
      <c r="E101" s="186">
        <f t="shared" si="26"/>
        <v>1.932397381063448</v>
      </c>
      <c r="F101" s="59">
        <f t="shared" ca="1" si="27"/>
        <v>173741316.24685583</v>
      </c>
      <c r="G101" s="1166"/>
      <c r="H101" s="1175">
        <f t="shared" si="24"/>
        <v>0</v>
      </c>
      <c r="I101" s="187">
        <f ca="1">IF(OR(C101&lt;0,C101=""),"",-E101*INDEX('Replacement Costs'!$A$16:$H$57,MATCH(C101,'Replacement Costs'!$C$16:$C$57,0),MATCH("Total Yearly Replacement Costs",'Replacement Costs'!$A$16:$H$16,0)))</f>
        <v>-35209078.844877906</v>
      </c>
      <c r="J101" s="187">
        <f ca="1">IF(AND(C101&gt;=1,C101&lt;anal_period),WorkingCap*SUM(N101:R101)-WorkingCap*SUM(N100:R100),IF(C101&lt;0,0,IF(B101="","",-SUM(J$65:J100))))</f>
        <v>-172090.28236465622</v>
      </c>
      <c r="K101" s="187" t="str">
        <f t="shared" si="28"/>
        <v/>
      </c>
      <c r="L101" s="187" t="str">
        <f t="shared" si="29"/>
        <v/>
      </c>
      <c r="M101" s="187" t="str">
        <f t="shared" si="30"/>
        <v/>
      </c>
      <c r="N101" s="187">
        <f t="shared" ca="1" si="31"/>
        <v>-15523850.365626941</v>
      </c>
      <c r="O101" s="187">
        <f t="shared" ca="1" si="32"/>
        <v>-145125118.91967115</v>
      </c>
      <c r="P101" s="187">
        <f t="shared" ca="1" si="33"/>
        <v>0</v>
      </c>
      <c r="Q101" s="187">
        <f t="shared" ca="1" si="10"/>
        <v>0</v>
      </c>
      <c r="R101" s="187">
        <f t="shared" ca="1" si="34"/>
        <v>-379505.85710280127</v>
      </c>
      <c r="S101" s="187">
        <f ca="1">IF(B101="","",IF($B$31=0,"",-'Debt Financing Calculations'!E50))</f>
        <v>-3539691.3658878524</v>
      </c>
      <c r="T101" s="187">
        <f t="shared" ca="1" si="35"/>
        <v>9173149.7385670841</v>
      </c>
      <c r="U101" s="187">
        <f ca="1">IF(C101="","",IF(C101&lt;-1,0,IF(C101=anal_period,-LOOKUP(C101,depr_yr,depr_cost)-Depreciation!$C$141-Depreciation!$B$166,-LOOKUP(C101,depr_yr,depr_cost))))</f>
        <v>-5077567.7458114279</v>
      </c>
      <c r="V101" s="187">
        <f t="shared" ca="1" si="36"/>
        <v>4095581.9927556561</v>
      </c>
      <c r="W101" s="188">
        <f t="shared" si="37"/>
        <v>0.25739999999999996</v>
      </c>
      <c r="X101" s="187">
        <f t="shared" ca="1" si="38"/>
        <v>-1054202.8049353058</v>
      </c>
      <c r="Y101" s="187">
        <f t="shared" ca="1" si="39"/>
        <v>8118946.9336317778</v>
      </c>
      <c r="Z101" s="187">
        <f>IF(C101="","",IF($B$31=0,"",-'Debt Financing Calculations'!F50))</f>
        <v>0</v>
      </c>
      <c r="AA101" s="187">
        <f t="shared" ca="1" si="40"/>
        <v>-27262222.193610787</v>
      </c>
      <c r="AB101" s="187">
        <f t="shared" ca="1" si="23"/>
        <v>89960606.986370623</v>
      </c>
      <c r="AC101" s="1153">
        <f t="shared" ca="1" si="41"/>
        <v>-26208019.388675481</v>
      </c>
      <c r="AD101" s="134"/>
      <c r="AE101" s="1157">
        <f t="shared" ca="1" si="42"/>
        <v>17702500</v>
      </c>
      <c r="AF101" s="1153">
        <f t="shared" si="43"/>
        <v>0</v>
      </c>
    </row>
    <row r="102" spans="1:32" x14ac:dyDescent="0.25">
      <c r="A102" s="58">
        <f t="shared" si="21"/>
        <v>2051</v>
      </c>
      <c r="B102" s="185">
        <f>IF(MAX($B$65:B101)&lt;(construct+anal_period),B101+1,"")</f>
        <v>38</v>
      </c>
      <c r="C102" s="185">
        <f t="shared" si="22"/>
        <v>37</v>
      </c>
      <c r="D102" s="185">
        <f t="shared" si="25"/>
        <v>37</v>
      </c>
      <c r="E102" s="186">
        <f t="shared" si="26"/>
        <v>1.9691129313036535</v>
      </c>
      <c r="F102" s="59">
        <f t="shared" ca="1" si="27"/>
        <v>177042401.25554609</v>
      </c>
      <c r="G102" s="1166"/>
      <c r="H102" s="1175">
        <f t="shared" si="24"/>
        <v>0</v>
      </c>
      <c r="I102" s="187">
        <f ca="1">IF(OR(C102&lt;0,C102=""),"",-E102*INDEX('Replacement Costs'!$A$16:$H$57,MATCH(C102,'Replacement Costs'!$C$16:$C$57,0),MATCH("Total Yearly Replacement Costs",'Replacement Costs'!$A$16:$H$16,0)))</f>
        <v>-1599658.3401306628</v>
      </c>
      <c r="J102" s="187">
        <f ca="1">IF(AND(C102&gt;=1,C102&lt;anal_period),WorkingCap*SUM(N102:R102)-WorkingCap*SUM(N101:R101),IF(C102&lt;0,0,IF(B102="","",-SUM(J$65:J101))))</f>
        <v>-159683.19284565933</v>
      </c>
      <c r="K102" s="187" t="str">
        <f t="shared" si="28"/>
        <v/>
      </c>
      <c r="L102" s="187" t="str">
        <f t="shared" si="29"/>
        <v/>
      </c>
      <c r="M102" s="187" t="str">
        <f t="shared" si="30"/>
        <v/>
      </c>
      <c r="N102" s="187">
        <f t="shared" ca="1" si="31"/>
        <v>-15818803.522573853</v>
      </c>
      <c r="O102" s="187">
        <f t="shared" ca="1" si="32"/>
        <v>-148016619.00835246</v>
      </c>
      <c r="P102" s="187">
        <f t="shared" ca="1" si="33"/>
        <v>0</v>
      </c>
      <c r="Q102" s="187">
        <f t="shared" ca="1" si="10"/>
        <v>0</v>
      </c>
      <c r="R102" s="187">
        <f t="shared" ca="1" si="34"/>
        <v>-386716.46838775446</v>
      </c>
      <c r="S102" s="187">
        <f ca="1">IF(B102="","",IF($B$31=0,"",-'Debt Financing Calculations'!E51))</f>
        <v>-3539691.3658878524</v>
      </c>
      <c r="T102" s="187">
        <f t="shared" ca="1" si="35"/>
        <v>9280570.8903441727</v>
      </c>
      <c r="U102" s="187">
        <f ca="1">IF(C102="","",IF(C102&lt;-1,0,IF(C102=anal_period,-LOOKUP(C102,depr_yr,depr_cost)-Depreciation!$C$141-Depreciation!$B$166,-LOOKUP(C102,depr_yr,depr_cost))))</f>
        <v>-6251821.6604401274</v>
      </c>
      <c r="V102" s="187">
        <f t="shared" ca="1" si="36"/>
        <v>3028749.2299040454</v>
      </c>
      <c r="W102" s="188">
        <f t="shared" si="37"/>
        <v>0.25739999999999996</v>
      </c>
      <c r="X102" s="187">
        <f t="shared" ca="1" si="38"/>
        <v>-779600.05177730112</v>
      </c>
      <c r="Y102" s="187">
        <f t="shared" ca="1" si="39"/>
        <v>8500970.8385668714</v>
      </c>
      <c r="Z102" s="187">
        <f>IF(C102="","",IF($B$31=0,"",-'Debt Financing Calculations'!F51))</f>
        <v>0</v>
      </c>
      <c r="AA102" s="187">
        <f t="shared" ca="1" si="40"/>
        <v>6741629.3055905495</v>
      </c>
      <c r="AB102" s="187">
        <f t="shared" ca="1" si="23"/>
        <v>96702236.291961178</v>
      </c>
      <c r="AC102" s="1153">
        <f t="shared" ca="1" si="41"/>
        <v>7521229.3573678508</v>
      </c>
      <c r="AD102" s="134"/>
      <c r="AE102" s="1157">
        <f t="shared" ca="1" si="42"/>
        <v>17702500</v>
      </c>
      <c r="AF102" s="1153">
        <f t="shared" si="43"/>
        <v>0</v>
      </c>
    </row>
    <row r="103" spans="1:32" x14ac:dyDescent="0.25">
      <c r="A103" s="58">
        <f t="shared" si="21"/>
        <v>2052</v>
      </c>
      <c r="B103" s="185">
        <f>IF(MAX($B$65:B102)&lt;(construct+anal_period),B102+1,"")</f>
        <v>39</v>
      </c>
      <c r="C103" s="185">
        <f t="shared" si="22"/>
        <v>38</v>
      </c>
      <c r="D103" s="185">
        <f t="shared" si="25"/>
        <v>38</v>
      </c>
      <c r="E103" s="186">
        <f t="shared" si="26"/>
        <v>2.0065260769984223</v>
      </c>
      <c r="F103" s="59">
        <f t="shared" ca="1" si="27"/>
        <v>180406206.87940142</v>
      </c>
      <c r="G103" s="1166"/>
      <c r="H103" s="1175">
        <f t="shared" si="24"/>
        <v>0</v>
      </c>
      <c r="I103" s="187">
        <f ca="1">IF(OR(C103&lt;0,C103=""),"",-E103*INDEX('Replacement Costs'!$A$16:$H$57,MATCH(C103,'Replacement Costs'!$C$16:$C$57,0),MATCH("Total Yearly Replacement Costs",'Replacement Costs'!$A$16:$H$16,0)))</f>
        <v>-1630051.8485931449</v>
      </c>
      <c r="J103" s="187">
        <f ca="1">IF(AND(C103&gt;=1,C103&lt;anal_period),WorkingCap*SUM(N103:R103)-WorkingCap*SUM(N102:R102),IF(C103&lt;0,0,IF(B103="","",-SUM(J$65:J102))))</f>
        <v>-162850.78792996705</v>
      </c>
      <c r="K103" s="187" t="str">
        <f t="shared" si="28"/>
        <v/>
      </c>
      <c r="L103" s="187" t="str">
        <f t="shared" si="29"/>
        <v/>
      </c>
      <c r="M103" s="187" t="str">
        <f t="shared" si="30"/>
        <v/>
      </c>
      <c r="N103" s="187">
        <f t="shared" ca="1" si="31"/>
        <v>-16119360.789502751</v>
      </c>
      <c r="O103" s="187">
        <f t="shared" ca="1" si="32"/>
        <v>-150965729.88712355</v>
      </c>
      <c r="P103" s="187">
        <f t="shared" ca="1" si="33"/>
        <v>0</v>
      </c>
      <c r="Q103" s="187">
        <f t="shared" ca="1" si="10"/>
        <v>0</v>
      </c>
      <c r="R103" s="187">
        <f t="shared" ca="1" si="34"/>
        <v>-394064.08128712169</v>
      </c>
      <c r="S103" s="187">
        <f ca="1">IF(B103="","",IF($B$31=0,"",-'Debt Financing Calculations'!E52))</f>
        <v>-3539691.3658878524</v>
      </c>
      <c r="T103" s="187">
        <f t="shared" ca="1" si="35"/>
        <v>9387360.7556001544</v>
      </c>
      <c r="U103" s="187">
        <f ca="1">IF(C103="","",IF(C103&lt;-1,0,IF(C103=anal_period,-LOOKUP(C103,depr_yr,depr_cost)-Depreciation!$C$141-Depreciation!$B$166,-LOOKUP(C103,depr_yr,depr_cost))))</f>
        <v>-6095199.4082476851</v>
      </c>
      <c r="V103" s="187">
        <f t="shared" ca="1" si="36"/>
        <v>3292161.3473524693</v>
      </c>
      <c r="W103" s="188">
        <f t="shared" si="37"/>
        <v>0.25739999999999996</v>
      </c>
      <c r="X103" s="187">
        <f t="shared" ca="1" si="38"/>
        <v>-847402.33080852544</v>
      </c>
      <c r="Y103" s="187">
        <f t="shared" ca="1" si="39"/>
        <v>8539958.4247916285</v>
      </c>
      <c r="Z103" s="187">
        <f>IF(C103="","",IF($B$31=0,"",-'Debt Financing Calculations'!F52))</f>
        <v>0</v>
      </c>
      <c r="AA103" s="187">
        <f t="shared" ca="1" si="40"/>
        <v>6747055.7882685177</v>
      </c>
      <c r="AB103" s="187">
        <f t="shared" ca="1" si="23"/>
        <v>103449292.0802297</v>
      </c>
      <c r="AC103" s="1153">
        <f t="shared" ca="1" si="41"/>
        <v>7594458.1190770427</v>
      </c>
      <c r="AD103" s="134"/>
      <c r="AE103" s="1157">
        <f t="shared" ca="1" si="42"/>
        <v>17702500</v>
      </c>
      <c r="AF103" s="1153">
        <f t="shared" si="43"/>
        <v>0</v>
      </c>
    </row>
    <row r="104" spans="1:32" x14ac:dyDescent="0.25">
      <c r="A104" s="58">
        <f t="shared" si="21"/>
        <v>2053</v>
      </c>
      <c r="B104" s="185">
        <f>IF(MAX($B$65:B103)&lt;(construct+anal_period),B103+1,"")</f>
        <v>40</v>
      </c>
      <c r="C104" s="185">
        <f t="shared" si="22"/>
        <v>39</v>
      </c>
      <c r="D104" s="185">
        <f t="shared" si="25"/>
        <v>39</v>
      </c>
      <c r="E104" s="186">
        <f t="shared" si="26"/>
        <v>2.0446500724613927</v>
      </c>
      <c r="F104" s="59">
        <f t="shared" ca="1" si="27"/>
        <v>183833924.81011006</v>
      </c>
      <c r="G104" s="1166"/>
      <c r="H104" s="1175">
        <f t="shared" si="24"/>
        <v>0</v>
      </c>
      <c r="I104" s="187">
        <f ca="1">IF(OR(C104&lt;0,C104=""),"",-E104*INDEX('Replacement Costs'!$A$16:$H$57,MATCH(C104,'Replacement Costs'!$C$16:$C$57,0),MATCH("Total Yearly Replacement Costs",'Replacement Costs'!$A$16:$H$16,0)))</f>
        <v>-1661022.8337164151</v>
      </c>
      <c r="J104" s="187">
        <f ca="1">IF(AND(C104&gt;=1,C104&lt;anal_period),WorkingCap*SUM(N104:R104)-WorkingCap*SUM(N103:R103),IF(C104&lt;0,0,IF(B104="","",-SUM(J$65:J103))))</f>
        <v>-166081.22947965562</v>
      </c>
      <c r="K104" s="187" t="str">
        <f t="shared" si="28"/>
        <v/>
      </c>
      <c r="L104" s="187" t="str">
        <f t="shared" si="29"/>
        <v/>
      </c>
      <c r="M104" s="187" t="str">
        <f t="shared" si="30"/>
        <v/>
      </c>
      <c r="N104" s="187">
        <f t="shared" ca="1" si="31"/>
        <v>-16425628.644503307</v>
      </c>
      <c r="O104" s="187">
        <f t="shared" ca="1" si="32"/>
        <v>-153973599.40417165</v>
      </c>
      <c r="P104" s="187">
        <f t="shared" ca="1" si="33"/>
        <v>0</v>
      </c>
      <c r="Q104" s="187">
        <f t="shared" ca="1" si="10"/>
        <v>0</v>
      </c>
      <c r="R104" s="187">
        <f t="shared" ca="1" si="34"/>
        <v>-401551.29883157706</v>
      </c>
      <c r="S104" s="187">
        <f ca="1">IF(B104="","",IF($B$31=0,"",-'Debt Financing Calculations'!E53))</f>
        <v>-3539691.3658878524</v>
      </c>
      <c r="T104" s="187">
        <f t="shared" ca="1" si="35"/>
        <v>9493454.0967156887</v>
      </c>
      <c r="U104" s="187">
        <f ca="1">IF(C104="","",IF(C104&lt;-1,0,IF(C104=anal_period,-LOOKUP(C104,depr_yr,depr_cost)-Depreciation!$C$141-Depreciation!$B$166,-LOOKUP(C104,depr_yr,depr_cost))))</f>
        <v>-5953267.476415514</v>
      </c>
      <c r="V104" s="187">
        <f t="shared" ca="1" si="36"/>
        <v>3540186.6203001747</v>
      </c>
      <c r="W104" s="188">
        <f t="shared" si="37"/>
        <v>0.25739999999999996</v>
      </c>
      <c r="X104" s="187">
        <f t="shared" ca="1" si="38"/>
        <v>-911244.03606526484</v>
      </c>
      <c r="Y104" s="187">
        <f t="shared" ca="1" si="39"/>
        <v>8582210.0606504232</v>
      </c>
      <c r="Z104" s="187">
        <f>IF(C104="","",IF($B$31=0,"",-'Debt Financing Calculations'!F53))</f>
        <v>0</v>
      </c>
      <c r="AA104" s="187">
        <f t="shared" ca="1" si="40"/>
        <v>6755105.9974543536</v>
      </c>
      <c r="AB104" s="187">
        <f t="shared" ca="1" si="23"/>
        <v>110204398.07768406</v>
      </c>
      <c r="AC104" s="1153">
        <f t="shared" ca="1" si="41"/>
        <v>7666350.0335196182</v>
      </c>
      <c r="AD104" s="134"/>
      <c r="AE104" s="1157">
        <f t="shared" ca="1" si="42"/>
        <v>17702500</v>
      </c>
      <c r="AF104" s="1153">
        <f t="shared" si="43"/>
        <v>0</v>
      </c>
    </row>
    <row r="105" spans="1:32" x14ac:dyDescent="0.25">
      <c r="A105" s="58">
        <f t="shared" si="21"/>
        <v>2054</v>
      </c>
      <c r="B105" s="185">
        <f>IF(MAX($B$65:B104)&lt;(construct+anal_period),B104+1,"")</f>
        <v>41</v>
      </c>
      <c r="C105" s="185">
        <f t="shared" si="22"/>
        <v>40</v>
      </c>
      <c r="D105" s="185">
        <f t="shared" si="25"/>
        <v>40</v>
      </c>
      <c r="E105" s="186">
        <f t="shared" si="26"/>
        <v>2.0834984238381593</v>
      </c>
      <c r="F105" s="59">
        <f t="shared" ca="1" si="27"/>
        <v>187326769.38150218</v>
      </c>
      <c r="G105" s="1166"/>
      <c r="H105" s="1175">
        <f t="shared" si="24"/>
        <v>0</v>
      </c>
      <c r="I105" s="187">
        <f ca="1">IF(OR(C105&lt;0,C105=""),"",-E105*INDEX('Replacement Costs'!$A$16:$H$57,MATCH(C105,'Replacement Costs'!$C$16:$C$57,0),MATCH("Total Yearly Replacement Costs",'Replacement Costs'!$A$16:$H$16,0)))</f>
        <v>-1692582.2675570271</v>
      </c>
      <c r="J105" s="187">
        <f ca="1">IF(AND(C105&gt;=1,C105&lt;anal_period),WorkingCap*SUM(N105:R105)-WorkingCap*SUM(N104:R104),IF(C105&lt;0,0,IF(B105="","",-SUM(J$65:J104))))</f>
        <v>8540038.9673753269</v>
      </c>
      <c r="K105" s="187" t="str">
        <f t="shared" si="28"/>
        <v/>
      </c>
      <c r="L105" s="187">
        <f t="shared" ca="1" si="29"/>
        <v>33907910.245840311</v>
      </c>
      <c r="M105" s="187">
        <f t="shared" ca="1" si="30"/>
        <v>-33851645.351140536</v>
      </c>
      <c r="N105" s="187">
        <f t="shared" ca="1" si="31"/>
        <v>-16737715.58874887</v>
      </c>
      <c r="O105" s="187">
        <f t="shared" ca="1" si="32"/>
        <v>-157041398.27762634</v>
      </c>
      <c r="P105" s="187">
        <f t="shared" ca="1" si="33"/>
        <v>0</v>
      </c>
      <c r="Q105" s="187">
        <f t="shared" ca="1" si="10"/>
        <v>0</v>
      </c>
      <c r="R105" s="187">
        <f t="shared" ca="1" si="34"/>
        <v>-409180.77350937709</v>
      </c>
      <c r="S105" s="187">
        <f ca="1">IF(B105="","",IF($B$31=0,"",-'Debt Financing Calculations'!E54))</f>
        <v>-3539691.3658878524</v>
      </c>
      <c r="T105" s="187">
        <f t="shared" ca="1" si="35"/>
        <v>9655048.2704295218</v>
      </c>
      <c r="U105" s="187">
        <f ca="1">IF(C105="","",IF(C105&lt;-1,0,IF(C105=anal_period,-LOOKUP(C105,depr_yr,depr_cost)-Depreciation!$C$141-Depreciation!$B$166,-LOOKUP(C105,depr_yr,depr_cost))))</f>
        <v>-56341314.874245584</v>
      </c>
      <c r="V105" s="187">
        <f t="shared" ca="1" si="36"/>
        <v>-46686266.603816062</v>
      </c>
      <c r="W105" s="188">
        <f t="shared" si="37"/>
        <v>0.25739999999999996</v>
      </c>
      <c r="X105" s="187">
        <f t="shared" ca="1" si="38"/>
        <v>12017045.023822254</v>
      </c>
      <c r="Y105" s="187">
        <f t="shared" ca="1" si="39"/>
        <v>21672093.294251777</v>
      </c>
      <c r="Z105" s="187">
        <f ca="1">IF(C105="","",IF($B$31=0,"",-'Debt Financing Calculations'!F54))</f>
        <v>-95667334.213185206</v>
      </c>
      <c r="AA105" s="187">
        <f t="shared" ca="1" si="40"/>
        <v>-67147784.219115138</v>
      </c>
      <c r="AB105" s="187">
        <f t="shared" ca="1" si="23"/>
        <v>43056613.858568922</v>
      </c>
      <c r="AC105" s="1153">
        <f t="shared" ca="1" si="41"/>
        <v>-79164829.242937386</v>
      </c>
      <c r="AD105" s="134"/>
      <c r="AE105" s="1157">
        <f t="shared" ca="1" si="42"/>
        <v>17702500</v>
      </c>
      <c r="AF105" s="1153">
        <f t="shared" si="43"/>
        <v>0</v>
      </c>
    </row>
    <row r="106" spans="1:32" x14ac:dyDescent="0.25">
      <c r="A106" s="58" t="str">
        <f t="shared" si="21"/>
        <v/>
      </c>
      <c r="B106" s="185" t="str">
        <f>IF(MAX($B$65:B105)&lt;(construct+anal_period),B105+1,"")</f>
        <v/>
      </c>
      <c r="C106" s="185" t="str">
        <f t="shared" si="22"/>
        <v/>
      </c>
      <c r="D106" s="185" t="str">
        <f t="shared" si="25"/>
        <v/>
      </c>
      <c r="E106" s="186" t="str">
        <f t="shared" si="26"/>
        <v/>
      </c>
      <c r="F106" s="59" t="str">
        <f t="shared" si="27"/>
        <v/>
      </c>
      <c r="G106" s="1166"/>
      <c r="H106" s="1175" t="str">
        <f t="shared" si="24"/>
        <v/>
      </c>
      <c r="I106" s="187" t="str">
        <f>IF(OR(C106&lt;0,C106=""),"",-E106*INDEX('Replacement Costs'!$A$16:$H$57,MATCH(C106,'Replacement Costs'!$C$16:$C$57,0),MATCH("Total Yearly Replacement Costs",'Replacement Costs'!$A$16:$H$16,0)))</f>
        <v/>
      </c>
      <c r="J106" s="187" t="str">
        <f>IF(AND(C106&gt;=1,C106&lt;anal_period),WorkingCap*SUM(N106:R106)-WorkingCap*SUM(N105:R105),IF(C106&lt;0,0,IF(B106="","",-SUM(J$65:J105))))</f>
        <v/>
      </c>
      <c r="K106" s="187" t="str">
        <f t="shared" si="28"/>
        <v/>
      </c>
      <c r="L106" s="187" t="str">
        <f t="shared" si="29"/>
        <v/>
      </c>
      <c r="M106" s="187" t="str">
        <f t="shared" si="30"/>
        <v/>
      </c>
      <c r="N106" s="187" t="str">
        <f t="shared" si="31"/>
        <v/>
      </c>
      <c r="O106" s="187" t="str">
        <f t="shared" si="32"/>
        <v/>
      </c>
      <c r="P106" s="187" t="str">
        <f t="shared" si="33"/>
        <v/>
      </c>
      <c r="Q106" s="187" t="str">
        <f t="shared" si="10"/>
        <v/>
      </c>
      <c r="R106" s="187" t="str">
        <f t="shared" si="34"/>
        <v/>
      </c>
      <c r="S106" s="187" t="str">
        <f>IF(B106="","",IF($B$31=0,"",-'Debt Financing Calculations'!E55))</f>
        <v/>
      </c>
      <c r="T106" s="187" t="str">
        <f>IF(C106="","",F106+SUM(L106:S106))</f>
        <v/>
      </c>
      <c r="U106" s="187" t="str">
        <f>IF(C106="","",IF(C106&lt;-1,0,IF(C106=anal_period,-LOOKUP(C106,depr_yr,depr_cost)-Depreciation!$C$141-Depreciation!$B$166,-LOOKUP(C106,depr_yr,depr_cost))))</f>
        <v/>
      </c>
      <c r="V106" s="187" t="str">
        <f t="shared" si="36"/>
        <v/>
      </c>
      <c r="W106" s="188" t="str">
        <f t="shared" si="37"/>
        <v/>
      </c>
      <c r="X106" s="187" t="str">
        <f t="shared" si="38"/>
        <v/>
      </c>
      <c r="Y106" s="187" t="str">
        <f t="shared" si="39"/>
        <v/>
      </c>
      <c r="Z106" s="187" t="str">
        <f>IF(C106="","",IF($B$31=0,"",-'Debt Financing Calculations'!F55))</f>
        <v/>
      </c>
      <c r="AA106" s="187" t="str">
        <f t="shared" si="40"/>
        <v/>
      </c>
      <c r="AB106" s="187" t="str">
        <f t="shared" si="23"/>
        <v/>
      </c>
      <c r="AC106" s="1153" t="str">
        <f>IF(C106="","",SUM(H106,I106,J106,K106,T106,Z106))</f>
        <v/>
      </c>
      <c r="AD106" s="134"/>
      <c r="AE106" s="1157" t="str">
        <f t="shared" si="42"/>
        <v/>
      </c>
      <c r="AF106" s="1153" t="str">
        <f t="shared" si="43"/>
        <v/>
      </c>
    </row>
    <row r="107" spans="1:32" x14ac:dyDescent="0.25">
      <c r="A107" s="58" t="str">
        <f t="shared" si="21"/>
        <v/>
      </c>
      <c r="B107" s="185" t="str">
        <f>IF(MAX($B$65:B106)&lt;(construct+anal_period),B106+1,"")</f>
        <v/>
      </c>
      <c r="C107" s="185" t="str">
        <f t="shared" si="22"/>
        <v/>
      </c>
      <c r="D107" s="185" t="str">
        <f t="shared" si="25"/>
        <v/>
      </c>
      <c r="E107" s="186" t="str">
        <f t="shared" si="26"/>
        <v/>
      </c>
      <c r="F107" s="59" t="str">
        <f t="shared" si="27"/>
        <v/>
      </c>
      <c r="G107" s="1166"/>
      <c r="H107" s="1175" t="str">
        <f t="shared" si="24"/>
        <v/>
      </c>
      <c r="I107" s="187" t="str">
        <f>IF(OR(C107&lt;0,C107=""),"",-E107*INDEX('Replacement Costs'!$A$16:$H$57,MATCH(C107,'Replacement Costs'!$C$16:$C$57,0),MATCH("Total Yearly Replacement Costs",'Replacement Costs'!$A$16:$H$16,0)))</f>
        <v/>
      </c>
      <c r="J107" s="187" t="str">
        <f>IF(AND(C107&gt;=1,C107&lt;anal_period),WorkingCap*SUM(N107:R107)-WorkingCap*SUM(N106:R106),IF(C107&lt;0,0,IF(B107="","",-SUM(J$65:J106))))</f>
        <v/>
      </c>
      <c r="K107" s="187" t="str">
        <f t="shared" si="28"/>
        <v/>
      </c>
      <c r="L107" s="187" t="str">
        <f t="shared" si="29"/>
        <v/>
      </c>
      <c r="M107" s="187" t="str">
        <f t="shared" si="30"/>
        <v/>
      </c>
      <c r="N107" s="187" t="str">
        <f t="shared" si="31"/>
        <v/>
      </c>
      <c r="O107" s="187" t="str">
        <f t="shared" si="32"/>
        <v/>
      </c>
      <c r="P107" s="187" t="str">
        <f t="shared" si="33"/>
        <v/>
      </c>
      <c r="Q107" s="187" t="str">
        <f t="shared" si="10"/>
        <v/>
      </c>
      <c r="R107" s="187" t="str">
        <f t="shared" si="34"/>
        <v/>
      </c>
      <c r="S107" s="187" t="str">
        <f>IF(B107="","",IF($B$31=0,"",-'Debt Financing Calculations'!E56))</f>
        <v/>
      </c>
      <c r="T107" s="187" t="str">
        <f t="shared" si="35"/>
        <v/>
      </c>
      <c r="U107" s="187" t="str">
        <f>IF(C107="","",IF(C107&lt;-1,0,IF(C107=anal_period,-LOOKUP(C107,depr_yr,depr_cost)-Depreciation!$C$141-Depreciation!$B$166,-LOOKUP(C107,depr_yr,depr_cost))))</f>
        <v/>
      </c>
      <c r="V107" s="187" t="str">
        <f t="shared" si="36"/>
        <v/>
      </c>
      <c r="W107" s="188" t="str">
        <f t="shared" si="37"/>
        <v/>
      </c>
      <c r="X107" s="187" t="str">
        <f t="shared" si="38"/>
        <v/>
      </c>
      <c r="Y107" s="187" t="str">
        <f t="shared" si="39"/>
        <v/>
      </c>
      <c r="Z107" s="187" t="str">
        <f>IF(C107="","",IF($B$31=0,"",-'Debt Financing Calculations'!F56))</f>
        <v/>
      </c>
      <c r="AA107" s="187" t="str">
        <f t="shared" si="40"/>
        <v/>
      </c>
      <c r="AB107" s="187" t="str">
        <f t="shared" si="23"/>
        <v/>
      </c>
      <c r="AC107" s="1153" t="str">
        <f t="shared" si="41"/>
        <v/>
      </c>
      <c r="AD107" s="134"/>
      <c r="AE107" s="1157" t="str">
        <f t="shared" si="42"/>
        <v/>
      </c>
      <c r="AF107" s="1153" t="str">
        <f t="shared" si="43"/>
        <v/>
      </c>
    </row>
    <row r="108" spans="1:32" x14ac:dyDescent="0.25">
      <c r="A108" s="58" t="str">
        <f t="shared" si="21"/>
        <v/>
      </c>
      <c r="B108" s="185" t="str">
        <f>IF(MAX($B$65:B107)&lt;(construct+anal_period),B107+1,"")</f>
        <v/>
      </c>
      <c r="C108" s="185" t="str">
        <f t="shared" si="22"/>
        <v/>
      </c>
      <c r="D108" s="185" t="str">
        <f t="shared" si="25"/>
        <v/>
      </c>
      <c r="E108" s="186" t="str">
        <f t="shared" si="26"/>
        <v/>
      </c>
      <c r="F108" s="59" t="str">
        <f t="shared" si="27"/>
        <v/>
      </c>
      <c r="G108" s="1166"/>
      <c r="H108" s="1175"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53" t="str">
        <f t="shared" si="41"/>
        <v/>
      </c>
      <c r="AD108" s="134"/>
      <c r="AE108" s="1157" t="str">
        <f t="shared" si="42"/>
        <v/>
      </c>
      <c r="AF108" s="1153" t="str">
        <f t="shared" si="43"/>
        <v/>
      </c>
    </row>
    <row r="109" spans="1:32" x14ac:dyDescent="0.25">
      <c r="A109" s="58" t="str">
        <f t="shared" si="21"/>
        <v/>
      </c>
      <c r="B109" s="185" t="str">
        <f>IF(MAX($B$65:B108)&lt;(construct+anal_period),B108+1,"")</f>
        <v/>
      </c>
      <c r="C109" s="185" t="str">
        <f t="shared" si="22"/>
        <v/>
      </c>
      <c r="D109" s="185" t="str">
        <f t="shared" si="25"/>
        <v/>
      </c>
      <c r="E109" s="186" t="str">
        <f t="shared" si="26"/>
        <v/>
      </c>
      <c r="F109" s="59" t="str">
        <f t="shared" si="27"/>
        <v/>
      </c>
      <c r="G109" s="1166"/>
      <c r="H109" s="1175"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53" t="str">
        <f t="shared" si="41"/>
        <v/>
      </c>
      <c r="AD109" s="134"/>
      <c r="AE109" s="1157" t="str">
        <f t="shared" si="42"/>
        <v/>
      </c>
      <c r="AF109" s="1153" t="str">
        <f t="shared" si="43"/>
        <v/>
      </c>
    </row>
    <row r="110" spans="1:32" x14ac:dyDescent="0.25">
      <c r="A110" s="58" t="str">
        <f t="shared" si="21"/>
        <v/>
      </c>
      <c r="B110" s="185" t="str">
        <f>IF(MAX($B$65:B109)&lt;(construct+anal_period),B109+1,"")</f>
        <v/>
      </c>
      <c r="C110" s="185" t="str">
        <f t="shared" si="22"/>
        <v/>
      </c>
      <c r="D110" s="185" t="str">
        <f t="shared" si="25"/>
        <v/>
      </c>
      <c r="E110" s="186" t="str">
        <f t="shared" si="26"/>
        <v/>
      </c>
      <c r="F110" s="59" t="str">
        <f t="shared" si="27"/>
        <v/>
      </c>
      <c r="G110" s="1166"/>
      <c r="H110" s="1175"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53" t="str">
        <f t="shared" si="41"/>
        <v/>
      </c>
      <c r="AD110" s="134"/>
      <c r="AE110" s="1157" t="str">
        <f t="shared" si="42"/>
        <v/>
      </c>
      <c r="AF110" s="1153" t="str">
        <f t="shared" si="43"/>
        <v/>
      </c>
    </row>
    <row r="111" spans="1:32" x14ac:dyDescent="0.25">
      <c r="A111" s="58" t="str">
        <f t="shared" si="21"/>
        <v/>
      </c>
      <c r="B111" s="185" t="str">
        <f>IF(MAX($B$65:B110)&lt;(construct+anal_period),B110+1,"")</f>
        <v/>
      </c>
      <c r="C111" s="185" t="str">
        <f t="shared" si="22"/>
        <v/>
      </c>
      <c r="D111" s="185" t="str">
        <f t="shared" si="25"/>
        <v/>
      </c>
      <c r="E111" s="186" t="str">
        <f t="shared" si="26"/>
        <v/>
      </c>
      <c r="F111" s="59" t="str">
        <f t="shared" si="27"/>
        <v/>
      </c>
      <c r="G111" s="1166"/>
      <c r="H111" s="1175"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53" t="str">
        <f t="shared" si="41"/>
        <v/>
      </c>
      <c r="AD111" s="134"/>
      <c r="AE111" s="1157" t="str">
        <f t="shared" si="42"/>
        <v/>
      </c>
      <c r="AF111" s="1153" t="str">
        <f t="shared" si="43"/>
        <v/>
      </c>
    </row>
    <row r="112" spans="1:32" x14ac:dyDescent="0.25">
      <c r="A112" s="58" t="str">
        <f t="shared" si="21"/>
        <v/>
      </c>
      <c r="B112" s="185" t="str">
        <f>IF(MAX($B$65:B111)&lt;(construct+anal_period),B111+1,"")</f>
        <v/>
      </c>
      <c r="C112" s="185" t="str">
        <f t="shared" si="22"/>
        <v/>
      </c>
      <c r="D112" s="185" t="str">
        <f t="shared" si="25"/>
        <v/>
      </c>
      <c r="E112" s="186" t="str">
        <f t="shared" si="26"/>
        <v/>
      </c>
      <c r="F112" s="59" t="str">
        <f t="shared" si="27"/>
        <v/>
      </c>
      <c r="G112" s="1166"/>
      <c r="H112" s="1175"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53" t="str">
        <f t="shared" si="41"/>
        <v/>
      </c>
      <c r="AD112" s="134"/>
      <c r="AE112" s="1157" t="str">
        <f t="shared" si="42"/>
        <v/>
      </c>
      <c r="AF112" s="1153" t="str">
        <f t="shared" si="43"/>
        <v/>
      </c>
    </row>
    <row r="113" spans="1:33" ht="13" thickBot="1" x14ac:dyDescent="0.3">
      <c r="A113" s="61" t="str">
        <f t="shared" si="21"/>
        <v/>
      </c>
      <c r="B113" s="189" t="str">
        <f>IF(MAX($B$65:B112)&lt;(construct+anal_period),B112+1,"")</f>
        <v/>
      </c>
      <c r="C113" s="189" t="str">
        <f t="shared" si="22"/>
        <v/>
      </c>
      <c r="D113" s="189" t="str">
        <f t="shared" si="25"/>
        <v/>
      </c>
      <c r="E113" s="1160" t="str">
        <f t="shared" si="26"/>
        <v/>
      </c>
      <c r="F113" s="1161" t="str">
        <f t="shared" si="27"/>
        <v/>
      </c>
      <c r="G113" s="1168"/>
      <c r="H113" s="1177" t="str">
        <f t="shared" si="24"/>
        <v/>
      </c>
      <c r="I113" s="1162" t="str">
        <f>IF(OR(C113&lt;0,C113=""),"",-E113*INDEX('Replacement Costs'!$A$16:$H$57,MATCH(C113,'Replacement Costs'!$C$16:$C$57,0),MATCH("Total Yearly Replacement Costs",'Replacement Costs'!$A$16:$H$16,0)))</f>
        <v/>
      </c>
      <c r="J113" s="1162" t="str">
        <f>IF(AND(C113&gt;=1,C113&lt;anal_period),WorkingCap*SUM(N113:R113)-WorkingCap*SUM(N112:R112),IF(C113&lt;0,0,IF(B113="","",-SUM(J$65:J112))))</f>
        <v/>
      </c>
      <c r="K113" s="1162" t="str">
        <f t="shared" si="28"/>
        <v/>
      </c>
      <c r="L113" s="1162" t="str">
        <f t="shared" si="29"/>
        <v/>
      </c>
      <c r="M113" s="1162" t="str">
        <f t="shared" si="30"/>
        <v/>
      </c>
      <c r="N113" s="1162" t="str">
        <f t="shared" si="31"/>
        <v/>
      </c>
      <c r="O113" s="1162" t="str">
        <f>IF(C113="","",IF(C113&lt;0,0,IF(AND(C113=1,start_time&lt;1),-(SUM(B280:E280)*output_kgyear*E113*percnt_var*start_time+SUM(B280:E280)*output_kgyear*E113*(1-start_time)),IF(C113&lt;=start_time,-SUM(B280:E280)*output_kgyear*E113*percnt_var,-SUM(B280:E280)*output_kgyear*E113))))</f>
        <v/>
      </c>
      <c r="P113" s="1162" t="str">
        <f t="shared" si="33"/>
        <v/>
      </c>
      <c r="Q113" s="1162" t="str">
        <f>IF(C113="","",IF(C113&lt;0,0,IF(AND(C113=1,start_time&lt;1),SUM(K280:N280,T280:V280)*output_kgyear*E113*percnt_revs*start_time+SUM(K280:N280,T280:V280)*output_kgyear*E113*(1-start_time),IF(C113&lt;=start_time,SUM(K280:N280,T280:V280)*output_kgyear*E113*percnt_revs,SUM(K280:N280,T280:V280)*output_kgyear*E113))))</f>
        <v/>
      </c>
      <c r="R113" s="1162"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62" t="str">
        <f>IF(B113="","",IF($B$31=0,"",-'Debt Financing Calculations'!E62))</f>
        <v/>
      </c>
      <c r="T113" s="1162" t="str">
        <f t="shared" si="35"/>
        <v/>
      </c>
      <c r="U113" s="1162" t="str">
        <f>IF(C113="","",IF(C113&lt;-1,0,IF(C113=anal_period,-LOOKUP(C113,depr_yr,depr_cost)-Depreciation!$C$141-Depreciation!$B$166,-LOOKUP(C113,depr_yr,depr_cost))))</f>
        <v/>
      </c>
      <c r="V113" s="1162" t="str">
        <f t="shared" si="36"/>
        <v/>
      </c>
      <c r="W113" s="1163" t="str">
        <f t="shared" si="37"/>
        <v/>
      </c>
      <c r="X113" s="1162" t="str">
        <f t="shared" si="38"/>
        <v/>
      </c>
      <c r="Y113" s="1162" t="str">
        <f t="shared" si="39"/>
        <v/>
      </c>
      <c r="Z113" s="1162" t="str">
        <f>IF(C113="","",IF($B$31=0,"",-'Debt Financing Calculations'!F62))</f>
        <v/>
      </c>
      <c r="AA113" s="1162" t="str">
        <f t="shared" si="40"/>
        <v/>
      </c>
      <c r="AB113" s="1162" t="str">
        <f t="shared" si="23"/>
        <v/>
      </c>
      <c r="AC113" s="1164" t="str">
        <f t="shared" si="41"/>
        <v/>
      </c>
      <c r="AD113" s="134"/>
      <c r="AE113" s="1159" t="str">
        <f t="shared" si="42"/>
        <v/>
      </c>
      <c r="AF113" s="1155" t="str">
        <f t="shared" si="43"/>
        <v/>
      </c>
    </row>
    <row r="114" spans="1:33" ht="13" thickTop="1" x14ac:dyDescent="0.25">
      <c r="A114" s="134"/>
      <c r="B114" s="134"/>
      <c r="C114" s="134"/>
      <c r="D114" s="134"/>
      <c r="E114" s="1178" t="s">
        <v>149</v>
      </c>
      <c r="F114" s="1179">
        <f t="shared" ref="F114:AC114" ca="1" si="44">SUM(F65:F113)</f>
        <v>5314539655.4052992</v>
      </c>
      <c r="G114" s="1179">
        <f t="shared" ca="1" si="44"/>
        <v>-95667334.213185206</v>
      </c>
      <c r="H114" s="1179">
        <f t="shared" ca="1" si="44"/>
        <v>-63778222.808790147</v>
      </c>
      <c r="I114" s="1179">
        <f t="shared" ca="1" si="44"/>
        <v>-179507937.76977149</v>
      </c>
      <c r="J114" s="1179">
        <f t="shared" ca="1" si="44"/>
        <v>0</v>
      </c>
      <c r="K114" s="1179">
        <f t="shared" ca="1" si="44"/>
        <v>-265014.81340508943</v>
      </c>
      <c r="L114" s="1179">
        <f t="shared" ca="1" si="44"/>
        <v>33907910.245840311</v>
      </c>
      <c r="M114" s="1179">
        <f t="shared" ca="1" si="44"/>
        <v>-33851645.351140536</v>
      </c>
      <c r="N114" s="1179">
        <f t="shared" ca="1" si="44"/>
        <v>-474856068.52132648</v>
      </c>
      <c r="O114" s="1179">
        <f t="shared" ca="1" si="44"/>
        <v>-4285712608.5234847</v>
      </c>
      <c r="P114" s="1179">
        <f t="shared" ca="1" si="44"/>
        <v>0</v>
      </c>
      <c r="Q114" s="1179">
        <f t="shared" ca="1" si="44"/>
        <v>0</v>
      </c>
      <c r="R114" s="1179">
        <f t="shared" ca="1" si="44"/>
        <v>-11608631.559840124</v>
      </c>
      <c r="S114" s="1179">
        <f t="shared" ca="1" si="44"/>
        <v>-145127346.0014019</v>
      </c>
      <c r="T114" s="1179">
        <f t="shared" ca="1" si="44"/>
        <v>397291265.6939472</v>
      </c>
      <c r="U114" s="1179">
        <f t="shared" ca="1" si="44"/>
        <v>-338953494.79174685</v>
      </c>
      <c r="V114" s="1179">
        <f t="shared" ca="1" si="44"/>
        <v>58337770.902200401</v>
      </c>
      <c r="W114" s="1179">
        <f t="shared" si="44"/>
        <v>10.5534</v>
      </c>
      <c r="X114" s="1179">
        <f t="shared" ca="1" si="44"/>
        <v>-15016142.230226381</v>
      </c>
      <c r="Y114" s="1179">
        <f t="shared" ca="1" si="44"/>
        <v>382275123.4637208</v>
      </c>
      <c r="Z114" s="1179">
        <f t="shared" ca="1" si="44"/>
        <v>-95667334.213185206</v>
      </c>
      <c r="AA114" s="1179">
        <f t="shared" ca="1" si="44"/>
        <v>43056613.858568922</v>
      </c>
      <c r="AB114" s="1179">
        <f t="shared" ca="1" si="44"/>
        <v>1921219532.9386418</v>
      </c>
      <c r="AC114" s="1180">
        <f t="shared" ca="1" si="44"/>
        <v>58072756.088795274</v>
      </c>
      <c r="AD114" s="134"/>
    </row>
    <row r="115" spans="1:33" ht="13" thickBot="1" x14ac:dyDescent="0.3">
      <c r="E115" s="1181" t="s">
        <v>150</v>
      </c>
      <c r="F115" s="1162">
        <f t="shared" ref="F115:AC115" ca="1" si="45">NPV(nominal_irr,F65:F113)</f>
        <v>956046132.96661413</v>
      </c>
      <c r="G115" s="1162">
        <f t="shared" ca="1" si="45"/>
        <v>-86929210.021794438</v>
      </c>
      <c r="H115" s="1162">
        <f t="shared" ca="1" si="45"/>
        <v>-57952806.681196302</v>
      </c>
      <c r="I115" s="1162">
        <f t="shared" ca="1" si="45"/>
        <v>-27411964.444248907</v>
      </c>
      <c r="J115" s="1162">
        <f t="shared" ca="1" si="45"/>
        <v>-3754607.1373874927</v>
      </c>
      <c r="K115" s="1162">
        <f t="shared" ca="1" si="45"/>
        <v>-240808.72079116185</v>
      </c>
      <c r="L115" s="1162">
        <f t="shared" ca="1" si="45"/>
        <v>668013.90974323417</v>
      </c>
      <c r="M115" s="1162">
        <f t="shared" ca="1" si="45"/>
        <v>-666905.44472674734</v>
      </c>
      <c r="N115" s="1162">
        <f t="shared" ca="1" si="45"/>
        <v>-85423072.826976925</v>
      </c>
      <c r="O115" s="1162">
        <f t="shared" ca="1" si="45"/>
        <v>-738049253.06913137</v>
      </c>
      <c r="P115" s="1162">
        <f t="shared" ca="1" si="45"/>
        <v>0</v>
      </c>
      <c r="Q115" s="1162">
        <f t="shared" ca="1" si="45"/>
        <v>0</v>
      </c>
      <c r="R115" s="1162">
        <f t="shared" ca="1" si="45"/>
        <v>-2088306.4256621781</v>
      </c>
      <c r="S115" s="1162">
        <f t="shared" ca="1" si="45"/>
        <v>-34520060.832579792</v>
      </c>
      <c r="T115" s="1162">
        <f t="shared" ca="1" si="45"/>
        <v>95966548.277280509</v>
      </c>
      <c r="U115" s="1162">
        <f t="shared" ca="1" si="45"/>
        <v>-77622975.662532642</v>
      </c>
      <c r="V115" s="1162">
        <f t="shared" ca="1" si="45"/>
        <v>18343572.614747893</v>
      </c>
      <c r="W115" s="1162">
        <f t="shared" ca="1" si="45"/>
        <v>2.5102368370122896</v>
      </c>
      <c r="X115" s="1162">
        <f t="shared" ca="1" si="45"/>
        <v>-4721635.5910361046</v>
      </c>
      <c r="Y115" s="1162">
        <f t="shared" ca="1" si="45"/>
        <v>91244912.686244473</v>
      </c>
      <c r="Z115" s="1162">
        <f t="shared" ca="1" si="45"/>
        <v>-1884725.7026198595</v>
      </c>
      <c r="AA115" s="1162">
        <f t="shared" ca="1" si="45"/>
        <v>6.9541155607373743E-7</v>
      </c>
      <c r="AB115" s="1162">
        <f t="shared" ca="1" si="45"/>
        <v>-8438628.5974933188</v>
      </c>
      <c r="AC115" s="1164">
        <f t="shared" ca="1" si="45"/>
        <v>4721635.5910368068</v>
      </c>
      <c r="AD115" s="134"/>
    </row>
    <row r="116" spans="1:33" ht="13" thickBot="1" x14ac:dyDescent="0.3">
      <c r="D116" s="191"/>
      <c r="E116" s="1182" t="s">
        <v>1117</v>
      </c>
      <c r="F116" s="1183">
        <f t="shared" ref="F116:AC116" ca="1" si="46">+F65+NPV($X$59,F66:F113)</f>
        <v>1052147890.252418</v>
      </c>
      <c r="G116" s="1183">
        <f t="shared" ca="1" si="46"/>
        <v>-95667334.213185206</v>
      </c>
      <c r="H116" s="1183">
        <f ca="1">+H65+NPV($X$59,H66:H113)</f>
        <v>-63778222.808790147</v>
      </c>
      <c r="I116" s="1183">
        <f t="shared" ca="1" si="46"/>
        <v>-30167415.110184815</v>
      </c>
      <c r="J116" s="1183">
        <f t="shared" ca="1" si="46"/>
        <v>-4132020.2468376854</v>
      </c>
      <c r="K116" s="1183">
        <f t="shared" ca="1" si="46"/>
        <v>-265014.81340508943</v>
      </c>
      <c r="L116" s="1183">
        <f t="shared" ca="1" si="46"/>
        <v>735162.6679506239</v>
      </c>
      <c r="M116" s="1183">
        <f t="shared" ca="1" si="46"/>
        <v>-733942.78003067989</v>
      </c>
      <c r="N116" s="1183">
        <f t="shared" ca="1" si="46"/>
        <v>-94009800.107544646</v>
      </c>
      <c r="O116" s="1183">
        <f t="shared" ca="1" si="46"/>
        <v>-812237963.98764038</v>
      </c>
      <c r="P116" s="1183">
        <f t="shared" ca="1" si="46"/>
        <v>0</v>
      </c>
      <c r="Q116" s="1183">
        <f t="shared" ca="1" si="46"/>
        <v>0</v>
      </c>
      <c r="R116" s="1183">
        <f t="shared" ca="1" si="46"/>
        <v>-2298222.9875697405</v>
      </c>
      <c r="S116" s="1183">
        <f t="shared" ca="1" si="46"/>
        <v>-37990017.347470701</v>
      </c>
      <c r="T116" s="1183">
        <f t="shared" ca="1" si="46"/>
        <v>105613105.7101128</v>
      </c>
      <c r="U116" s="1183">
        <f t="shared" ca="1" si="46"/>
        <v>-85425637.176130459</v>
      </c>
      <c r="V116" s="1183">
        <f t="shared" ca="1" si="46"/>
        <v>20187468.533982351</v>
      </c>
      <c r="W116" s="1183">
        <f t="shared" ca="1" si="46"/>
        <v>2.762565843868765</v>
      </c>
      <c r="X116" s="1183">
        <f t="shared" ca="1" si="46"/>
        <v>-5196254.4006470554</v>
      </c>
      <c r="Y116" s="1183">
        <f t="shared" ca="1" si="46"/>
        <v>100416851.30946572</v>
      </c>
      <c r="Z116" s="1183">
        <f t="shared" ca="1" si="46"/>
        <v>-2074178.3302472078</v>
      </c>
      <c r="AA116" s="1183">
        <f t="shared" ca="1" si="46"/>
        <v>7.5995922088623047E-7</v>
      </c>
      <c r="AB116" s="1183">
        <f t="shared" ca="1" si="46"/>
        <v>-9286879.5441132858</v>
      </c>
      <c r="AC116" s="1184">
        <f t="shared" ca="1" si="46"/>
        <v>5196254.4006478488</v>
      </c>
      <c r="AD116" s="1185"/>
      <c r="AE116" s="1186">
        <f ca="1">+AE65+NPV(real_irr,AE66:AE113)</f>
        <v>211095467.54064411</v>
      </c>
      <c r="AF116" s="1187">
        <f ca="1">+AF65+NPV($X$59,AF66:AF113)</f>
        <v>0</v>
      </c>
      <c r="AG116" s="1188"/>
    </row>
    <row r="117" spans="1:33" ht="16.5" thickTop="1" thickBot="1" x14ac:dyDescent="0.4">
      <c r="A117" s="49" t="s">
        <v>79</v>
      </c>
      <c r="B117" s="149"/>
      <c r="C117" s="149"/>
      <c r="D117" s="149"/>
      <c r="E117" s="1189" t="s">
        <v>1173</v>
      </c>
      <c r="F117" s="1203"/>
      <c r="G117" s="1203"/>
      <c r="H117" s="1203">
        <f ca="1">-H116/$AE$116*(1+inflation_rate)^construct/INFLATION_FACTOR</f>
        <v>0.31371975905265359</v>
      </c>
      <c r="I117" s="1203">
        <f ca="1">-I116/$AE$116*(1+inflation_rate)^construct/INFLATION_FACTOR</f>
        <v>0.14839099904025835</v>
      </c>
      <c r="J117" s="1203">
        <f ca="1">-J116/$AE$116*(1+inflation_rate)^construct/INFLATION_FACTOR</f>
        <v>2.0325062994071771E-2</v>
      </c>
      <c r="K117" s="1203">
        <f ca="1">-K116/$AE$116*(1+inflation_rate)^construct/INFLATION_FACTOR</f>
        <v>1.303585765569026E-3</v>
      </c>
      <c r="L117" s="1203"/>
      <c r="M117" s="1203">
        <f ca="1">-M116/$AE$116*(1+inflation_rate)^construct/INFLATION_FACTOR</f>
        <v>3.6102033259842637E-3</v>
      </c>
      <c r="N117" s="1203">
        <f ca="1">-N116/$AE$116*(1+inflation_rate)^construct/INFLATION_FACTOR</f>
        <v>0.46242636654752067</v>
      </c>
      <c r="O117" s="1203">
        <f ca="1">-O116/$AE$116*(1+inflation_rate)^construct/INFLATION_FACTOR</f>
        <v>3.995330806246626</v>
      </c>
      <c r="P117" s="1203">
        <f ca="1">-P116/$AE$116*(1+inflation_rate)^construct/INFLATION_FACTOR</f>
        <v>0</v>
      </c>
      <c r="Q117" s="1203"/>
      <c r="R117" s="1203">
        <f ca="1">-R116/$AE$116*(1+inflation_rate)^construct/INFLATION_FACTOR</f>
        <v>1.1304767209823824E-2</v>
      </c>
      <c r="S117" s="1203">
        <f ca="1">-S116/$AE$116*(1+inflation_rate)^construct/INFLATION_FACTOR</f>
        <v>0.18686972706006519</v>
      </c>
      <c r="T117" s="1203"/>
      <c r="U117" s="1203"/>
      <c r="V117" s="1203"/>
      <c r="W117" s="1203"/>
      <c r="X117" s="1203">
        <f ca="1">-X116/$AE$116*(1+inflation_rate)^construct/INFLATION_FACTOR</f>
        <v>2.5559942042201422E-2</v>
      </c>
      <c r="Y117" s="1203"/>
      <c r="Z117" s="1203">
        <f ca="1">-Z116/$AE$116*(1+inflation_rate)^construct/INFLATION_FACTOR</f>
        <v>1.0202710225216656E-2</v>
      </c>
      <c r="AA117" s="1203"/>
      <c r="AB117" s="1203"/>
      <c r="AC117" s="1204"/>
      <c r="AD117" s="1205"/>
      <c r="AE117" s="1206"/>
      <c r="AF117" s="1206"/>
      <c r="AG117" s="1204">
        <f ca="1">+SUM(F117:AC117)</f>
        <v>5.1790439295099899</v>
      </c>
    </row>
    <row r="118" spans="1:33" ht="15" customHeight="1" thickTop="1" thickBot="1" x14ac:dyDescent="0.35">
      <c r="A118" s="54" t="s">
        <v>80</v>
      </c>
      <c r="B118" s="56" t="s">
        <v>151</v>
      </c>
      <c r="C118" s="56" t="s">
        <v>152</v>
      </c>
      <c r="D118" s="1086" t="s">
        <v>153</v>
      </c>
      <c r="E118" s="1190" t="s">
        <v>1174</v>
      </c>
      <c r="F118" s="1207">
        <f ca="1">F116/$AE$116*(1+inflation_rate)^construct/INFLATION_FACTOR</f>
        <v>5.175427725657066</v>
      </c>
      <c r="G118" s="1207"/>
      <c r="H118" s="1207"/>
      <c r="I118" s="1207"/>
      <c r="J118" s="1207"/>
      <c r="K118" s="1207"/>
      <c r="L118" s="1207">
        <f ca="1">L116/$AE$116*(1+inflation_rate)^construct/INFLATION_FACTOR</f>
        <v>3.6162038529268764E-3</v>
      </c>
      <c r="M118" s="1207"/>
      <c r="N118" s="1207"/>
      <c r="O118" s="1207"/>
      <c r="P118" s="1207"/>
      <c r="Q118" s="1207">
        <f ca="1">Q116/$AE$116*(1+inflation_rate)^construct/INFLATION_FACTOR</f>
        <v>0</v>
      </c>
      <c r="R118" s="1207"/>
      <c r="S118" s="1207"/>
      <c r="T118" s="1207"/>
      <c r="U118" s="1207"/>
      <c r="V118" s="1207"/>
      <c r="W118" s="1207"/>
      <c r="X118" s="1207"/>
      <c r="Y118" s="1207"/>
      <c r="Z118" s="1207"/>
      <c r="AA118" s="1207"/>
      <c r="AB118" s="1207"/>
      <c r="AC118" s="1208"/>
      <c r="AD118" s="1209"/>
      <c r="AE118" s="1210"/>
      <c r="AF118" s="1210"/>
      <c r="AG118" s="1208">
        <f ca="1">+SUM(F118:AC118)</f>
        <v>5.1790439295099926</v>
      </c>
    </row>
    <row r="119" spans="1:33" ht="15" customHeight="1" x14ac:dyDescent="0.25">
      <c r="A119" s="194" t="s">
        <v>154</v>
      </c>
      <c r="B119" s="187">
        <f ca="1">(SUM(H115:K115)+L115*(1-total_tax_rate)+S115*(1-total_tax_rate)+U115*(-total_tax_rate)+Z115)/(1-total_tax_rate)</f>
        <v>-129818595.20011617</v>
      </c>
      <c r="C119" s="195">
        <f t="shared" ref="C119:C125" ca="1" si="47">B119/SUM($B$118:$B$125)</f>
        <v>0.13578695705539728</v>
      </c>
      <c r="D119" s="196">
        <f t="shared" ref="D119:D125" ca="1" si="48">H2_price_real*C119</f>
        <v>0.702755582327108</v>
      </c>
      <c r="E119" s="192"/>
    </row>
    <row r="120" spans="1:33" ht="15" customHeight="1" x14ac:dyDescent="0.25">
      <c r="A120" s="194" t="s">
        <v>84</v>
      </c>
      <c r="B120" s="187">
        <f ca="1">M115</f>
        <v>-666905.44472674734</v>
      </c>
      <c r="C120" s="195">
        <f t="shared" ca="1" si="47"/>
        <v>6.9756617565863493E-4</v>
      </c>
      <c r="D120" s="196">
        <f t="shared" ca="1" si="48"/>
        <v>3.6102033259842641E-3</v>
      </c>
      <c r="E120" s="192"/>
      <c r="V120" s="151"/>
      <c r="W120" s="134"/>
      <c r="X120" s="134"/>
      <c r="Y120" s="134"/>
    </row>
    <row r="121" spans="1:33" ht="15" customHeight="1" x14ac:dyDescent="0.25">
      <c r="A121" s="194" t="s">
        <v>85</v>
      </c>
      <c r="B121" s="187">
        <f ca="1">N115</f>
        <v>-85423072.826976925</v>
      </c>
      <c r="C121" s="195">
        <f t="shared" ca="1" si="47"/>
        <v>8.9350366976443829E-2</v>
      </c>
      <c r="D121" s="196">
        <f t="shared" ca="1" si="48"/>
        <v>0.46242636654752056</v>
      </c>
      <c r="E121" s="192"/>
      <c r="V121" s="151"/>
      <c r="W121" s="134"/>
      <c r="X121" s="134"/>
      <c r="Y121" s="134"/>
    </row>
    <row r="122" spans="1:33" ht="15" customHeight="1" x14ac:dyDescent="0.25">
      <c r="A122" s="194" t="s">
        <v>1003</v>
      </c>
      <c r="B122" s="187">
        <f ca="1">O115</f>
        <v>-738049253.06913137</v>
      </c>
      <c r="C122" s="195">
        <f t="shared" ca="1" si="47"/>
        <v>0.77198079425201249</v>
      </c>
      <c r="D122" s="196">
        <f t="shared" ca="1" si="48"/>
        <v>3.9953308062466255</v>
      </c>
      <c r="E122" s="192"/>
      <c r="V122" s="151"/>
      <c r="W122" s="134"/>
      <c r="X122" s="134"/>
      <c r="Y122" s="134"/>
    </row>
    <row r="123" spans="1:33" ht="15" customHeight="1" x14ac:dyDescent="0.25">
      <c r="A123" s="194" t="s">
        <v>86</v>
      </c>
      <c r="B123" s="187">
        <f ca="1">P115</f>
        <v>0</v>
      </c>
      <c r="C123" s="195">
        <f t="shared" ca="1" si="47"/>
        <v>0</v>
      </c>
      <c r="D123" s="196">
        <f t="shared" ca="1" si="48"/>
        <v>0</v>
      </c>
      <c r="E123" s="192"/>
      <c r="V123" s="151"/>
      <c r="W123" s="134"/>
      <c r="X123" s="134"/>
      <c r="Y123" s="134"/>
    </row>
    <row r="124" spans="1:33" ht="15" customHeight="1" x14ac:dyDescent="0.25">
      <c r="A124" s="194" t="s">
        <v>87</v>
      </c>
      <c r="B124" s="187">
        <f ca="1">Q115</f>
        <v>0</v>
      </c>
      <c r="C124" s="195">
        <f t="shared" ca="1" si="47"/>
        <v>0</v>
      </c>
      <c r="D124" s="196">
        <f t="shared" ca="1" si="48"/>
        <v>0</v>
      </c>
      <c r="E124" s="192"/>
      <c r="V124" s="151"/>
      <c r="W124" s="134"/>
      <c r="X124" s="134"/>
      <c r="Y124" s="134"/>
    </row>
    <row r="125" spans="1:33" ht="29.25" customHeight="1" thickBot="1" x14ac:dyDescent="0.3">
      <c r="A125" s="197" t="s">
        <v>88</v>
      </c>
      <c r="B125" s="190">
        <f ca="1">R115</f>
        <v>-2088306.4256621781</v>
      </c>
      <c r="C125" s="198">
        <f t="shared" ca="1" si="47"/>
        <v>2.1843155404877358E-3</v>
      </c>
      <c r="D125" s="199">
        <f t="shared" ca="1" si="48"/>
        <v>1.130476720982382E-2</v>
      </c>
      <c r="E125" s="192"/>
      <c r="V125" s="151"/>
      <c r="W125" s="134"/>
      <c r="X125" s="134"/>
      <c r="Y125" s="134"/>
    </row>
    <row r="126" spans="1:33" ht="15" customHeight="1" thickTop="1" x14ac:dyDescent="0.25">
      <c r="D126" s="191"/>
      <c r="E126" s="192"/>
      <c r="K126"/>
      <c r="L126"/>
      <c r="M126"/>
      <c r="V126" s="151"/>
      <c r="W126" s="134"/>
      <c r="X126" s="134"/>
      <c r="Y126" s="134"/>
    </row>
    <row r="127" spans="1:33" ht="15" customHeight="1" x14ac:dyDescent="0.25">
      <c r="D127" s="191"/>
      <c r="E127" s="192"/>
      <c r="K127"/>
      <c r="L127"/>
      <c r="M127"/>
      <c r="V127" s="151"/>
      <c r="W127" s="134"/>
      <c r="X127" s="134"/>
      <c r="Y127" s="134"/>
    </row>
    <row r="128" spans="1:33" ht="42.75" customHeight="1" thickBot="1" x14ac:dyDescent="0.3">
      <c r="A128" s="228" t="s">
        <v>261</v>
      </c>
      <c r="B128" s="416">
        <f>(1+inflation_rate)^(startup_year-ref_year)</f>
        <v>0.9813542688910698</v>
      </c>
      <c r="P128" s="840"/>
    </row>
    <row r="129" spans="1:22" ht="51.75" customHeight="1" thickBot="1" x14ac:dyDescent="0.4">
      <c r="A129" s="200" t="s">
        <v>155</v>
      </c>
      <c r="B129" s="201"/>
      <c r="C129" s="201"/>
      <c r="D129" s="201"/>
      <c r="E129" s="201"/>
      <c r="F129" s="201"/>
      <c r="G129" s="201"/>
      <c r="H129" s="201"/>
      <c r="I129" s="201"/>
      <c r="J129" s="201"/>
      <c r="K129" s="201"/>
      <c r="L129" s="201"/>
      <c r="M129" s="201"/>
      <c r="N129" s="201"/>
      <c r="O129" s="201"/>
      <c r="P129" s="839"/>
      <c r="Q129" s="201"/>
      <c r="R129" s="201"/>
      <c r="S129" s="201"/>
      <c r="T129" s="201"/>
      <c r="U129" s="201"/>
      <c r="V129" s="236"/>
    </row>
    <row r="130" spans="1:22" ht="31.9" customHeight="1" thickTop="1" thickBot="1" x14ac:dyDescent="0.4">
      <c r="A130" s="373"/>
      <c r="B130" s="202" t="s">
        <v>67</v>
      </c>
      <c r="C130" s="230"/>
      <c r="D130" s="230"/>
      <c r="E130" s="149"/>
      <c r="F130" s="203" t="s">
        <v>68</v>
      </c>
      <c r="G130" s="230"/>
      <c r="H130" s="230"/>
      <c r="I130" s="231"/>
      <c r="J130" s="594" t="s">
        <v>1001</v>
      </c>
      <c r="K130" s="233" t="s">
        <v>69</v>
      </c>
      <c r="L130" s="149"/>
      <c r="M130" s="149"/>
      <c r="N130" s="193"/>
      <c r="O130" s="394" t="s">
        <v>70</v>
      </c>
      <c r="P130" s="399"/>
      <c r="Q130" s="399"/>
      <c r="R130" s="400"/>
      <c r="S130" s="202" t="s">
        <v>73</v>
      </c>
      <c r="T130" s="410"/>
      <c r="U130" s="410"/>
      <c r="V130" s="411"/>
    </row>
    <row r="131" spans="1:22" ht="30.75" customHeight="1" thickTop="1" thickBot="1" x14ac:dyDescent="0.4">
      <c r="A131" s="374" t="s">
        <v>263</v>
      </c>
      <c r="B131" s="376" t="str">
        <f>Input_Sheet_Template!$B$75</f>
        <v>Industrial Electricity</v>
      </c>
      <c r="C131" s="377"/>
      <c r="D131" s="377"/>
      <c r="E131" s="377"/>
      <c r="F131" s="378"/>
      <c r="G131" s="377"/>
      <c r="H131" s="377"/>
      <c r="I131" s="379"/>
      <c r="J131" s="602" t="str">
        <f ca="1">IF(CO2_CashFlow_eUse&gt;0,'HyARC Physical Property Data'!A77,"")</f>
        <v/>
      </c>
      <c r="K131" s="596"/>
      <c r="L131" s="380"/>
      <c r="M131" s="380"/>
      <c r="N131" s="381"/>
      <c r="O131" s="395" t="s">
        <v>71</v>
      </c>
      <c r="P131" s="401" t="str">
        <f>Input_Sheet_Template!$B$136</f>
        <v>Process Water</v>
      </c>
      <c r="Q131" s="401"/>
      <c r="R131" s="402"/>
      <c r="S131" s="395" t="s">
        <v>71</v>
      </c>
      <c r="T131" s="401"/>
      <c r="U131" s="401"/>
      <c r="V131" s="402"/>
    </row>
    <row r="132" spans="1:22" ht="31.5" customHeight="1" thickBot="1" x14ac:dyDescent="0.4">
      <c r="A132" s="375" t="s">
        <v>932</v>
      </c>
      <c r="B132" s="382">
        <f>Input_Sheet_Template!$C$75</f>
        <v>3.5999999999999995E-3</v>
      </c>
      <c r="C132" s="383"/>
      <c r="D132" s="383"/>
      <c r="E132" s="383"/>
      <c r="F132" s="384"/>
      <c r="G132" s="383"/>
      <c r="H132" s="383"/>
      <c r="I132" s="385"/>
      <c r="J132" s="603">
        <f ca="1">IF(J131="",0,VLOOKUP(J131,MASTER_PROPERTY_TABLE,9,FALSE))</f>
        <v>0</v>
      </c>
      <c r="K132" s="597"/>
      <c r="L132" s="386"/>
      <c r="M132" s="386"/>
      <c r="N132" s="387"/>
      <c r="O132" s="396" t="s">
        <v>264</v>
      </c>
      <c r="P132" s="841">
        <f>Input_Sheet_Template!$D$136</f>
        <v>4.76</v>
      </c>
      <c r="Q132" s="841"/>
      <c r="R132" s="842"/>
      <c r="S132" s="396" t="s">
        <v>264</v>
      </c>
      <c r="T132" s="403"/>
      <c r="U132" s="403"/>
      <c r="V132" s="404"/>
    </row>
    <row r="133" spans="1:22" ht="16.5" customHeight="1" thickBot="1" x14ac:dyDescent="0.4">
      <c r="A133" s="375" t="s">
        <v>264</v>
      </c>
      <c r="B133" s="382">
        <f>feedstockIndustrial_Electricity_Usage</f>
        <v>54.3</v>
      </c>
      <c r="C133" s="383"/>
      <c r="D133" s="383"/>
      <c r="E133" s="383"/>
      <c r="F133" s="384"/>
      <c r="G133" s="383"/>
      <c r="H133" s="383"/>
      <c r="I133" s="385"/>
      <c r="J133" s="603">
        <f ca="1" xml:space="preserve"> CO2_eUse_kWhpkg</f>
        <v>0</v>
      </c>
      <c r="K133" s="597"/>
      <c r="L133" s="386"/>
      <c r="M133" s="386"/>
      <c r="N133" s="387"/>
      <c r="O133" s="396" t="s">
        <v>72</v>
      </c>
      <c r="P133" s="403">
        <f>Input_Sheet_Template!$C$136</f>
        <v>2.374951094500801E-3</v>
      </c>
      <c r="Q133" s="403"/>
      <c r="R133" s="404"/>
      <c r="S133" s="396" t="s">
        <v>74</v>
      </c>
      <c r="T133" s="403"/>
      <c r="U133" s="403"/>
      <c r="V133" s="404"/>
    </row>
    <row r="134" spans="1:22" ht="16.5" customHeight="1" thickBot="1" x14ac:dyDescent="0.4">
      <c r="A134" s="375" t="s">
        <v>265</v>
      </c>
      <c r="B134" s="382">
        <f>feedstockIndustrial_Electricity_Price</f>
        <v>6.9980611257164108E-2</v>
      </c>
      <c r="C134" s="383"/>
      <c r="D134" s="383"/>
      <c r="E134" s="383"/>
      <c r="F134" s="384"/>
      <c r="G134" s="383"/>
      <c r="H134" s="383"/>
      <c r="I134" s="385"/>
      <c r="J134" s="603">
        <f ca="1">IF(J131="",0,CO2_eCost)</f>
        <v>0</v>
      </c>
      <c r="K134" s="597"/>
      <c r="L134" s="386"/>
      <c r="M134" s="386"/>
      <c r="N134" s="387"/>
      <c r="O134" s="397" t="s">
        <v>266</v>
      </c>
      <c r="P134" s="405" t="str">
        <f>Input_Sheet_Template!$F$136</f>
        <v>Yes</v>
      </c>
      <c r="Q134" s="405"/>
      <c r="R134" s="406"/>
      <c r="S134" s="397" t="s">
        <v>266</v>
      </c>
      <c r="T134" s="412"/>
      <c r="U134" s="412"/>
      <c r="V134" s="413"/>
    </row>
    <row r="135" spans="1:22" ht="16.5" customHeight="1" thickBot="1" x14ac:dyDescent="0.4">
      <c r="A135" s="417" t="s">
        <v>266</v>
      </c>
      <c r="B135" s="388" t="str">
        <f>Input_Sheet_Template!$G$75</f>
        <v>yes</v>
      </c>
      <c r="C135" s="389"/>
      <c r="D135" s="389"/>
      <c r="E135" s="389"/>
      <c r="F135" s="390"/>
      <c r="G135" s="389"/>
      <c r="H135" s="389"/>
      <c r="I135" s="391"/>
      <c r="J135" s="604" t="str">
        <f ca="1">IF(J131="","","yes")</f>
        <v/>
      </c>
      <c r="K135" s="598"/>
      <c r="L135" s="392"/>
      <c r="M135" s="392"/>
      <c r="N135" s="393"/>
      <c r="O135" s="398"/>
      <c r="P135" s="407"/>
      <c r="Q135" s="407"/>
      <c r="R135" s="408"/>
      <c r="S135" s="409"/>
      <c r="T135" s="414"/>
      <c r="U135" s="414"/>
      <c r="V135" s="415"/>
    </row>
    <row r="136" spans="1:22" ht="30" customHeight="1" thickBot="1" x14ac:dyDescent="0.4">
      <c r="A136" s="375" t="s">
        <v>530</v>
      </c>
      <c r="B136" s="533">
        <f ca="1">IF(B131="",0,VLOOKUP(B131,MASTER_PROPERTY_TABLE,11,FALSE)*B132*B133)</f>
        <v>0</v>
      </c>
      <c r="C136" s="534">
        <f>IF(C131="",0,VLOOKUP(C131,MASTER_PROPERTY_TABLE,11,FALSE)*C132*C133)</f>
        <v>0</v>
      </c>
      <c r="D136" s="534">
        <f>IF(D131="",0,VLOOKUP(D131,MASTER_PROPERTY_TABLE,11,FALSE)*D132*D133)</f>
        <v>0</v>
      </c>
      <c r="E136" s="535">
        <f>IF(E131="",0,VLOOKUP(E131,MASTER_PROPERTY_TABLE,11,FALSE)*E132*E133)</f>
        <v>0</v>
      </c>
      <c r="F136" s="533">
        <f>IF(F131="",,VLOOKUP(F131,MASTER_PROPERTY_TABLE,11,FALSE)*F132*F133)</f>
        <v>0</v>
      </c>
      <c r="G136" s="534">
        <f>IF(G131="",,VLOOKUP(G131,MASTER_PROPERTY_TABLE,11,FALSE)*G132*G133)</f>
        <v>0</v>
      </c>
      <c r="H136" s="534">
        <f>IF(H131="",,VLOOKUP(H131,MASTER_PROPERTY_TABLE,11,FALSE)*H132*H133)</f>
        <v>0</v>
      </c>
      <c r="I136" s="534">
        <f>IF(I131="",,VLOOKUP(I131,MASTER_PROPERTY_TABLE,11,FALSE)*I132*I133)</f>
        <v>0</v>
      </c>
      <c r="J136" s="535">
        <f ca="1">IF($J$131="",0,VLOOKUP($J$131,MASTER_PROPERTY_TABLE,12,FALSE)*$J$132*$J$133)</f>
        <v>0</v>
      </c>
      <c r="K136" s="383"/>
      <c r="L136" s="386"/>
      <c r="M136" s="386"/>
      <c r="N136" s="387"/>
      <c r="O136" s="420"/>
      <c r="P136" s="418"/>
      <c r="Q136" s="418"/>
      <c r="R136" s="419"/>
      <c r="S136" s="421"/>
      <c r="T136" s="422"/>
      <c r="U136" s="422"/>
      <c r="V136" s="423"/>
    </row>
    <row r="137" spans="1:22" ht="30" customHeight="1" thickBot="1" x14ac:dyDescent="0.4">
      <c r="A137" s="532" t="s">
        <v>933</v>
      </c>
      <c r="B137" s="424">
        <f ca="1">IF(B131="",0,IF(VLOOKUP(B131,MASTER_PROPERTY_TABLE,12,FALSE)="English",mmBTU_to_GJ,1))</f>
        <v>1</v>
      </c>
      <c r="C137" s="425">
        <f>IF(C131="",0,IF(VLOOKUP(C131,MASTER_PROPERTY_TABLE,12,FALSE)="English",mmBTU_to_GJ,1))</f>
        <v>0</v>
      </c>
      <c r="D137" s="425">
        <f>IF(D131="",0,IF(VLOOKUP(D131,MASTER_PROPERTY_TABLE,12,FALSE)="English",mmBTU_to_GJ,1))</f>
        <v>0</v>
      </c>
      <c r="E137" s="426">
        <f>IF(E131="",,IF(VLOOKUP(E131,MASTER_PROPERTY_TABLE,12,FALSE)="English",mmBTU_to_GJ,1))</f>
        <v>0</v>
      </c>
      <c r="F137" s="424">
        <f>IF(F131="",,IF(VLOOKUP(F131,MASTER_PROPERTY_TABLE,12,FALSE)="English",mmBTU_to_GJ,1))</f>
        <v>0</v>
      </c>
      <c r="G137" s="425">
        <f>IF(G131="",,IF(VLOOKUP(G131,MASTER_PROPERTY_TABLE,12,FALSE)="English",mmBTU_to_GJ,1))</f>
        <v>0</v>
      </c>
      <c r="H137" s="425">
        <f>IF(H131="",,IF(VLOOKUP(H131,MASTER_PROPERTY_TABLE,12,FALSE)="English",mmBTU_to_GJ,1))</f>
        <v>0</v>
      </c>
      <c r="I137" s="425">
        <f>IF(I131="",,IF(VLOOKUP(I131,MASTER_PROPERTY_TABLE,12,FALSE)="English",mmBTU_to_GJ,1))</f>
        <v>0</v>
      </c>
      <c r="J137" s="426">
        <f ca="1">IF($J$131="",0,IF(VLOOKUP($J$131,MASTER_PROPERTY_TABLE,12,FALSE)="English",mmBTU_to_GJ,1))</f>
        <v>0</v>
      </c>
      <c r="K137" s="425">
        <f>IF(K131="",,IF(VLOOKUP(K131,MASTER_PROPERTY_TABLE,12,FALSE)="English",mmBTU_to_GJ,1))</f>
        <v>0</v>
      </c>
      <c r="L137" s="425">
        <f>IF(L131="",,IF(VLOOKUP(L131,MASTER_PROPERTY_TABLE,12,FALSE)="English",mmBTU_to_GJ,1))</f>
        <v>0</v>
      </c>
      <c r="M137" s="425">
        <f>IF(M131="",,IF(VLOOKUP(M131,MASTER_PROPERTY_TABLE,12,FALSE)="English",mmBTU_to_GJ,1))</f>
        <v>0</v>
      </c>
      <c r="N137" s="425">
        <f>IF(N131="",,IF(VLOOKUP(N131,MASTER_PROPERTY_TABLE,12,FALSE)="English",mmBTU_to_GJ,1))</f>
        <v>0</v>
      </c>
      <c r="O137" s="531"/>
      <c r="P137" s="529"/>
      <c r="Q137" s="529"/>
      <c r="R137" s="530"/>
      <c r="S137" s="409"/>
      <c r="T137" s="414"/>
      <c r="U137" s="414"/>
      <c r="V137" s="415"/>
    </row>
    <row r="138" spans="1:22" ht="38.25" customHeight="1" thickTop="1" x14ac:dyDescent="0.3">
      <c r="A138" s="204" t="s">
        <v>1033</v>
      </c>
      <c r="B138" s="237" t="str">
        <f t="shared" ref="B138:N138" si="49">IF(B$131="","",B$131&amp;" ($/kg of H2)")</f>
        <v>Industrial Electricity ($/kg of H2)</v>
      </c>
      <c r="C138" s="237" t="str">
        <f t="shared" si="49"/>
        <v/>
      </c>
      <c r="D138" s="237" t="str">
        <f t="shared" si="49"/>
        <v/>
      </c>
      <c r="E138" s="237" t="str">
        <f t="shared" si="49"/>
        <v/>
      </c>
      <c r="F138" s="237" t="str">
        <f t="shared" si="49"/>
        <v/>
      </c>
      <c r="G138" s="237" t="str">
        <f t="shared" si="49"/>
        <v/>
      </c>
      <c r="H138" s="237" t="str">
        <f t="shared" si="49"/>
        <v/>
      </c>
      <c r="I138" s="595" t="str">
        <f t="shared" si="49"/>
        <v/>
      </c>
      <c r="J138" s="601"/>
      <c r="K138" s="599" t="str">
        <f t="shared" si="49"/>
        <v/>
      </c>
      <c r="L138" s="237" t="str">
        <f t="shared" si="49"/>
        <v/>
      </c>
      <c r="M138" s="237" t="str">
        <f t="shared" si="49"/>
        <v/>
      </c>
      <c r="N138" s="237" t="str">
        <f t="shared" si="49"/>
        <v/>
      </c>
      <c r="O138" s="237"/>
      <c r="P138" s="237" t="str">
        <f>IF(P$131="","",P$131&amp;" ($/kg of H2)")</f>
        <v>Process Water ($/kg of H2)</v>
      </c>
      <c r="Q138" s="237" t="str">
        <f>IF(Q$131="","",Q$131&amp;" ($/kg of H2)")</f>
        <v/>
      </c>
      <c r="R138" s="237" t="str">
        <f>IF(R$131="","",R$131&amp;" ($/kg of H2)")</f>
        <v/>
      </c>
      <c r="S138" s="238"/>
      <c r="T138" s="237" t="str">
        <f>IF(T$131="","",T$131&amp;" ($/kg of H2)")</f>
        <v/>
      </c>
      <c r="U138" s="237" t="str">
        <f>IF(U$131="","",U$131&amp;" ($/kg of H2)")</f>
        <v/>
      </c>
      <c r="V138" s="237" t="str">
        <f>IF(V$131="","",V$131&amp;" ($/kg of H2)")</f>
        <v/>
      </c>
    </row>
    <row r="139" spans="1:22" ht="15" customHeight="1" x14ac:dyDescent="0.25">
      <c r="A139" s="205">
        <f t="shared" ref="A139:A182" si="50">IF(A65="","",A65)</f>
        <v>2014</v>
      </c>
      <c r="B139" s="207">
        <f ca="1">IF($A139="","",IF($B$131="","",IF($B$135="no",INFLATION_FACTOR*$B$133*$B$134,INFLATION_FACTOR*$B$133*$B$132*INDEX(FEEDPRICETABLE,MATCH($B$131,List_Energy_Feedstocks,0),MATCH($A139,Feedstock_Year,0)))))</f>
        <v>3.8732826093569361</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t="str">
        <f>IF($A139="","",IF($F$131="","",IF($F$135="no",INFLATION_FACTOR*$F$133*$F$134,INFLATION_FACTOR*$F$133*$F$132*INDEX(FEEDPRICETABLE,MATCH($F$131,List_Energy_Feedstocks,0),MATCH($A139,Feedstock_Year,0)))))</f>
        <v/>
      </c>
      <c r="G139" s="207" t="str">
        <f t="shared" ref="G139:G182" si="54">IF($A139="","",IF($G$131="","",IF($G$135="no",INFLATION_FACTOR*$G$133*$G$134,INFLATION_FACTOR*$G$133*$G$132*INDEX(FEEDPRICETABLE,MATCH($G$131,List_Energy_Feedstocks,0),MATCH($A139,Feedstock_Year,0)))))</f>
        <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600" t="str">
        <f t="shared" ref="J139:J182" ca="1" si="57">IF($A139="","",IF($J$131="","",IF($J$135="no",INFLATION_FACTOR*$J$133*$J$134,INFLATION_FACTOR*$J$133*$J$132*INDEX(FEEDPRICETABLE,MATCH($J$131,List_Energy_Feedstocks,0),MATCH($A139,Feedstock_Year,0)))))</f>
        <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1.1093981560180386E-2</v>
      </c>
      <c r="Q139" s="229" t="str">
        <f>IF(OR($A139="",$Q$131=""),"",IF($Q$134="No",INFLATION_FACTOR*$Q$132*$Q$133,INFLATION_FACTOR*$Q$132*INDEX(Tbl_Other_Inputs_and_Byproducts,MATCH($Q$131,Other_Inputs_List,0),MATCH($A139,Other_Inputs_years,0))))</f>
        <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5">
      <c r="A140" s="205">
        <f t="shared" si="50"/>
        <v>2015</v>
      </c>
      <c r="B140" s="207">
        <f t="shared" ref="B140:B182" ca="1" si="66">IF($A140="","",IF($B$131="","",IF($B$135="no",INFLATION_FACTOR*$B$133*$B$134,INFLATION_FACTOR*$B$133*$B$132*INDEX(FEEDPRICETABLE,MATCH($B$131,List_Energy_Feedstocks,0),MATCH($A140,Feedstock_Year,0)))))</f>
        <v>3.7290943977075681</v>
      </c>
      <c r="C140" s="207" t="str">
        <f t="shared" si="51"/>
        <v/>
      </c>
      <c r="D140" s="207" t="str">
        <f t="shared" si="52"/>
        <v/>
      </c>
      <c r="E140" s="234" t="str">
        <f t="shared" si="53"/>
        <v/>
      </c>
      <c r="F140" s="206" t="str">
        <f t="shared" ref="F140:F182" si="67">IF($A140="","",IF($F$131="","",IF($F$135="no",INFLATION_FACTOR*$F$133*$F$134,INFLATION_FACTOR*$F$133*$F$132*INDEX(FEEDPRICETABLE,MATCH($F$131,List_Energy_Feedstocks,0),MATCH($A140,Feedstock_Year,0)))))</f>
        <v/>
      </c>
      <c r="G140" s="207" t="str">
        <f t="shared" si="54"/>
        <v/>
      </c>
      <c r="H140" s="207" t="str">
        <f t="shared" si="55"/>
        <v/>
      </c>
      <c r="I140" s="234" t="str">
        <f t="shared" si="56"/>
        <v/>
      </c>
      <c r="J140" s="600" t="str">
        <f t="shared" ca="1" si="57"/>
        <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1.1093981560180386E-2</v>
      </c>
      <c r="Q140" s="229" t="str">
        <f t="shared" ref="Q140:Q182" si="69">IF(OR($A140="",$Q$131=""),"",IF($Q$134="No",INFLATION_FACTOR*$Q$132*$Q$133,INFLATION_FACTOR*$Q$132*INDEX(Tbl_Other_Inputs_and_Byproducts,MATCH($Q$131,Other_Inputs_List,0),MATCH($A140,Other_Inputs_years,0))))</f>
        <v/>
      </c>
      <c r="R140" s="229" t="str">
        <f t="shared" si="62"/>
        <v/>
      </c>
      <c r="S140" s="239"/>
      <c r="T140" s="229" t="str">
        <f t="shared" si="63"/>
        <v/>
      </c>
      <c r="U140" s="229" t="str">
        <f t="shared" si="64"/>
        <v/>
      </c>
      <c r="V140" s="229" t="str">
        <f t="shared" si="65"/>
        <v/>
      </c>
    </row>
    <row r="141" spans="1:22" ht="15" customHeight="1" x14ac:dyDescent="0.25">
      <c r="A141" s="205">
        <f t="shared" si="50"/>
        <v>2016</v>
      </c>
      <c r="B141" s="207">
        <f t="shared" ca="1" si="66"/>
        <v>3.6022364791065744</v>
      </c>
      <c r="C141" s="207" t="str">
        <f t="shared" si="51"/>
        <v/>
      </c>
      <c r="D141" s="207" t="str">
        <f t="shared" si="52"/>
        <v/>
      </c>
      <c r="E141" s="234" t="str">
        <f t="shared" si="53"/>
        <v/>
      </c>
      <c r="F141" s="206" t="str">
        <f t="shared" si="67"/>
        <v/>
      </c>
      <c r="G141" s="207" t="str">
        <f t="shared" si="54"/>
        <v/>
      </c>
      <c r="H141" s="207" t="str">
        <f t="shared" si="55"/>
        <v/>
      </c>
      <c r="I141" s="234" t="str">
        <f t="shared" si="56"/>
        <v/>
      </c>
      <c r="J141" s="600" t="str">
        <f t="shared" ca="1" si="57"/>
        <v/>
      </c>
      <c r="K141" s="232" t="str">
        <f t="shared" si="58"/>
        <v/>
      </c>
      <c r="L141" s="232" t="str">
        <f t="shared" si="59"/>
        <v/>
      </c>
      <c r="M141" s="207" t="str">
        <f t="shared" si="60"/>
        <v/>
      </c>
      <c r="N141" s="235" t="str">
        <f t="shared" si="61"/>
        <v/>
      </c>
      <c r="O141" s="240"/>
      <c r="P141" s="229">
        <f t="shared" ca="1" si="68"/>
        <v>1.1093981560180386E-2</v>
      </c>
      <c r="Q141" s="229" t="str">
        <f t="shared" si="69"/>
        <v/>
      </c>
      <c r="R141" s="229" t="str">
        <f t="shared" si="62"/>
        <v/>
      </c>
      <c r="S141" s="239"/>
      <c r="T141" s="229" t="str">
        <f t="shared" si="63"/>
        <v/>
      </c>
      <c r="U141" s="229" t="str">
        <f t="shared" si="64"/>
        <v/>
      </c>
      <c r="V141" s="229" t="str">
        <f t="shared" si="65"/>
        <v/>
      </c>
    </row>
    <row r="142" spans="1:22" ht="15" customHeight="1" x14ac:dyDescent="0.25">
      <c r="A142" s="205">
        <f t="shared" si="50"/>
        <v>2017</v>
      </c>
      <c r="B142" s="207">
        <f t="shared" ca="1" si="66"/>
        <v>3.7479777008408761</v>
      </c>
      <c r="C142" s="207" t="str">
        <f t="shared" si="51"/>
        <v/>
      </c>
      <c r="D142" s="207" t="str">
        <f t="shared" si="52"/>
        <v/>
      </c>
      <c r="E142" s="234" t="str">
        <f t="shared" si="53"/>
        <v/>
      </c>
      <c r="F142" s="206" t="str">
        <f t="shared" si="67"/>
        <v/>
      </c>
      <c r="G142" s="207" t="str">
        <f t="shared" si="54"/>
        <v/>
      </c>
      <c r="H142" s="207" t="str">
        <f t="shared" si="55"/>
        <v/>
      </c>
      <c r="I142" s="234" t="str">
        <f t="shared" si="56"/>
        <v/>
      </c>
      <c r="J142" s="600" t="str">
        <f t="shared" ca="1" si="57"/>
        <v/>
      </c>
      <c r="K142" s="232" t="str">
        <f t="shared" si="58"/>
        <v/>
      </c>
      <c r="L142" s="232" t="str">
        <f t="shared" si="59"/>
        <v/>
      </c>
      <c r="M142" s="207" t="str">
        <f t="shared" si="60"/>
        <v/>
      </c>
      <c r="N142" s="235" t="str">
        <f t="shared" si="61"/>
        <v/>
      </c>
      <c r="O142" s="240"/>
      <c r="P142" s="229">
        <f t="shared" ca="1" si="68"/>
        <v>1.1093981560180386E-2</v>
      </c>
      <c r="Q142" s="229" t="str">
        <f t="shared" si="69"/>
        <v/>
      </c>
      <c r="R142" s="229" t="str">
        <f t="shared" si="62"/>
        <v/>
      </c>
      <c r="S142" s="239"/>
      <c r="T142" s="229" t="str">
        <f t="shared" si="63"/>
        <v/>
      </c>
      <c r="U142" s="229" t="str">
        <f t="shared" si="64"/>
        <v/>
      </c>
      <c r="V142" s="229" t="str">
        <f t="shared" si="65"/>
        <v/>
      </c>
    </row>
    <row r="143" spans="1:22" ht="15" customHeight="1" x14ac:dyDescent="0.25">
      <c r="A143" s="205">
        <f t="shared" si="50"/>
        <v>2018</v>
      </c>
      <c r="B143" s="207">
        <f t="shared" ca="1" si="66"/>
        <v>3.6630321581077352</v>
      </c>
      <c r="C143" s="207" t="str">
        <f t="shared" si="51"/>
        <v/>
      </c>
      <c r="D143" s="207" t="str">
        <f t="shared" si="52"/>
        <v/>
      </c>
      <c r="E143" s="234" t="str">
        <f t="shared" si="53"/>
        <v/>
      </c>
      <c r="F143" s="206" t="str">
        <f t="shared" si="67"/>
        <v/>
      </c>
      <c r="G143" s="207" t="str">
        <f t="shared" si="54"/>
        <v/>
      </c>
      <c r="H143" s="207" t="str">
        <f t="shared" si="55"/>
        <v/>
      </c>
      <c r="I143" s="234" t="str">
        <f t="shared" si="56"/>
        <v/>
      </c>
      <c r="J143" s="600" t="str">
        <f t="shared" ca="1" si="57"/>
        <v/>
      </c>
      <c r="K143" s="232" t="str">
        <f t="shared" si="58"/>
        <v/>
      </c>
      <c r="L143" s="232" t="str">
        <f t="shared" si="59"/>
        <v/>
      </c>
      <c r="M143" s="207" t="str">
        <f t="shared" si="60"/>
        <v/>
      </c>
      <c r="N143" s="235" t="str">
        <f t="shared" si="61"/>
        <v/>
      </c>
      <c r="O143" s="240"/>
      <c r="P143" s="229">
        <f t="shared" ca="1" si="68"/>
        <v>1.1093981560180386E-2</v>
      </c>
      <c r="Q143" s="229" t="str">
        <f t="shared" si="69"/>
        <v/>
      </c>
      <c r="R143" s="229" t="str">
        <f t="shared" si="62"/>
        <v/>
      </c>
      <c r="S143" s="239"/>
      <c r="T143" s="229" t="str">
        <f t="shared" si="63"/>
        <v/>
      </c>
      <c r="U143" s="229" t="str">
        <f t="shared" si="64"/>
        <v/>
      </c>
      <c r="V143" s="229" t="str">
        <f t="shared" si="65"/>
        <v/>
      </c>
    </row>
    <row r="144" spans="1:22" ht="15" customHeight="1" x14ac:dyDescent="0.25">
      <c r="A144" s="205">
        <f t="shared" si="50"/>
        <v>2019</v>
      </c>
      <c r="B144" s="207">
        <f t="shared" ca="1" si="66"/>
        <v>3.710260369995904</v>
      </c>
      <c r="C144" s="207" t="str">
        <f t="shared" si="51"/>
        <v/>
      </c>
      <c r="D144" s="207" t="str">
        <f t="shared" si="52"/>
        <v/>
      </c>
      <c r="E144" s="234" t="str">
        <f t="shared" si="53"/>
        <v/>
      </c>
      <c r="F144" s="206" t="str">
        <f t="shared" si="67"/>
        <v/>
      </c>
      <c r="G144" s="207" t="str">
        <f t="shared" si="54"/>
        <v/>
      </c>
      <c r="H144" s="207" t="str">
        <f t="shared" si="55"/>
        <v/>
      </c>
      <c r="I144" s="234" t="str">
        <f t="shared" si="56"/>
        <v/>
      </c>
      <c r="J144" s="600" t="str">
        <f t="shared" ca="1" si="57"/>
        <v/>
      </c>
      <c r="K144" s="232" t="str">
        <f t="shared" si="58"/>
        <v/>
      </c>
      <c r="L144" s="232" t="str">
        <f t="shared" si="59"/>
        <v/>
      </c>
      <c r="M144" s="207" t="str">
        <f t="shared" si="60"/>
        <v/>
      </c>
      <c r="N144" s="235" t="str">
        <f t="shared" si="61"/>
        <v/>
      </c>
      <c r="O144" s="240"/>
      <c r="P144" s="229">
        <f t="shared" ca="1" si="68"/>
        <v>1.1093981560180386E-2</v>
      </c>
      <c r="Q144" s="229" t="str">
        <f t="shared" si="69"/>
        <v/>
      </c>
      <c r="R144" s="229" t="str">
        <f t="shared" si="62"/>
        <v/>
      </c>
      <c r="S144" s="239"/>
      <c r="T144" s="229" t="str">
        <f t="shared" si="63"/>
        <v/>
      </c>
      <c r="U144" s="229" t="str">
        <f t="shared" si="64"/>
        <v/>
      </c>
      <c r="V144" s="229" t="str">
        <f t="shared" si="65"/>
        <v/>
      </c>
    </row>
    <row r="145" spans="1:22" ht="15" customHeight="1" x14ac:dyDescent="0.25">
      <c r="A145" s="205">
        <f t="shared" si="50"/>
        <v>2020</v>
      </c>
      <c r="B145" s="207">
        <f t="shared" ca="1" si="66"/>
        <v>3.7792915330129997</v>
      </c>
      <c r="C145" s="207" t="str">
        <f t="shared" si="51"/>
        <v/>
      </c>
      <c r="D145" s="207" t="str">
        <f t="shared" si="52"/>
        <v/>
      </c>
      <c r="E145" s="234" t="str">
        <f t="shared" si="53"/>
        <v/>
      </c>
      <c r="F145" s="206" t="str">
        <f t="shared" si="67"/>
        <v/>
      </c>
      <c r="G145" s="207" t="str">
        <f t="shared" si="54"/>
        <v/>
      </c>
      <c r="H145" s="207" t="str">
        <f t="shared" si="55"/>
        <v/>
      </c>
      <c r="I145" s="234" t="str">
        <f t="shared" si="56"/>
        <v/>
      </c>
      <c r="J145" s="600" t="str">
        <f t="shared" ca="1" si="57"/>
        <v/>
      </c>
      <c r="K145" s="232" t="str">
        <f t="shared" si="58"/>
        <v/>
      </c>
      <c r="L145" s="232" t="str">
        <f t="shared" si="59"/>
        <v/>
      </c>
      <c r="M145" s="207" t="str">
        <f t="shared" si="60"/>
        <v/>
      </c>
      <c r="N145" s="235" t="str">
        <f t="shared" si="61"/>
        <v/>
      </c>
      <c r="O145" s="240"/>
      <c r="P145" s="229">
        <f t="shared" ca="1" si="68"/>
        <v>1.1093981560180386E-2</v>
      </c>
      <c r="Q145" s="229" t="str">
        <f t="shared" si="69"/>
        <v/>
      </c>
      <c r="R145" s="229" t="str">
        <f t="shared" si="62"/>
        <v/>
      </c>
      <c r="S145" s="239"/>
      <c r="T145" s="229" t="str">
        <f t="shared" si="63"/>
        <v/>
      </c>
      <c r="U145" s="229" t="str">
        <f t="shared" si="64"/>
        <v/>
      </c>
      <c r="V145" s="229" t="str">
        <f t="shared" si="65"/>
        <v/>
      </c>
    </row>
    <row r="146" spans="1:22" ht="15" customHeight="1" x14ac:dyDescent="0.25">
      <c r="A146" s="205">
        <f t="shared" si="50"/>
        <v>2021</v>
      </c>
      <c r="B146" s="207">
        <f t="shared" ca="1" si="66"/>
        <v>3.8001066311040028</v>
      </c>
      <c r="C146" s="207" t="str">
        <f t="shared" si="51"/>
        <v/>
      </c>
      <c r="D146" s="207" t="str">
        <f t="shared" si="52"/>
        <v/>
      </c>
      <c r="E146" s="234" t="str">
        <f t="shared" si="53"/>
        <v/>
      </c>
      <c r="F146" s="206" t="str">
        <f t="shared" si="67"/>
        <v/>
      </c>
      <c r="G146" s="207" t="str">
        <f t="shared" si="54"/>
        <v/>
      </c>
      <c r="H146" s="207" t="str">
        <f t="shared" si="55"/>
        <v/>
      </c>
      <c r="I146" s="234" t="str">
        <f t="shared" si="56"/>
        <v/>
      </c>
      <c r="J146" s="600" t="str">
        <f t="shared" ca="1" si="57"/>
        <v/>
      </c>
      <c r="K146" s="232" t="str">
        <f t="shared" si="58"/>
        <v/>
      </c>
      <c r="L146" s="232" t="str">
        <f t="shared" si="59"/>
        <v/>
      </c>
      <c r="M146" s="207" t="str">
        <f t="shared" si="60"/>
        <v/>
      </c>
      <c r="N146" s="235" t="str">
        <f t="shared" si="61"/>
        <v/>
      </c>
      <c r="O146" s="240"/>
      <c r="P146" s="229">
        <f t="shared" ca="1" si="68"/>
        <v>1.1093981560180386E-2</v>
      </c>
      <c r="Q146" s="229" t="str">
        <f t="shared" si="69"/>
        <v/>
      </c>
      <c r="R146" s="229" t="str">
        <f t="shared" si="62"/>
        <v/>
      </c>
      <c r="S146" s="239"/>
      <c r="T146" s="229" t="str">
        <f t="shared" si="63"/>
        <v/>
      </c>
      <c r="U146" s="229" t="str">
        <f t="shared" si="64"/>
        <v/>
      </c>
      <c r="V146" s="229" t="str">
        <f t="shared" si="65"/>
        <v/>
      </c>
    </row>
    <row r="147" spans="1:22" ht="15" customHeight="1" x14ac:dyDescent="0.25">
      <c r="A147" s="205">
        <f t="shared" si="50"/>
        <v>2022</v>
      </c>
      <c r="B147" s="207">
        <f t="shared" ca="1" si="66"/>
        <v>3.9227653227163746</v>
      </c>
      <c r="C147" s="207" t="str">
        <f t="shared" si="51"/>
        <v/>
      </c>
      <c r="D147" s="207" t="str">
        <f t="shared" si="52"/>
        <v/>
      </c>
      <c r="E147" s="234" t="str">
        <f t="shared" si="53"/>
        <v/>
      </c>
      <c r="F147" s="206" t="str">
        <f t="shared" si="67"/>
        <v/>
      </c>
      <c r="G147" s="207" t="str">
        <f t="shared" si="54"/>
        <v/>
      </c>
      <c r="H147" s="207" t="str">
        <f t="shared" si="55"/>
        <v/>
      </c>
      <c r="I147" s="234" t="str">
        <f t="shared" si="56"/>
        <v/>
      </c>
      <c r="J147" s="600" t="str">
        <f t="shared" ca="1" si="57"/>
        <v/>
      </c>
      <c r="K147" s="232" t="str">
        <f t="shared" si="58"/>
        <v/>
      </c>
      <c r="L147" s="232" t="str">
        <f t="shared" si="59"/>
        <v/>
      </c>
      <c r="M147" s="207" t="str">
        <f t="shared" si="60"/>
        <v/>
      </c>
      <c r="N147" s="235" t="str">
        <f t="shared" si="61"/>
        <v/>
      </c>
      <c r="O147" s="240"/>
      <c r="P147" s="229">
        <f t="shared" ca="1" si="68"/>
        <v>1.1093981560180386E-2</v>
      </c>
      <c r="Q147" s="229" t="str">
        <f t="shared" si="69"/>
        <v/>
      </c>
      <c r="R147" s="229" t="str">
        <f t="shared" si="62"/>
        <v/>
      </c>
      <c r="S147" s="239"/>
      <c r="T147" s="229" t="str">
        <f t="shared" si="63"/>
        <v/>
      </c>
      <c r="U147" s="229" t="str">
        <f t="shared" si="64"/>
        <v/>
      </c>
      <c r="V147" s="229" t="str">
        <f t="shared" si="65"/>
        <v/>
      </c>
    </row>
    <row r="148" spans="1:22" ht="15" customHeight="1" x14ac:dyDescent="0.25">
      <c r="A148" s="205">
        <f t="shared" si="50"/>
        <v>2023</v>
      </c>
      <c r="B148" s="207">
        <f t="shared" ca="1" si="66"/>
        <v>3.9351981250405261</v>
      </c>
      <c r="C148" s="207" t="str">
        <f t="shared" si="51"/>
        <v/>
      </c>
      <c r="D148" s="207" t="str">
        <f t="shared" si="52"/>
        <v/>
      </c>
      <c r="E148" s="234" t="str">
        <f t="shared" si="53"/>
        <v/>
      </c>
      <c r="F148" s="206" t="str">
        <f t="shared" si="67"/>
        <v/>
      </c>
      <c r="G148" s="207" t="str">
        <f t="shared" si="54"/>
        <v/>
      </c>
      <c r="H148" s="207" t="str">
        <f t="shared" si="55"/>
        <v/>
      </c>
      <c r="I148" s="234" t="str">
        <f t="shared" si="56"/>
        <v/>
      </c>
      <c r="J148" s="600" t="str">
        <f t="shared" ca="1" si="57"/>
        <v/>
      </c>
      <c r="K148" s="232" t="str">
        <f t="shared" si="58"/>
        <v/>
      </c>
      <c r="L148" s="232" t="str">
        <f t="shared" si="59"/>
        <v/>
      </c>
      <c r="M148" s="207" t="str">
        <f t="shared" si="60"/>
        <v/>
      </c>
      <c r="N148" s="235" t="str">
        <f t="shared" si="61"/>
        <v/>
      </c>
      <c r="O148" s="240"/>
      <c r="P148" s="229">
        <f t="shared" ca="1" si="68"/>
        <v>1.1093981560180386E-2</v>
      </c>
      <c r="Q148" s="229" t="str">
        <f t="shared" si="69"/>
        <v/>
      </c>
      <c r="R148" s="229" t="str">
        <f t="shared" si="62"/>
        <v/>
      </c>
      <c r="S148" s="239"/>
      <c r="T148" s="229" t="str">
        <f t="shared" si="63"/>
        <v/>
      </c>
      <c r="U148" s="229" t="str">
        <f t="shared" si="64"/>
        <v/>
      </c>
      <c r="V148" s="229" t="str">
        <f t="shared" si="65"/>
        <v/>
      </c>
    </row>
    <row r="149" spans="1:22" ht="15" customHeight="1" x14ac:dyDescent="0.25">
      <c r="A149" s="205">
        <f t="shared" si="50"/>
        <v>2024</v>
      </c>
      <c r="B149" s="207">
        <f t="shared" ca="1" si="66"/>
        <v>3.9248243044578506</v>
      </c>
      <c r="C149" s="207" t="str">
        <f t="shared" si="51"/>
        <v/>
      </c>
      <c r="D149" s="207" t="str">
        <f t="shared" si="52"/>
        <v/>
      </c>
      <c r="E149" s="234" t="str">
        <f t="shared" si="53"/>
        <v/>
      </c>
      <c r="F149" s="206" t="str">
        <f t="shared" si="67"/>
        <v/>
      </c>
      <c r="G149" s="207" t="str">
        <f t="shared" si="54"/>
        <v/>
      </c>
      <c r="H149" s="207" t="str">
        <f t="shared" si="55"/>
        <v/>
      </c>
      <c r="I149" s="234" t="str">
        <f t="shared" si="56"/>
        <v/>
      </c>
      <c r="J149" s="600" t="str">
        <f t="shared" ca="1" si="57"/>
        <v/>
      </c>
      <c r="K149" s="232" t="str">
        <f t="shared" si="58"/>
        <v/>
      </c>
      <c r="L149" s="232" t="str">
        <f t="shared" si="59"/>
        <v/>
      </c>
      <c r="M149" s="207" t="str">
        <f t="shared" si="60"/>
        <v/>
      </c>
      <c r="N149" s="235" t="str">
        <f t="shared" si="61"/>
        <v/>
      </c>
      <c r="O149" s="240"/>
      <c r="P149" s="229">
        <f t="shared" ca="1" si="68"/>
        <v>1.1093981560180386E-2</v>
      </c>
      <c r="Q149" s="229" t="str">
        <f t="shared" si="69"/>
        <v/>
      </c>
      <c r="R149" s="229" t="str">
        <f t="shared" si="62"/>
        <v/>
      </c>
      <c r="S149" s="239"/>
      <c r="T149" s="229" t="str">
        <f t="shared" si="63"/>
        <v/>
      </c>
      <c r="U149" s="229" t="str">
        <f t="shared" si="64"/>
        <v/>
      </c>
      <c r="V149" s="229" t="str">
        <f t="shared" si="65"/>
        <v/>
      </c>
    </row>
    <row r="150" spans="1:22" ht="15" customHeight="1" x14ac:dyDescent="0.25">
      <c r="A150" s="205">
        <f t="shared" si="50"/>
        <v>2025</v>
      </c>
      <c r="B150" s="207">
        <f t="shared" ca="1" si="66"/>
        <v>4.0190654479108137</v>
      </c>
      <c r="C150" s="207" t="str">
        <f t="shared" si="51"/>
        <v/>
      </c>
      <c r="D150" s="207" t="str">
        <f t="shared" si="52"/>
        <v/>
      </c>
      <c r="E150" s="234" t="str">
        <f t="shared" si="53"/>
        <v/>
      </c>
      <c r="F150" s="206" t="str">
        <f t="shared" si="67"/>
        <v/>
      </c>
      <c r="G150" s="207" t="str">
        <f t="shared" si="54"/>
        <v/>
      </c>
      <c r="H150" s="207" t="str">
        <f t="shared" si="55"/>
        <v/>
      </c>
      <c r="I150" s="234" t="str">
        <f t="shared" si="56"/>
        <v/>
      </c>
      <c r="J150" s="600" t="str">
        <f t="shared" ca="1" si="57"/>
        <v/>
      </c>
      <c r="K150" s="232" t="str">
        <f t="shared" si="58"/>
        <v/>
      </c>
      <c r="L150" s="232" t="str">
        <f t="shared" si="59"/>
        <v/>
      </c>
      <c r="M150" s="207" t="str">
        <f t="shared" si="60"/>
        <v/>
      </c>
      <c r="N150" s="235" t="str">
        <f t="shared" si="61"/>
        <v/>
      </c>
      <c r="O150" s="240"/>
      <c r="P150" s="229">
        <f t="shared" ca="1" si="68"/>
        <v>1.1093981560180386E-2</v>
      </c>
      <c r="Q150" s="229" t="str">
        <f t="shared" si="69"/>
        <v/>
      </c>
      <c r="R150" s="229" t="str">
        <f t="shared" si="62"/>
        <v/>
      </c>
      <c r="S150" s="239"/>
      <c r="T150" s="229" t="str">
        <f t="shared" si="63"/>
        <v/>
      </c>
      <c r="U150" s="229" t="str">
        <f t="shared" si="64"/>
        <v/>
      </c>
      <c r="V150" s="229" t="str">
        <f t="shared" si="65"/>
        <v/>
      </c>
    </row>
    <row r="151" spans="1:22" ht="15" customHeight="1" x14ac:dyDescent="0.25">
      <c r="A151" s="205">
        <f t="shared" si="50"/>
        <v>2026</v>
      </c>
      <c r="B151" s="207">
        <f t="shared" ca="1" si="66"/>
        <v>4.0598807062470676</v>
      </c>
      <c r="C151" s="207" t="str">
        <f t="shared" si="51"/>
        <v/>
      </c>
      <c r="D151" s="207" t="str">
        <f t="shared" si="52"/>
        <v/>
      </c>
      <c r="E151" s="234" t="str">
        <f t="shared" si="53"/>
        <v/>
      </c>
      <c r="F151" s="206" t="str">
        <f t="shared" si="67"/>
        <v/>
      </c>
      <c r="G151" s="207" t="str">
        <f t="shared" si="54"/>
        <v/>
      </c>
      <c r="H151" s="207" t="str">
        <f t="shared" si="55"/>
        <v/>
      </c>
      <c r="I151" s="234" t="str">
        <f t="shared" si="56"/>
        <v/>
      </c>
      <c r="J151" s="600" t="str">
        <f t="shared" ca="1" si="57"/>
        <v/>
      </c>
      <c r="K151" s="232" t="str">
        <f t="shared" si="58"/>
        <v/>
      </c>
      <c r="L151" s="232" t="str">
        <f t="shared" si="59"/>
        <v/>
      </c>
      <c r="M151" s="207" t="str">
        <f t="shared" si="60"/>
        <v/>
      </c>
      <c r="N151" s="235" t="str">
        <f t="shared" si="61"/>
        <v/>
      </c>
      <c r="O151" s="240"/>
      <c r="P151" s="229">
        <f t="shared" ca="1" si="68"/>
        <v>1.1093981560180386E-2</v>
      </c>
      <c r="Q151" s="229" t="str">
        <f t="shared" si="69"/>
        <v/>
      </c>
      <c r="R151" s="229" t="str">
        <f t="shared" si="62"/>
        <v/>
      </c>
      <c r="S151" s="239"/>
      <c r="T151" s="229" t="str">
        <f t="shared" si="63"/>
        <v/>
      </c>
      <c r="U151" s="229" t="str">
        <f t="shared" si="64"/>
        <v/>
      </c>
      <c r="V151" s="229" t="str">
        <f t="shared" si="65"/>
        <v/>
      </c>
    </row>
    <row r="152" spans="1:22" ht="15" customHeight="1" x14ac:dyDescent="0.25">
      <c r="A152" s="205">
        <f t="shared" si="50"/>
        <v>2027</v>
      </c>
      <c r="B152" s="207">
        <f t="shared" ca="1" si="66"/>
        <v>4.0832726225330731</v>
      </c>
      <c r="C152" s="207" t="str">
        <f t="shared" si="51"/>
        <v/>
      </c>
      <c r="D152" s="207" t="str">
        <f t="shared" si="52"/>
        <v/>
      </c>
      <c r="E152" s="234" t="str">
        <f t="shared" si="53"/>
        <v/>
      </c>
      <c r="F152" s="206" t="str">
        <f t="shared" si="67"/>
        <v/>
      </c>
      <c r="G152" s="207" t="str">
        <f t="shared" si="54"/>
        <v/>
      </c>
      <c r="H152" s="207" t="str">
        <f t="shared" si="55"/>
        <v/>
      </c>
      <c r="I152" s="234" t="str">
        <f t="shared" si="56"/>
        <v/>
      </c>
      <c r="J152" s="600" t="str">
        <f t="shared" ca="1" si="57"/>
        <v/>
      </c>
      <c r="K152" s="232" t="str">
        <f t="shared" si="58"/>
        <v/>
      </c>
      <c r="L152" s="232" t="str">
        <f t="shared" si="59"/>
        <v/>
      </c>
      <c r="M152" s="207" t="str">
        <f t="shared" si="60"/>
        <v/>
      </c>
      <c r="N152" s="235" t="str">
        <f t="shared" si="61"/>
        <v/>
      </c>
      <c r="O152" s="240"/>
      <c r="P152" s="229">
        <f t="shared" ca="1" si="68"/>
        <v>1.1093981560180386E-2</v>
      </c>
      <c r="Q152" s="229" t="str">
        <f t="shared" si="69"/>
        <v/>
      </c>
      <c r="R152" s="229" t="str">
        <f t="shared" si="62"/>
        <v/>
      </c>
      <c r="S152" s="239"/>
      <c r="T152" s="229" t="str">
        <f t="shared" si="63"/>
        <v/>
      </c>
      <c r="U152" s="229" t="str">
        <f t="shared" si="64"/>
        <v/>
      </c>
      <c r="V152" s="229" t="str">
        <f t="shared" si="65"/>
        <v/>
      </c>
    </row>
    <row r="153" spans="1:22" ht="15" customHeight="1" x14ac:dyDescent="0.25">
      <c r="A153" s="205">
        <f t="shared" si="50"/>
        <v>2028</v>
      </c>
      <c r="B153" s="207">
        <f t="shared" ca="1" si="66"/>
        <v>4.1098037404939811</v>
      </c>
      <c r="C153" s="207" t="str">
        <f t="shared" si="51"/>
        <v/>
      </c>
      <c r="D153" s="207" t="str">
        <f t="shared" si="52"/>
        <v/>
      </c>
      <c r="E153" s="234" t="str">
        <f t="shared" si="53"/>
        <v/>
      </c>
      <c r="F153" s="206" t="str">
        <f t="shared" si="67"/>
        <v/>
      </c>
      <c r="G153" s="207" t="str">
        <f t="shared" si="54"/>
        <v/>
      </c>
      <c r="H153" s="207" t="str">
        <f t="shared" si="55"/>
        <v/>
      </c>
      <c r="I153" s="234" t="str">
        <f t="shared" si="56"/>
        <v/>
      </c>
      <c r="J153" s="600" t="str">
        <f t="shared" ca="1" si="57"/>
        <v/>
      </c>
      <c r="K153" s="232" t="str">
        <f t="shared" si="58"/>
        <v/>
      </c>
      <c r="L153" s="232" t="str">
        <f t="shared" si="59"/>
        <v/>
      </c>
      <c r="M153" s="207" t="str">
        <f t="shared" si="60"/>
        <v/>
      </c>
      <c r="N153" s="235" t="str">
        <f t="shared" si="61"/>
        <v/>
      </c>
      <c r="O153" s="240"/>
      <c r="P153" s="229">
        <f t="shared" ca="1" si="68"/>
        <v>1.1093981560180386E-2</v>
      </c>
      <c r="Q153" s="229" t="str">
        <f t="shared" si="69"/>
        <v/>
      </c>
      <c r="R153" s="229" t="str">
        <f t="shared" si="62"/>
        <v/>
      </c>
      <c r="S153" s="239"/>
      <c r="T153" s="229" t="str">
        <f t="shared" si="63"/>
        <v/>
      </c>
      <c r="U153" s="229" t="str">
        <f t="shared" si="64"/>
        <v/>
      </c>
      <c r="V153" s="229" t="str">
        <f t="shared" si="65"/>
        <v/>
      </c>
    </row>
    <row r="154" spans="1:22" ht="15" customHeight="1" x14ac:dyDescent="0.25">
      <c r="A154" s="205">
        <f t="shared" si="50"/>
        <v>2029</v>
      </c>
      <c r="B154" s="207">
        <f t="shared" ca="1" si="66"/>
        <v>4.1306482941697711</v>
      </c>
      <c r="C154" s="207" t="str">
        <f t="shared" si="51"/>
        <v/>
      </c>
      <c r="D154" s="207" t="str">
        <f t="shared" si="52"/>
        <v/>
      </c>
      <c r="E154" s="234" t="str">
        <f t="shared" si="53"/>
        <v/>
      </c>
      <c r="F154" s="206" t="str">
        <f t="shared" si="67"/>
        <v/>
      </c>
      <c r="G154" s="207" t="str">
        <f t="shared" si="54"/>
        <v/>
      </c>
      <c r="H154" s="207" t="str">
        <f t="shared" si="55"/>
        <v/>
      </c>
      <c r="I154" s="234" t="str">
        <f t="shared" si="56"/>
        <v/>
      </c>
      <c r="J154" s="600" t="str">
        <f t="shared" ca="1" si="57"/>
        <v/>
      </c>
      <c r="K154" s="232" t="str">
        <f t="shared" si="58"/>
        <v/>
      </c>
      <c r="L154" s="232" t="str">
        <f t="shared" si="59"/>
        <v/>
      </c>
      <c r="M154" s="207" t="str">
        <f t="shared" si="60"/>
        <v/>
      </c>
      <c r="N154" s="235" t="str">
        <f t="shared" si="61"/>
        <v/>
      </c>
      <c r="O154" s="240"/>
      <c r="P154" s="229">
        <f t="shared" ca="1" si="68"/>
        <v>1.1093981560180386E-2</v>
      </c>
      <c r="Q154" s="229" t="str">
        <f t="shared" si="69"/>
        <v/>
      </c>
      <c r="R154" s="229" t="str">
        <f t="shared" si="62"/>
        <v/>
      </c>
      <c r="S154" s="239"/>
      <c r="T154" s="229" t="str">
        <f t="shared" si="63"/>
        <v/>
      </c>
      <c r="U154" s="229" t="str">
        <f t="shared" si="64"/>
        <v/>
      </c>
      <c r="V154" s="229" t="str">
        <f t="shared" si="65"/>
        <v/>
      </c>
    </row>
    <row r="155" spans="1:22" ht="15" customHeight="1" x14ac:dyDescent="0.25">
      <c r="A155" s="205">
        <f t="shared" si="50"/>
        <v>2030</v>
      </c>
      <c r="B155" s="207">
        <f t="shared" ca="1" si="66"/>
        <v>4.1451297142333452</v>
      </c>
      <c r="C155" s="207" t="str">
        <f t="shared" si="51"/>
        <v/>
      </c>
      <c r="D155" s="207" t="str">
        <f t="shared" si="52"/>
        <v/>
      </c>
      <c r="E155" s="234" t="str">
        <f t="shared" si="53"/>
        <v/>
      </c>
      <c r="F155" s="206" t="str">
        <f t="shared" si="67"/>
        <v/>
      </c>
      <c r="G155" s="207" t="str">
        <f t="shared" si="54"/>
        <v/>
      </c>
      <c r="H155" s="207" t="str">
        <f t="shared" si="55"/>
        <v/>
      </c>
      <c r="I155" s="234" t="str">
        <f t="shared" si="56"/>
        <v/>
      </c>
      <c r="J155" s="600" t="str">
        <f t="shared" ca="1" si="57"/>
        <v/>
      </c>
      <c r="K155" s="232" t="str">
        <f t="shared" si="58"/>
        <v/>
      </c>
      <c r="L155" s="232" t="str">
        <f t="shared" si="59"/>
        <v/>
      </c>
      <c r="M155" s="207" t="str">
        <f t="shared" si="60"/>
        <v/>
      </c>
      <c r="N155" s="235" t="str">
        <f t="shared" si="61"/>
        <v/>
      </c>
      <c r="O155" s="240"/>
      <c r="P155" s="229">
        <f t="shared" ca="1" si="68"/>
        <v>1.1093981560180386E-2</v>
      </c>
      <c r="Q155" s="229" t="str">
        <f t="shared" si="69"/>
        <v/>
      </c>
      <c r="R155" s="229" t="str">
        <f t="shared" si="62"/>
        <v/>
      </c>
      <c r="S155" s="239"/>
      <c r="T155" s="229" t="str">
        <f t="shared" si="63"/>
        <v/>
      </c>
      <c r="U155" s="229" t="str">
        <f t="shared" si="64"/>
        <v/>
      </c>
      <c r="V155" s="229" t="str">
        <f t="shared" si="65"/>
        <v/>
      </c>
    </row>
    <row r="156" spans="1:22" ht="15" customHeight="1" x14ac:dyDescent="0.25">
      <c r="A156" s="205">
        <f t="shared" si="50"/>
        <v>2031</v>
      </c>
      <c r="B156" s="207">
        <f t="shared" ca="1" si="66"/>
        <v>4.1503809904321791</v>
      </c>
      <c r="C156" s="207" t="str">
        <f t="shared" si="51"/>
        <v/>
      </c>
      <c r="D156" s="207" t="str">
        <f t="shared" si="52"/>
        <v/>
      </c>
      <c r="E156" s="234" t="str">
        <f t="shared" si="53"/>
        <v/>
      </c>
      <c r="F156" s="206" t="str">
        <f t="shared" si="67"/>
        <v/>
      </c>
      <c r="G156" s="207" t="str">
        <f t="shared" si="54"/>
        <v/>
      </c>
      <c r="H156" s="207" t="str">
        <f t="shared" si="55"/>
        <v/>
      </c>
      <c r="I156" s="234" t="str">
        <f t="shared" si="56"/>
        <v/>
      </c>
      <c r="J156" s="600" t="str">
        <f t="shared" ca="1" si="57"/>
        <v/>
      </c>
      <c r="K156" s="232" t="str">
        <f t="shared" si="58"/>
        <v/>
      </c>
      <c r="L156" s="232" t="str">
        <f t="shared" si="59"/>
        <v/>
      </c>
      <c r="M156" s="207" t="str">
        <f t="shared" si="60"/>
        <v/>
      </c>
      <c r="N156" s="235" t="str">
        <f t="shared" si="61"/>
        <v/>
      </c>
      <c r="O156" s="240"/>
      <c r="P156" s="229">
        <f t="shared" ca="1" si="68"/>
        <v>1.1093981560180386E-2</v>
      </c>
      <c r="Q156" s="229" t="str">
        <f t="shared" si="69"/>
        <v/>
      </c>
      <c r="R156" s="229" t="str">
        <f t="shared" si="62"/>
        <v/>
      </c>
      <c r="S156" s="239"/>
      <c r="T156" s="229" t="str">
        <f t="shared" si="63"/>
        <v/>
      </c>
      <c r="U156" s="229" t="str">
        <f t="shared" si="64"/>
        <v/>
      </c>
      <c r="V156" s="229" t="str">
        <f t="shared" si="65"/>
        <v/>
      </c>
    </row>
    <row r="157" spans="1:22" ht="15" customHeight="1" x14ac:dyDescent="0.25">
      <c r="A157" s="205">
        <f t="shared" si="50"/>
        <v>2032</v>
      </c>
      <c r="B157" s="207">
        <f t="shared" ca="1" si="66"/>
        <v>4.1409119290463945</v>
      </c>
      <c r="C157" s="207" t="str">
        <f t="shared" si="51"/>
        <v/>
      </c>
      <c r="D157" s="207" t="str">
        <f t="shared" si="52"/>
        <v/>
      </c>
      <c r="E157" s="234" t="str">
        <f t="shared" si="53"/>
        <v/>
      </c>
      <c r="F157" s="206" t="str">
        <f t="shared" si="67"/>
        <v/>
      </c>
      <c r="G157" s="207" t="str">
        <f t="shared" si="54"/>
        <v/>
      </c>
      <c r="H157" s="207" t="str">
        <f t="shared" si="55"/>
        <v/>
      </c>
      <c r="I157" s="234" t="str">
        <f t="shared" si="56"/>
        <v/>
      </c>
      <c r="J157" s="600" t="str">
        <f t="shared" ca="1" si="57"/>
        <v/>
      </c>
      <c r="K157" s="232" t="str">
        <f t="shared" si="58"/>
        <v/>
      </c>
      <c r="L157" s="232" t="str">
        <f t="shared" si="59"/>
        <v/>
      </c>
      <c r="M157" s="207" t="str">
        <f t="shared" si="60"/>
        <v/>
      </c>
      <c r="N157" s="235" t="str">
        <f t="shared" si="61"/>
        <v/>
      </c>
      <c r="O157" s="240"/>
      <c r="P157" s="229">
        <f t="shared" ca="1" si="68"/>
        <v>1.1093981560180386E-2</v>
      </c>
      <c r="Q157" s="229" t="str">
        <f t="shared" si="69"/>
        <v/>
      </c>
      <c r="R157" s="229" t="str">
        <f t="shared" si="62"/>
        <v/>
      </c>
      <c r="S157" s="239"/>
      <c r="T157" s="229" t="str">
        <f t="shared" si="63"/>
        <v/>
      </c>
      <c r="U157" s="229" t="str">
        <f t="shared" si="64"/>
        <v/>
      </c>
      <c r="V157" s="229" t="str">
        <f t="shared" si="65"/>
        <v/>
      </c>
    </row>
    <row r="158" spans="1:22" ht="15" customHeight="1" x14ac:dyDescent="0.25">
      <c r="A158" s="205">
        <f t="shared" si="50"/>
        <v>2033</v>
      </c>
      <c r="B158" s="207">
        <f t="shared" ca="1" si="66"/>
        <v>4.1261106795159126</v>
      </c>
      <c r="C158" s="207" t="str">
        <f t="shared" si="51"/>
        <v/>
      </c>
      <c r="D158" s="207" t="str">
        <f t="shared" si="52"/>
        <v/>
      </c>
      <c r="E158" s="234" t="str">
        <f t="shared" si="53"/>
        <v/>
      </c>
      <c r="F158" s="206" t="str">
        <f t="shared" si="67"/>
        <v/>
      </c>
      <c r="G158" s="207" t="str">
        <f t="shared" si="54"/>
        <v/>
      </c>
      <c r="H158" s="207" t="str">
        <f t="shared" si="55"/>
        <v/>
      </c>
      <c r="I158" s="234" t="str">
        <f t="shared" si="56"/>
        <v/>
      </c>
      <c r="J158" s="600" t="str">
        <f t="shared" ca="1" si="57"/>
        <v/>
      </c>
      <c r="K158" s="232" t="str">
        <f t="shared" si="58"/>
        <v/>
      </c>
      <c r="L158" s="232" t="str">
        <f t="shared" si="59"/>
        <v/>
      </c>
      <c r="M158" s="207" t="str">
        <f t="shared" si="60"/>
        <v/>
      </c>
      <c r="N158" s="235" t="str">
        <f t="shared" si="61"/>
        <v/>
      </c>
      <c r="O158" s="240"/>
      <c r="P158" s="229">
        <f t="shared" ca="1" si="68"/>
        <v>1.1093981560180386E-2</v>
      </c>
      <c r="Q158" s="229" t="str">
        <f t="shared" si="69"/>
        <v/>
      </c>
      <c r="R158" s="229" t="str">
        <f t="shared" si="62"/>
        <v/>
      </c>
      <c r="S158" s="239"/>
      <c r="T158" s="229" t="str">
        <f t="shared" si="63"/>
        <v/>
      </c>
      <c r="U158" s="229" t="str">
        <f t="shared" si="64"/>
        <v/>
      </c>
      <c r="V158" s="229" t="str">
        <f t="shared" si="65"/>
        <v/>
      </c>
    </row>
    <row r="159" spans="1:22" ht="15" customHeight="1" x14ac:dyDescent="0.25">
      <c r="A159" s="205">
        <f t="shared" si="50"/>
        <v>2034</v>
      </c>
      <c r="B159" s="207">
        <f t="shared" ca="1" si="66"/>
        <v>4.1141189836651639</v>
      </c>
      <c r="C159" s="207" t="str">
        <f t="shared" si="51"/>
        <v/>
      </c>
      <c r="D159" s="207" t="str">
        <f t="shared" si="52"/>
        <v/>
      </c>
      <c r="E159" s="234" t="str">
        <f t="shared" si="53"/>
        <v/>
      </c>
      <c r="F159" s="206" t="str">
        <f t="shared" si="67"/>
        <v/>
      </c>
      <c r="G159" s="207" t="str">
        <f t="shared" si="54"/>
        <v/>
      </c>
      <c r="H159" s="207" t="str">
        <f t="shared" si="55"/>
        <v/>
      </c>
      <c r="I159" s="234" t="str">
        <f t="shared" si="56"/>
        <v/>
      </c>
      <c r="J159" s="600" t="str">
        <f t="shared" ca="1" si="57"/>
        <v/>
      </c>
      <c r="K159" s="232" t="str">
        <f t="shared" si="58"/>
        <v/>
      </c>
      <c r="L159" s="232" t="str">
        <f t="shared" si="59"/>
        <v/>
      </c>
      <c r="M159" s="207" t="str">
        <f t="shared" si="60"/>
        <v/>
      </c>
      <c r="N159" s="235" t="str">
        <f t="shared" si="61"/>
        <v/>
      </c>
      <c r="O159" s="240"/>
      <c r="P159" s="229">
        <f t="shared" ca="1" si="68"/>
        <v>1.1093981560180386E-2</v>
      </c>
      <c r="Q159" s="229" t="str">
        <f t="shared" si="69"/>
        <v/>
      </c>
      <c r="R159" s="229" t="str">
        <f t="shared" si="62"/>
        <v/>
      </c>
      <c r="S159" s="239"/>
      <c r="T159" s="229" t="str">
        <f t="shared" si="63"/>
        <v/>
      </c>
      <c r="U159" s="229" t="str">
        <f t="shared" si="64"/>
        <v/>
      </c>
      <c r="V159" s="229" t="str">
        <f t="shared" si="65"/>
        <v/>
      </c>
    </row>
    <row r="160" spans="1:22" ht="15" customHeight="1" x14ac:dyDescent="0.25">
      <c r="A160" s="205">
        <f t="shared" si="50"/>
        <v>2035</v>
      </c>
      <c r="B160" s="207">
        <f t="shared" ca="1" si="66"/>
        <v>4.1286665878822086</v>
      </c>
      <c r="C160" s="207" t="str">
        <f t="shared" si="51"/>
        <v/>
      </c>
      <c r="D160" s="207" t="str">
        <f t="shared" si="52"/>
        <v/>
      </c>
      <c r="E160" s="234" t="str">
        <f t="shared" si="53"/>
        <v/>
      </c>
      <c r="F160" s="206" t="str">
        <f t="shared" si="67"/>
        <v/>
      </c>
      <c r="G160" s="207" t="str">
        <f t="shared" si="54"/>
        <v/>
      </c>
      <c r="H160" s="207" t="str">
        <f t="shared" si="55"/>
        <v/>
      </c>
      <c r="I160" s="234" t="str">
        <f t="shared" si="56"/>
        <v/>
      </c>
      <c r="J160" s="600" t="str">
        <f t="shared" ca="1" si="57"/>
        <v/>
      </c>
      <c r="K160" s="232" t="str">
        <f t="shared" si="58"/>
        <v/>
      </c>
      <c r="L160" s="232" t="str">
        <f t="shared" si="59"/>
        <v/>
      </c>
      <c r="M160" s="207" t="str">
        <f t="shared" si="60"/>
        <v/>
      </c>
      <c r="N160" s="235" t="str">
        <f t="shared" si="61"/>
        <v/>
      </c>
      <c r="O160" s="240"/>
      <c r="P160" s="229">
        <f t="shared" ca="1" si="68"/>
        <v>1.1093981560180386E-2</v>
      </c>
      <c r="Q160" s="229" t="str">
        <f t="shared" si="69"/>
        <v/>
      </c>
      <c r="R160" s="229" t="str">
        <f t="shared" si="62"/>
        <v/>
      </c>
      <c r="S160" s="239"/>
      <c r="T160" s="229" t="str">
        <f t="shared" si="63"/>
        <v/>
      </c>
      <c r="U160" s="229" t="str">
        <f t="shared" si="64"/>
        <v/>
      </c>
      <c r="V160" s="229" t="str">
        <f t="shared" si="65"/>
        <v/>
      </c>
    </row>
    <row r="161" spans="1:22" ht="15" customHeight="1" x14ac:dyDescent="0.25">
      <c r="A161" s="205">
        <f t="shared" si="50"/>
        <v>2036</v>
      </c>
      <c r="B161" s="207">
        <f t="shared" ca="1" si="66"/>
        <v>4.1436780266473381</v>
      </c>
      <c r="C161" s="207" t="str">
        <f t="shared" si="51"/>
        <v/>
      </c>
      <c r="D161" s="207" t="str">
        <f t="shared" si="52"/>
        <v/>
      </c>
      <c r="E161" s="234" t="str">
        <f t="shared" si="53"/>
        <v/>
      </c>
      <c r="F161" s="206" t="str">
        <f t="shared" si="67"/>
        <v/>
      </c>
      <c r="G161" s="207" t="str">
        <f t="shared" si="54"/>
        <v/>
      </c>
      <c r="H161" s="207" t="str">
        <f t="shared" si="55"/>
        <v/>
      </c>
      <c r="I161" s="234" t="str">
        <f t="shared" si="56"/>
        <v/>
      </c>
      <c r="J161" s="600" t="str">
        <f t="shared" ca="1" si="57"/>
        <v/>
      </c>
      <c r="K161" s="232" t="str">
        <f t="shared" si="58"/>
        <v/>
      </c>
      <c r="L161" s="232" t="str">
        <f t="shared" si="59"/>
        <v/>
      </c>
      <c r="M161" s="207" t="str">
        <f t="shared" si="60"/>
        <v/>
      </c>
      <c r="N161" s="235" t="str">
        <f t="shared" si="61"/>
        <v/>
      </c>
      <c r="O161" s="240"/>
      <c r="P161" s="229">
        <f t="shared" ca="1" si="68"/>
        <v>1.1093981560180386E-2</v>
      </c>
      <c r="Q161" s="229" t="str">
        <f t="shared" si="69"/>
        <v/>
      </c>
      <c r="R161" s="229" t="str">
        <f t="shared" si="62"/>
        <v/>
      </c>
      <c r="S161" s="239"/>
      <c r="T161" s="229" t="str">
        <f t="shared" si="63"/>
        <v/>
      </c>
      <c r="U161" s="229" t="str">
        <f t="shared" si="64"/>
        <v/>
      </c>
      <c r="V161" s="229" t="str">
        <f t="shared" si="65"/>
        <v/>
      </c>
    </row>
    <row r="162" spans="1:22" ht="15" customHeight="1" x14ac:dyDescent="0.25">
      <c r="A162" s="205">
        <f t="shared" si="50"/>
        <v>2037</v>
      </c>
      <c r="B162" s="207">
        <f t="shared" ca="1" si="66"/>
        <v>4.1405450070087477</v>
      </c>
      <c r="C162" s="207" t="str">
        <f t="shared" si="51"/>
        <v/>
      </c>
      <c r="D162" s="207" t="str">
        <f t="shared" si="52"/>
        <v/>
      </c>
      <c r="E162" s="234" t="str">
        <f t="shared" si="53"/>
        <v/>
      </c>
      <c r="F162" s="206" t="str">
        <f t="shared" si="67"/>
        <v/>
      </c>
      <c r="G162" s="207" t="str">
        <f t="shared" si="54"/>
        <v/>
      </c>
      <c r="H162" s="207" t="str">
        <f t="shared" si="55"/>
        <v/>
      </c>
      <c r="I162" s="234" t="str">
        <f t="shared" si="56"/>
        <v/>
      </c>
      <c r="J162" s="600" t="str">
        <f t="shared" ca="1" si="57"/>
        <v/>
      </c>
      <c r="K162" s="232" t="str">
        <f t="shared" si="58"/>
        <v/>
      </c>
      <c r="L162" s="232" t="str">
        <f t="shared" si="59"/>
        <v/>
      </c>
      <c r="M162" s="207" t="str">
        <f t="shared" si="60"/>
        <v/>
      </c>
      <c r="N162" s="235" t="str">
        <f t="shared" si="61"/>
        <v/>
      </c>
      <c r="O162" s="240"/>
      <c r="P162" s="229">
        <f t="shared" ca="1" si="68"/>
        <v>1.1093981560180386E-2</v>
      </c>
      <c r="Q162" s="229" t="str">
        <f t="shared" si="69"/>
        <v/>
      </c>
      <c r="R162" s="229" t="str">
        <f t="shared" si="62"/>
        <v/>
      </c>
      <c r="S162" s="239"/>
      <c r="T162" s="229" t="str">
        <f t="shared" si="63"/>
        <v/>
      </c>
      <c r="U162" s="229" t="str">
        <f t="shared" si="64"/>
        <v/>
      </c>
      <c r="V162" s="229" t="str">
        <f t="shared" si="65"/>
        <v/>
      </c>
    </row>
    <row r="163" spans="1:22" ht="15" customHeight="1" x14ac:dyDescent="0.25">
      <c r="A163" s="205">
        <f t="shared" si="50"/>
        <v>2038</v>
      </c>
      <c r="B163" s="207">
        <f t="shared" ca="1" si="66"/>
        <v>4.1414646758226299</v>
      </c>
      <c r="C163" s="207" t="str">
        <f t="shared" si="51"/>
        <v/>
      </c>
      <c r="D163" s="207" t="str">
        <f t="shared" si="52"/>
        <v/>
      </c>
      <c r="E163" s="234" t="str">
        <f t="shared" si="53"/>
        <v/>
      </c>
      <c r="F163" s="206" t="str">
        <f t="shared" si="67"/>
        <v/>
      </c>
      <c r="G163" s="207" t="str">
        <f t="shared" si="54"/>
        <v/>
      </c>
      <c r="H163" s="207" t="str">
        <f t="shared" si="55"/>
        <v/>
      </c>
      <c r="I163" s="234" t="str">
        <f t="shared" si="56"/>
        <v/>
      </c>
      <c r="J163" s="600" t="str">
        <f t="shared" ca="1" si="57"/>
        <v/>
      </c>
      <c r="K163" s="232" t="str">
        <f t="shared" si="58"/>
        <v/>
      </c>
      <c r="L163" s="232" t="str">
        <f t="shared" si="59"/>
        <v/>
      </c>
      <c r="M163" s="207" t="str">
        <f t="shared" si="60"/>
        <v/>
      </c>
      <c r="N163" s="235" t="str">
        <f t="shared" si="61"/>
        <v/>
      </c>
      <c r="O163" s="240"/>
      <c r="P163" s="229">
        <f t="shared" ca="1" si="68"/>
        <v>1.1093981560180386E-2</v>
      </c>
      <c r="Q163" s="229" t="str">
        <f t="shared" si="69"/>
        <v/>
      </c>
      <c r="R163" s="229" t="str">
        <f t="shared" si="62"/>
        <v/>
      </c>
      <c r="S163" s="239"/>
      <c r="T163" s="229" t="str">
        <f t="shared" si="63"/>
        <v/>
      </c>
      <c r="U163" s="229" t="str">
        <f t="shared" si="64"/>
        <v/>
      </c>
      <c r="V163" s="229" t="str">
        <f t="shared" si="65"/>
        <v/>
      </c>
    </row>
    <row r="164" spans="1:22" ht="15" customHeight="1" x14ac:dyDescent="0.25">
      <c r="A164" s="205">
        <f t="shared" si="50"/>
        <v>2039</v>
      </c>
      <c r="B164" s="207">
        <f t="shared" ca="1" si="66"/>
        <v>4.144669879826405</v>
      </c>
      <c r="C164" s="207" t="str">
        <f t="shared" si="51"/>
        <v/>
      </c>
      <c r="D164" s="207" t="str">
        <f t="shared" si="52"/>
        <v/>
      </c>
      <c r="E164" s="234" t="str">
        <f t="shared" si="53"/>
        <v/>
      </c>
      <c r="F164" s="206" t="str">
        <f t="shared" si="67"/>
        <v/>
      </c>
      <c r="G164" s="207" t="str">
        <f t="shared" si="54"/>
        <v/>
      </c>
      <c r="H164" s="207" t="str">
        <f t="shared" si="55"/>
        <v/>
      </c>
      <c r="I164" s="234" t="str">
        <f t="shared" si="56"/>
        <v/>
      </c>
      <c r="J164" s="600" t="str">
        <f t="shared" ca="1" si="57"/>
        <v/>
      </c>
      <c r="K164" s="232" t="str">
        <f t="shared" si="58"/>
        <v/>
      </c>
      <c r="L164" s="232" t="str">
        <f t="shared" si="59"/>
        <v/>
      </c>
      <c r="M164" s="207" t="str">
        <f t="shared" si="60"/>
        <v/>
      </c>
      <c r="N164" s="235" t="str">
        <f t="shared" si="61"/>
        <v/>
      </c>
      <c r="O164" s="240"/>
      <c r="P164" s="229">
        <f t="shared" ca="1" si="68"/>
        <v>1.1093981560180386E-2</v>
      </c>
      <c r="Q164" s="229" t="str">
        <f t="shared" si="69"/>
        <v/>
      </c>
      <c r="R164" s="229" t="str">
        <f t="shared" si="62"/>
        <v/>
      </c>
      <c r="S164" s="239"/>
      <c r="T164" s="229" t="str">
        <f t="shared" si="63"/>
        <v/>
      </c>
      <c r="U164" s="229" t="str">
        <f t="shared" si="64"/>
        <v/>
      </c>
      <c r="V164" s="229" t="str">
        <f t="shared" si="65"/>
        <v/>
      </c>
    </row>
    <row r="165" spans="1:22" ht="15" customHeight="1" x14ac:dyDescent="0.25">
      <c r="A165" s="205">
        <f t="shared" si="50"/>
        <v>2040</v>
      </c>
      <c r="B165" s="207">
        <f t="shared" ca="1" si="66"/>
        <v>4.1349517187421192</v>
      </c>
      <c r="C165" s="207" t="str">
        <f t="shared" si="51"/>
        <v/>
      </c>
      <c r="D165" s="207" t="str">
        <f t="shared" si="52"/>
        <v/>
      </c>
      <c r="E165" s="234" t="str">
        <f t="shared" si="53"/>
        <v/>
      </c>
      <c r="F165" s="206" t="str">
        <f t="shared" si="67"/>
        <v/>
      </c>
      <c r="G165" s="207" t="str">
        <f t="shared" si="54"/>
        <v/>
      </c>
      <c r="H165" s="207" t="str">
        <f t="shared" si="55"/>
        <v/>
      </c>
      <c r="I165" s="234" t="str">
        <f t="shared" si="56"/>
        <v/>
      </c>
      <c r="J165" s="600" t="str">
        <f t="shared" ca="1" si="57"/>
        <v/>
      </c>
      <c r="K165" s="232" t="str">
        <f t="shared" si="58"/>
        <v/>
      </c>
      <c r="L165" s="232" t="str">
        <f t="shared" si="59"/>
        <v/>
      </c>
      <c r="M165" s="207" t="str">
        <f t="shared" si="60"/>
        <v/>
      </c>
      <c r="N165" s="235" t="str">
        <f t="shared" si="61"/>
        <v/>
      </c>
      <c r="O165" s="240"/>
      <c r="P165" s="229">
        <f t="shared" ca="1" si="68"/>
        <v>1.1093981560180386E-2</v>
      </c>
      <c r="Q165" s="229" t="str">
        <f t="shared" si="69"/>
        <v/>
      </c>
      <c r="R165" s="229" t="str">
        <f t="shared" si="62"/>
        <v/>
      </c>
      <c r="S165" s="239"/>
      <c r="T165" s="229" t="str">
        <f t="shared" si="63"/>
        <v/>
      </c>
      <c r="U165" s="229" t="str">
        <f t="shared" si="64"/>
        <v/>
      </c>
      <c r="V165" s="229" t="str">
        <f t="shared" si="65"/>
        <v/>
      </c>
    </row>
    <row r="166" spans="1:22" ht="15" customHeight="1" x14ac:dyDescent="0.25">
      <c r="A166" s="205">
        <f t="shared" si="50"/>
        <v>2041</v>
      </c>
      <c r="B166" s="207">
        <f t="shared" ca="1" si="66"/>
        <v>4.1227911078403441</v>
      </c>
      <c r="C166" s="207" t="str">
        <f t="shared" si="51"/>
        <v/>
      </c>
      <c r="D166" s="207" t="str">
        <f t="shared" si="52"/>
        <v/>
      </c>
      <c r="E166" s="234" t="str">
        <f t="shared" si="53"/>
        <v/>
      </c>
      <c r="F166" s="206" t="str">
        <f t="shared" si="67"/>
        <v/>
      </c>
      <c r="G166" s="207" t="str">
        <f t="shared" si="54"/>
        <v/>
      </c>
      <c r="H166" s="207" t="str">
        <f t="shared" si="55"/>
        <v/>
      </c>
      <c r="I166" s="234" t="str">
        <f t="shared" si="56"/>
        <v/>
      </c>
      <c r="J166" s="600" t="str">
        <f t="shared" ca="1" si="57"/>
        <v/>
      </c>
      <c r="K166" s="232" t="str">
        <f t="shared" si="58"/>
        <v/>
      </c>
      <c r="L166" s="232" t="str">
        <f t="shared" si="59"/>
        <v/>
      </c>
      <c r="M166" s="207" t="str">
        <f t="shared" si="60"/>
        <v/>
      </c>
      <c r="N166" s="235" t="str">
        <f t="shared" si="61"/>
        <v/>
      </c>
      <c r="O166" s="240"/>
      <c r="P166" s="229">
        <f t="shared" ca="1" si="68"/>
        <v>1.1093981560180386E-2</v>
      </c>
      <c r="Q166" s="229" t="str">
        <f t="shared" si="69"/>
        <v/>
      </c>
      <c r="R166" s="229" t="str">
        <f t="shared" si="62"/>
        <v/>
      </c>
      <c r="S166" s="239"/>
      <c r="T166" s="229" t="str">
        <f t="shared" si="63"/>
        <v/>
      </c>
      <c r="U166" s="229" t="str">
        <f t="shared" si="64"/>
        <v/>
      </c>
      <c r="V166" s="229" t="str">
        <f t="shared" si="65"/>
        <v/>
      </c>
    </row>
    <row r="167" spans="1:22" ht="15" customHeight="1" x14ac:dyDescent="0.25">
      <c r="A167" s="205">
        <f t="shared" si="50"/>
        <v>2042</v>
      </c>
      <c r="B167" s="207">
        <f t="shared" ca="1" si="66"/>
        <v>4.1275729129285725</v>
      </c>
      <c r="C167" s="207" t="str">
        <f t="shared" si="51"/>
        <v/>
      </c>
      <c r="D167" s="207" t="str">
        <f t="shared" si="52"/>
        <v/>
      </c>
      <c r="E167" s="234" t="str">
        <f t="shared" si="53"/>
        <v/>
      </c>
      <c r="F167" s="206" t="str">
        <f t="shared" si="67"/>
        <v/>
      </c>
      <c r="G167" s="207" t="str">
        <f t="shared" si="54"/>
        <v/>
      </c>
      <c r="H167" s="207" t="str">
        <f t="shared" si="55"/>
        <v/>
      </c>
      <c r="I167" s="234" t="str">
        <f t="shared" si="56"/>
        <v/>
      </c>
      <c r="J167" s="600" t="str">
        <f t="shared" ca="1" si="57"/>
        <v/>
      </c>
      <c r="K167" s="232" t="str">
        <f t="shared" si="58"/>
        <v/>
      </c>
      <c r="L167" s="232" t="str">
        <f t="shared" si="59"/>
        <v/>
      </c>
      <c r="M167" s="207" t="str">
        <f t="shared" si="60"/>
        <v/>
      </c>
      <c r="N167" s="235" t="str">
        <f t="shared" si="61"/>
        <v/>
      </c>
      <c r="O167" s="240"/>
      <c r="P167" s="229">
        <f t="shared" ca="1" si="68"/>
        <v>1.1093981560180386E-2</v>
      </c>
      <c r="Q167" s="229" t="str">
        <f t="shared" si="69"/>
        <v/>
      </c>
      <c r="R167" s="229" t="str">
        <f t="shared" si="62"/>
        <v/>
      </c>
      <c r="S167" s="239"/>
      <c r="T167" s="229" t="str">
        <f t="shared" si="63"/>
        <v/>
      </c>
      <c r="U167" s="229" t="str">
        <f t="shared" si="64"/>
        <v/>
      </c>
      <c r="V167" s="229" t="str">
        <f t="shared" si="65"/>
        <v/>
      </c>
    </row>
    <row r="168" spans="1:22" ht="15" customHeight="1" x14ac:dyDescent="0.25">
      <c r="A168" s="205">
        <f t="shared" si="50"/>
        <v>2043</v>
      </c>
      <c r="B168" s="207">
        <f t="shared" ca="1" si="66"/>
        <v>4.140169357390425</v>
      </c>
      <c r="C168" s="207" t="str">
        <f t="shared" si="51"/>
        <v/>
      </c>
      <c r="D168" s="207" t="str">
        <f t="shared" si="52"/>
        <v/>
      </c>
      <c r="E168" s="234" t="str">
        <f t="shared" si="53"/>
        <v/>
      </c>
      <c r="F168" s="206" t="str">
        <f t="shared" si="67"/>
        <v/>
      </c>
      <c r="G168" s="207" t="str">
        <f t="shared" si="54"/>
        <v/>
      </c>
      <c r="H168" s="207" t="str">
        <f t="shared" si="55"/>
        <v/>
      </c>
      <c r="I168" s="234" t="str">
        <f t="shared" si="56"/>
        <v/>
      </c>
      <c r="J168" s="600" t="str">
        <f t="shared" ca="1" si="57"/>
        <v/>
      </c>
      <c r="K168" s="232" t="str">
        <f t="shared" si="58"/>
        <v/>
      </c>
      <c r="L168" s="232" t="str">
        <f t="shared" si="59"/>
        <v/>
      </c>
      <c r="M168" s="207" t="str">
        <f t="shared" si="60"/>
        <v/>
      </c>
      <c r="N168" s="235" t="str">
        <f t="shared" si="61"/>
        <v/>
      </c>
      <c r="O168" s="240"/>
      <c r="P168" s="229">
        <f t="shared" ca="1" si="68"/>
        <v>1.1093981560180386E-2</v>
      </c>
      <c r="Q168" s="229" t="str">
        <f t="shared" si="69"/>
        <v/>
      </c>
      <c r="R168" s="229" t="str">
        <f t="shared" si="62"/>
        <v/>
      </c>
      <c r="S168" s="239"/>
      <c r="T168" s="229" t="str">
        <f t="shared" si="63"/>
        <v/>
      </c>
      <c r="U168" s="229" t="str">
        <f t="shared" si="64"/>
        <v/>
      </c>
      <c r="V168" s="229" t="str">
        <f t="shared" si="65"/>
        <v/>
      </c>
    </row>
    <row r="169" spans="1:22" ht="15" customHeight="1" x14ac:dyDescent="0.25">
      <c r="A169" s="205">
        <f t="shared" si="50"/>
        <v>2044</v>
      </c>
      <c r="B169" s="207">
        <f t="shared" ca="1" si="66"/>
        <v>4.1557689987282922</v>
      </c>
      <c r="C169" s="207" t="str">
        <f t="shared" si="51"/>
        <v/>
      </c>
      <c r="D169" s="207" t="str">
        <f t="shared" si="52"/>
        <v/>
      </c>
      <c r="E169" s="234" t="str">
        <f t="shared" si="53"/>
        <v/>
      </c>
      <c r="F169" s="206" t="str">
        <f t="shared" si="67"/>
        <v/>
      </c>
      <c r="G169" s="207" t="str">
        <f t="shared" si="54"/>
        <v/>
      </c>
      <c r="H169" s="207" t="str">
        <f t="shared" si="55"/>
        <v/>
      </c>
      <c r="I169" s="234" t="str">
        <f t="shared" si="56"/>
        <v/>
      </c>
      <c r="J169" s="600" t="str">
        <f t="shared" ca="1" si="57"/>
        <v/>
      </c>
      <c r="K169" s="232" t="str">
        <f t="shared" si="58"/>
        <v/>
      </c>
      <c r="L169" s="232" t="str">
        <f t="shared" si="59"/>
        <v/>
      </c>
      <c r="M169" s="207" t="str">
        <f t="shared" si="60"/>
        <v/>
      </c>
      <c r="N169" s="235" t="str">
        <f t="shared" si="61"/>
        <v/>
      </c>
      <c r="O169" s="240"/>
      <c r="P169" s="229">
        <f t="shared" ca="1" si="68"/>
        <v>1.1093981560180386E-2</v>
      </c>
      <c r="Q169" s="229" t="str">
        <f t="shared" si="69"/>
        <v/>
      </c>
      <c r="R169" s="229" t="str">
        <f t="shared" si="62"/>
        <v/>
      </c>
      <c r="S169" s="239"/>
      <c r="T169" s="229" t="str">
        <f t="shared" si="63"/>
        <v/>
      </c>
      <c r="U169" s="229" t="str">
        <f t="shared" si="64"/>
        <v/>
      </c>
      <c r="V169" s="229" t="str">
        <f t="shared" si="65"/>
        <v/>
      </c>
    </row>
    <row r="170" spans="1:22" ht="15" customHeight="1" x14ac:dyDescent="0.25">
      <c r="A170" s="205">
        <f t="shared" si="50"/>
        <v>2045</v>
      </c>
      <c r="B170" s="207">
        <f t="shared" ca="1" si="66"/>
        <v>4.1709498980182405</v>
      </c>
      <c r="C170" s="207" t="str">
        <f t="shared" si="51"/>
        <v/>
      </c>
      <c r="D170" s="207" t="str">
        <f t="shared" si="52"/>
        <v/>
      </c>
      <c r="E170" s="234" t="str">
        <f t="shared" si="53"/>
        <v/>
      </c>
      <c r="F170" s="206" t="str">
        <f t="shared" si="67"/>
        <v/>
      </c>
      <c r="G170" s="207" t="str">
        <f t="shared" si="54"/>
        <v/>
      </c>
      <c r="H170" s="207" t="str">
        <f t="shared" si="55"/>
        <v/>
      </c>
      <c r="I170" s="234" t="str">
        <f t="shared" si="56"/>
        <v/>
      </c>
      <c r="J170" s="600" t="str">
        <f t="shared" ca="1" si="57"/>
        <v/>
      </c>
      <c r="K170" s="232" t="str">
        <f t="shared" si="58"/>
        <v/>
      </c>
      <c r="L170" s="232" t="str">
        <f t="shared" si="59"/>
        <v/>
      </c>
      <c r="M170" s="207" t="str">
        <f t="shared" si="60"/>
        <v/>
      </c>
      <c r="N170" s="235" t="str">
        <f t="shared" si="61"/>
        <v/>
      </c>
      <c r="O170" s="240"/>
      <c r="P170" s="229">
        <f t="shared" ca="1" si="68"/>
        <v>1.1093981560180386E-2</v>
      </c>
      <c r="Q170" s="229" t="str">
        <f t="shared" si="69"/>
        <v/>
      </c>
      <c r="R170" s="229" t="str">
        <f t="shared" si="62"/>
        <v/>
      </c>
      <c r="S170" s="239"/>
      <c r="T170" s="229" t="str">
        <f t="shared" si="63"/>
        <v/>
      </c>
      <c r="U170" s="229" t="str">
        <f t="shared" si="64"/>
        <v/>
      </c>
      <c r="V170" s="229" t="str">
        <f t="shared" si="65"/>
        <v/>
      </c>
    </row>
    <row r="171" spans="1:22" ht="15" customHeight="1" x14ac:dyDescent="0.25">
      <c r="A171" s="205">
        <f t="shared" si="50"/>
        <v>2046</v>
      </c>
      <c r="B171" s="207">
        <f t="shared" ca="1" si="66"/>
        <v>4.1863844426216259</v>
      </c>
      <c r="C171" s="207" t="str">
        <f t="shared" si="51"/>
        <v/>
      </c>
      <c r="D171" s="207" t="str">
        <f t="shared" si="52"/>
        <v/>
      </c>
      <c r="E171" s="234" t="str">
        <f t="shared" si="53"/>
        <v/>
      </c>
      <c r="F171" s="206" t="str">
        <f t="shared" si="67"/>
        <v/>
      </c>
      <c r="G171" s="207" t="str">
        <f t="shared" si="54"/>
        <v/>
      </c>
      <c r="H171" s="207" t="str">
        <f t="shared" si="55"/>
        <v/>
      </c>
      <c r="I171" s="234" t="str">
        <f t="shared" si="56"/>
        <v/>
      </c>
      <c r="J171" s="600" t="str">
        <f t="shared" ca="1" si="57"/>
        <v/>
      </c>
      <c r="K171" s="232" t="str">
        <f t="shared" si="58"/>
        <v/>
      </c>
      <c r="L171" s="232" t="str">
        <f t="shared" si="59"/>
        <v/>
      </c>
      <c r="M171" s="207" t="str">
        <f t="shared" si="60"/>
        <v/>
      </c>
      <c r="N171" s="235" t="str">
        <f t="shared" si="61"/>
        <v/>
      </c>
      <c r="O171" s="240"/>
      <c r="P171" s="229">
        <f t="shared" ca="1" si="68"/>
        <v>1.1093981560180386E-2</v>
      </c>
      <c r="Q171" s="229" t="str">
        <f t="shared" si="69"/>
        <v/>
      </c>
      <c r="R171" s="229" t="str">
        <f t="shared" si="62"/>
        <v/>
      </c>
      <c r="S171" s="239"/>
      <c r="T171" s="229" t="str">
        <f t="shared" si="63"/>
        <v/>
      </c>
      <c r="U171" s="229" t="str">
        <f t="shared" si="64"/>
        <v/>
      </c>
      <c r="V171" s="229" t="str">
        <f t="shared" si="65"/>
        <v/>
      </c>
    </row>
    <row r="172" spans="1:22" ht="15" customHeight="1" x14ac:dyDescent="0.25">
      <c r="A172" s="205">
        <f t="shared" si="50"/>
        <v>2047</v>
      </c>
      <c r="B172" s="207">
        <f t="shared" ca="1" si="66"/>
        <v>4.2002349313320639</v>
      </c>
      <c r="C172" s="207" t="str">
        <f t="shared" si="51"/>
        <v/>
      </c>
      <c r="D172" s="207" t="str">
        <f t="shared" si="52"/>
        <v/>
      </c>
      <c r="E172" s="234" t="str">
        <f t="shared" si="53"/>
        <v/>
      </c>
      <c r="F172" s="206" t="str">
        <f t="shared" si="67"/>
        <v/>
      </c>
      <c r="G172" s="207" t="str">
        <f t="shared" si="54"/>
        <v/>
      </c>
      <c r="H172" s="207" t="str">
        <f t="shared" si="55"/>
        <v/>
      </c>
      <c r="I172" s="234" t="str">
        <f t="shared" si="56"/>
        <v/>
      </c>
      <c r="J172" s="600" t="str">
        <f t="shared" ca="1" si="57"/>
        <v/>
      </c>
      <c r="K172" s="232" t="str">
        <f t="shared" si="58"/>
        <v/>
      </c>
      <c r="L172" s="232" t="str">
        <f t="shared" si="59"/>
        <v/>
      </c>
      <c r="M172" s="207" t="str">
        <f t="shared" si="60"/>
        <v/>
      </c>
      <c r="N172" s="235" t="str">
        <f t="shared" si="61"/>
        <v/>
      </c>
      <c r="O172" s="240"/>
      <c r="P172" s="229">
        <f t="shared" ca="1" si="68"/>
        <v>1.1093981560180386E-2</v>
      </c>
      <c r="Q172" s="229" t="str">
        <f t="shared" si="69"/>
        <v/>
      </c>
      <c r="R172" s="229" t="str">
        <f t="shared" si="62"/>
        <v/>
      </c>
      <c r="S172" s="239"/>
      <c r="T172" s="229" t="str">
        <f t="shared" si="63"/>
        <v/>
      </c>
      <c r="U172" s="229" t="str">
        <f t="shared" si="64"/>
        <v/>
      </c>
      <c r="V172" s="229" t="str">
        <f t="shared" si="65"/>
        <v/>
      </c>
    </row>
    <row r="173" spans="1:22" ht="15" customHeight="1" x14ac:dyDescent="0.25">
      <c r="A173" s="205">
        <f t="shared" si="50"/>
        <v>2048</v>
      </c>
      <c r="B173" s="207">
        <f t="shared" ca="1" si="66"/>
        <v>4.2158147537888082</v>
      </c>
      <c r="C173" s="207" t="str">
        <f t="shared" si="51"/>
        <v/>
      </c>
      <c r="D173" s="207" t="str">
        <f t="shared" si="52"/>
        <v/>
      </c>
      <c r="E173" s="234" t="str">
        <f t="shared" si="53"/>
        <v/>
      </c>
      <c r="F173" s="206" t="str">
        <f t="shared" si="67"/>
        <v/>
      </c>
      <c r="G173" s="207" t="str">
        <f t="shared" si="54"/>
        <v/>
      </c>
      <c r="H173" s="207" t="str">
        <f t="shared" si="55"/>
        <v/>
      </c>
      <c r="I173" s="234" t="str">
        <f t="shared" si="56"/>
        <v/>
      </c>
      <c r="J173" s="600" t="str">
        <f t="shared" ca="1" si="57"/>
        <v/>
      </c>
      <c r="K173" s="232" t="str">
        <f t="shared" si="58"/>
        <v/>
      </c>
      <c r="L173" s="232" t="str">
        <f t="shared" si="59"/>
        <v/>
      </c>
      <c r="M173" s="207" t="str">
        <f t="shared" si="60"/>
        <v/>
      </c>
      <c r="N173" s="235" t="str">
        <f t="shared" si="61"/>
        <v/>
      </c>
      <c r="O173" s="240"/>
      <c r="P173" s="229">
        <f t="shared" ca="1" si="68"/>
        <v>1.1093981560180386E-2</v>
      </c>
      <c r="Q173" s="229" t="str">
        <f t="shared" si="69"/>
        <v/>
      </c>
      <c r="R173" s="229" t="str">
        <f t="shared" si="62"/>
        <v/>
      </c>
      <c r="S173" s="239"/>
      <c r="T173" s="229" t="str">
        <f t="shared" si="63"/>
        <v/>
      </c>
      <c r="U173" s="229" t="str">
        <f t="shared" si="64"/>
        <v/>
      </c>
      <c r="V173" s="229" t="str">
        <f t="shared" si="65"/>
        <v/>
      </c>
    </row>
    <row r="174" spans="1:22" ht="15" customHeight="1" x14ac:dyDescent="0.25">
      <c r="A174" s="205">
        <f t="shared" si="50"/>
        <v>2049</v>
      </c>
      <c r="B174" s="207">
        <f t="shared" ca="1" si="66"/>
        <v>4.229313048253994</v>
      </c>
      <c r="C174" s="207" t="str">
        <f t="shared" si="51"/>
        <v/>
      </c>
      <c r="D174" s="207" t="str">
        <f t="shared" si="52"/>
        <v/>
      </c>
      <c r="E174" s="234" t="str">
        <f t="shared" si="53"/>
        <v/>
      </c>
      <c r="F174" s="206" t="str">
        <f t="shared" si="67"/>
        <v/>
      </c>
      <c r="G174" s="207" t="str">
        <f t="shared" si="54"/>
        <v/>
      </c>
      <c r="H174" s="207" t="str">
        <f t="shared" si="55"/>
        <v/>
      </c>
      <c r="I174" s="234" t="str">
        <f t="shared" si="56"/>
        <v/>
      </c>
      <c r="J174" s="600" t="str">
        <f t="shared" ca="1" si="57"/>
        <v/>
      </c>
      <c r="K174" s="232" t="str">
        <f t="shared" si="58"/>
        <v/>
      </c>
      <c r="L174" s="232" t="str">
        <f t="shared" si="59"/>
        <v/>
      </c>
      <c r="M174" s="207" t="str">
        <f t="shared" si="60"/>
        <v/>
      </c>
      <c r="N174" s="235" t="str">
        <f t="shared" si="61"/>
        <v/>
      </c>
      <c r="O174" s="240"/>
      <c r="P174" s="229">
        <f t="shared" ca="1" si="68"/>
        <v>1.1093981560180386E-2</v>
      </c>
      <c r="Q174" s="229" t="str">
        <f t="shared" si="69"/>
        <v/>
      </c>
      <c r="R174" s="229" t="str">
        <f t="shared" si="62"/>
        <v/>
      </c>
      <c r="S174" s="239"/>
      <c r="T174" s="229" t="str">
        <f t="shared" si="63"/>
        <v/>
      </c>
      <c r="U174" s="229" t="str">
        <f t="shared" si="64"/>
        <v/>
      </c>
      <c r="V174" s="229" t="str">
        <f t="shared" si="65"/>
        <v/>
      </c>
    </row>
    <row r="175" spans="1:22" ht="15" customHeight="1" x14ac:dyDescent="0.25">
      <c r="A175" s="205">
        <f t="shared" si="50"/>
        <v>2050</v>
      </c>
      <c r="B175" s="207">
        <f t="shared" ca="1" si="66"/>
        <v>4.2423993281813654</v>
      </c>
      <c r="C175" s="207" t="str">
        <f t="shared" si="51"/>
        <v/>
      </c>
      <c r="D175" s="207" t="str">
        <f t="shared" si="52"/>
        <v/>
      </c>
      <c r="E175" s="234" t="str">
        <f t="shared" si="53"/>
        <v/>
      </c>
      <c r="F175" s="206" t="str">
        <f t="shared" si="67"/>
        <v/>
      </c>
      <c r="G175" s="207" t="str">
        <f t="shared" si="54"/>
        <v/>
      </c>
      <c r="H175" s="207" t="str">
        <f t="shared" si="55"/>
        <v/>
      </c>
      <c r="I175" s="234" t="str">
        <f t="shared" si="56"/>
        <v/>
      </c>
      <c r="J175" s="600" t="str">
        <f t="shared" ca="1" si="57"/>
        <v/>
      </c>
      <c r="K175" s="232" t="str">
        <f t="shared" si="58"/>
        <v/>
      </c>
      <c r="L175" s="232" t="str">
        <f t="shared" si="59"/>
        <v/>
      </c>
      <c r="M175" s="207" t="str">
        <f t="shared" si="60"/>
        <v/>
      </c>
      <c r="N175" s="235" t="str">
        <f t="shared" si="61"/>
        <v/>
      </c>
      <c r="O175" s="240"/>
      <c r="P175" s="229">
        <f t="shared" ca="1" si="68"/>
        <v>1.1093981560180386E-2</v>
      </c>
      <c r="Q175" s="229" t="str">
        <f t="shared" si="69"/>
        <v/>
      </c>
      <c r="R175" s="229" t="str">
        <f t="shared" si="62"/>
        <v/>
      </c>
      <c r="S175" s="239"/>
      <c r="T175" s="229" t="str">
        <f t="shared" si="63"/>
        <v/>
      </c>
      <c r="U175" s="229" t="str">
        <f t="shared" si="64"/>
        <v/>
      </c>
      <c r="V175" s="229" t="str">
        <f t="shared" si="65"/>
        <v/>
      </c>
    </row>
    <row r="176" spans="1:22" ht="15" customHeight="1" x14ac:dyDescent="0.25">
      <c r="A176" s="205">
        <f t="shared" si="50"/>
        <v>2051</v>
      </c>
      <c r="B176" s="207">
        <f t="shared" ca="1" si="66"/>
        <v>4.2462469951820268</v>
      </c>
      <c r="C176" s="207" t="str">
        <f t="shared" si="51"/>
        <v/>
      </c>
      <c r="D176" s="207" t="str">
        <f t="shared" si="52"/>
        <v/>
      </c>
      <c r="E176" s="234" t="str">
        <f t="shared" si="53"/>
        <v/>
      </c>
      <c r="F176" s="206" t="str">
        <f t="shared" si="67"/>
        <v/>
      </c>
      <c r="G176" s="207" t="str">
        <f t="shared" si="54"/>
        <v/>
      </c>
      <c r="H176" s="207" t="str">
        <f t="shared" si="55"/>
        <v/>
      </c>
      <c r="I176" s="234" t="str">
        <f t="shared" si="56"/>
        <v/>
      </c>
      <c r="J176" s="600" t="str">
        <f t="shared" ca="1" si="57"/>
        <v/>
      </c>
      <c r="K176" s="232" t="str">
        <f t="shared" si="58"/>
        <v/>
      </c>
      <c r="L176" s="232" t="str">
        <f t="shared" si="59"/>
        <v/>
      </c>
      <c r="M176" s="207" t="str">
        <f t="shared" si="60"/>
        <v/>
      </c>
      <c r="N176" s="235" t="str">
        <f t="shared" si="61"/>
        <v/>
      </c>
      <c r="O176" s="240"/>
      <c r="P176" s="229">
        <f t="shared" ca="1" si="68"/>
        <v>1.1093981560180386E-2</v>
      </c>
      <c r="Q176" s="229" t="str">
        <f t="shared" si="69"/>
        <v/>
      </c>
      <c r="R176" s="229" t="str">
        <f t="shared" si="62"/>
        <v/>
      </c>
      <c r="S176" s="239"/>
      <c r="T176" s="229" t="str">
        <f t="shared" si="63"/>
        <v/>
      </c>
      <c r="U176" s="229" t="str">
        <f t="shared" si="64"/>
        <v/>
      </c>
      <c r="V176" s="229" t="str">
        <f t="shared" si="65"/>
        <v/>
      </c>
    </row>
    <row r="177" spans="1:22" ht="15" customHeight="1" x14ac:dyDescent="0.25">
      <c r="A177" s="205">
        <f t="shared" si="50"/>
        <v>2052</v>
      </c>
      <c r="B177" s="207">
        <f t="shared" ca="1" si="66"/>
        <v>4.2500981518450711</v>
      </c>
      <c r="C177" s="207" t="str">
        <f t="shared" si="51"/>
        <v/>
      </c>
      <c r="D177" s="207" t="str">
        <f t="shared" si="52"/>
        <v/>
      </c>
      <c r="E177" s="234" t="str">
        <f t="shared" si="53"/>
        <v/>
      </c>
      <c r="F177" s="206" t="str">
        <f t="shared" si="67"/>
        <v/>
      </c>
      <c r="G177" s="207" t="str">
        <f t="shared" si="54"/>
        <v/>
      </c>
      <c r="H177" s="207" t="str">
        <f t="shared" si="55"/>
        <v/>
      </c>
      <c r="I177" s="234" t="str">
        <f t="shared" si="56"/>
        <v/>
      </c>
      <c r="J177" s="600" t="str">
        <f t="shared" ca="1" si="57"/>
        <v/>
      </c>
      <c r="K177" s="232" t="str">
        <f t="shared" si="58"/>
        <v/>
      </c>
      <c r="L177" s="232" t="str">
        <f t="shared" si="59"/>
        <v/>
      </c>
      <c r="M177" s="207" t="str">
        <f t="shared" si="60"/>
        <v/>
      </c>
      <c r="N177" s="235" t="str">
        <f t="shared" si="61"/>
        <v/>
      </c>
      <c r="O177" s="240"/>
      <c r="P177" s="229">
        <f t="shared" ca="1" si="68"/>
        <v>1.1093981560180386E-2</v>
      </c>
      <c r="Q177" s="229" t="str">
        <f t="shared" si="69"/>
        <v/>
      </c>
      <c r="R177" s="229" t="str">
        <f t="shared" si="62"/>
        <v/>
      </c>
      <c r="S177" s="239"/>
      <c r="T177" s="229" t="str">
        <f t="shared" si="63"/>
        <v/>
      </c>
      <c r="U177" s="229" t="str">
        <f t="shared" si="64"/>
        <v/>
      </c>
      <c r="V177" s="229" t="str">
        <f t="shared" si="65"/>
        <v/>
      </c>
    </row>
    <row r="178" spans="1:22" ht="15" customHeight="1" x14ac:dyDescent="0.25">
      <c r="A178" s="205">
        <f t="shared" si="50"/>
        <v>2053</v>
      </c>
      <c r="B178" s="207">
        <f t="shared" ca="1" si="66"/>
        <v>4.2539528013354655</v>
      </c>
      <c r="C178" s="207" t="str">
        <f t="shared" si="51"/>
        <v/>
      </c>
      <c r="D178" s="207" t="str">
        <f t="shared" si="52"/>
        <v/>
      </c>
      <c r="E178" s="234" t="str">
        <f t="shared" si="53"/>
        <v/>
      </c>
      <c r="F178" s="206" t="str">
        <f t="shared" si="67"/>
        <v/>
      </c>
      <c r="G178" s="207" t="str">
        <f t="shared" si="54"/>
        <v/>
      </c>
      <c r="H178" s="207" t="str">
        <f t="shared" si="55"/>
        <v/>
      </c>
      <c r="I178" s="234" t="str">
        <f t="shared" si="56"/>
        <v/>
      </c>
      <c r="J178" s="600" t="str">
        <f t="shared" ca="1" si="57"/>
        <v/>
      </c>
      <c r="K178" s="232" t="str">
        <f t="shared" si="58"/>
        <v/>
      </c>
      <c r="L178" s="232" t="str">
        <f t="shared" si="59"/>
        <v/>
      </c>
      <c r="M178" s="207" t="str">
        <f t="shared" si="60"/>
        <v/>
      </c>
      <c r="N178" s="235" t="str">
        <f t="shared" si="61"/>
        <v/>
      </c>
      <c r="O178" s="240"/>
      <c r="P178" s="229">
        <f t="shared" ca="1" si="68"/>
        <v>1.1093981560180386E-2</v>
      </c>
      <c r="Q178" s="229" t="str">
        <f t="shared" si="69"/>
        <v/>
      </c>
      <c r="R178" s="229" t="str">
        <f t="shared" si="62"/>
        <v/>
      </c>
      <c r="S178" s="239"/>
      <c r="T178" s="229" t="str">
        <f t="shared" si="63"/>
        <v/>
      </c>
      <c r="U178" s="229" t="str">
        <f t="shared" si="64"/>
        <v/>
      </c>
      <c r="V178" s="229" t="str">
        <f t="shared" si="65"/>
        <v/>
      </c>
    </row>
    <row r="179" spans="1:22" ht="15" customHeight="1" x14ac:dyDescent="0.25">
      <c r="A179" s="205">
        <f t="shared" si="50"/>
        <v>2054</v>
      </c>
      <c r="B179" s="207">
        <f t="shared" ca="1" si="66"/>
        <v>4.2578109468210501</v>
      </c>
      <c r="C179" s="207" t="str">
        <f t="shared" si="51"/>
        <v/>
      </c>
      <c r="D179" s="207" t="str">
        <f t="shared" si="52"/>
        <v/>
      </c>
      <c r="E179" s="234" t="str">
        <f t="shared" si="53"/>
        <v/>
      </c>
      <c r="F179" s="206" t="str">
        <f t="shared" si="67"/>
        <v/>
      </c>
      <c r="G179" s="207" t="str">
        <f t="shared" si="54"/>
        <v/>
      </c>
      <c r="H179" s="207" t="str">
        <f t="shared" si="55"/>
        <v/>
      </c>
      <c r="I179" s="234" t="str">
        <f t="shared" si="56"/>
        <v/>
      </c>
      <c r="J179" s="600" t="str">
        <f t="shared" ca="1" si="57"/>
        <v/>
      </c>
      <c r="K179" s="232" t="str">
        <f t="shared" si="58"/>
        <v/>
      </c>
      <c r="L179" s="232" t="str">
        <f t="shared" si="59"/>
        <v/>
      </c>
      <c r="M179" s="207" t="str">
        <f t="shared" si="60"/>
        <v/>
      </c>
      <c r="N179" s="235" t="str">
        <f t="shared" si="61"/>
        <v/>
      </c>
      <c r="O179" s="240"/>
      <c r="P179" s="229">
        <f t="shared" ca="1" si="68"/>
        <v>1.1093981560180386E-2</v>
      </c>
      <c r="Q179" s="229" t="str">
        <f t="shared" si="69"/>
        <v/>
      </c>
      <c r="R179" s="229" t="str">
        <f t="shared" si="62"/>
        <v/>
      </c>
      <c r="S179" s="239"/>
      <c r="T179" s="229" t="str">
        <f t="shared" si="63"/>
        <v/>
      </c>
      <c r="U179" s="229" t="str">
        <f t="shared" si="64"/>
        <v/>
      </c>
      <c r="V179" s="229" t="str">
        <f t="shared" si="65"/>
        <v/>
      </c>
    </row>
    <row r="180" spans="1:22" ht="15" customHeight="1" x14ac:dyDescent="0.25">
      <c r="A180" s="205" t="str">
        <f t="shared" si="50"/>
        <v/>
      </c>
      <c r="B180" s="207" t="str">
        <f t="shared" si="66"/>
        <v/>
      </c>
      <c r="C180" s="207" t="str">
        <f t="shared" si="51"/>
        <v/>
      </c>
      <c r="D180" s="207" t="str">
        <f t="shared" si="52"/>
        <v/>
      </c>
      <c r="E180" s="234" t="str">
        <f t="shared" si="53"/>
        <v/>
      </c>
      <c r="F180" s="206" t="str">
        <f t="shared" si="67"/>
        <v/>
      </c>
      <c r="G180" s="207" t="str">
        <f t="shared" si="54"/>
        <v/>
      </c>
      <c r="H180" s="207" t="str">
        <f t="shared" si="55"/>
        <v/>
      </c>
      <c r="I180" s="234" t="str">
        <f t="shared" si="56"/>
        <v/>
      </c>
      <c r="J180" s="600" t="str">
        <f t="shared" si="57"/>
        <v/>
      </c>
      <c r="K180" s="232" t="str">
        <f t="shared" si="58"/>
        <v/>
      </c>
      <c r="L180" s="232" t="str">
        <f t="shared" si="59"/>
        <v/>
      </c>
      <c r="M180" s="207" t="str">
        <f t="shared" si="60"/>
        <v/>
      </c>
      <c r="N180" s="235" t="str">
        <f t="shared" si="61"/>
        <v/>
      </c>
      <c r="O180" s="240"/>
      <c r="P180" s="229" t="str">
        <f t="shared" si="68"/>
        <v/>
      </c>
      <c r="Q180" s="229" t="str">
        <f t="shared" si="69"/>
        <v/>
      </c>
      <c r="R180" s="229" t="str">
        <f t="shared" si="62"/>
        <v/>
      </c>
      <c r="S180" s="239"/>
      <c r="T180" s="229" t="str">
        <f t="shared" si="63"/>
        <v/>
      </c>
      <c r="U180" s="229" t="str">
        <f t="shared" si="64"/>
        <v/>
      </c>
      <c r="V180" s="229" t="str">
        <f t="shared" si="65"/>
        <v/>
      </c>
    </row>
    <row r="181" spans="1:22" ht="15" customHeight="1" x14ac:dyDescent="0.25">
      <c r="A181" s="205" t="str">
        <f t="shared" si="50"/>
        <v/>
      </c>
      <c r="B181" s="207" t="str">
        <f t="shared" si="66"/>
        <v/>
      </c>
      <c r="C181" s="207" t="str">
        <f t="shared" si="51"/>
        <v/>
      </c>
      <c r="D181" s="207" t="str">
        <f t="shared" si="52"/>
        <v/>
      </c>
      <c r="E181" s="234" t="str">
        <f t="shared" si="53"/>
        <v/>
      </c>
      <c r="F181" s="206" t="str">
        <f t="shared" si="67"/>
        <v/>
      </c>
      <c r="G181" s="207" t="str">
        <f t="shared" si="54"/>
        <v/>
      </c>
      <c r="H181" s="207" t="str">
        <f t="shared" si="55"/>
        <v/>
      </c>
      <c r="I181" s="234" t="str">
        <f t="shared" si="56"/>
        <v/>
      </c>
      <c r="J181" s="600" t="str">
        <f t="shared" si="57"/>
        <v/>
      </c>
      <c r="K181" s="232" t="str">
        <f t="shared" si="58"/>
        <v/>
      </c>
      <c r="L181" s="232" t="str">
        <f t="shared" si="59"/>
        <v/>
      </c>
      <c r="M181" s="207" t="str">
        <f t="shared" si="60"/>
        <v/>
      </c>
      <c r="N181" s="235" t="str">
        <f t="shared" si="61"/>
        <v/>
      </c>
      <c r="O181" s="240"/>
      <c r="P181" s="229" t="str">
        <f t="shared" si="68"/>
        <v/>
      </c>
      <c r="Q181" s="229" t="str">
        <f t="shared" si="69"/>
        <v/>
      </c>
      <c r="R181" s="229" t="str">
        <f t="shared" si="62"/>
        <v/>
      </c>
      <c r="S181" s="239"/>
      <c r="T181" s="229" t="str">
        <f t="shared" si="63"/>
        <v/>
      </c>
      <c r="U181" s="229" t="str">
        <f t="shared" si="64"/>
        <v/>
      </c>
      <c r="V181" s="229" t="str">
        <f t="shared" si="65"/>
        <v/>
      </c>
    </row>
    <row r="182" spans="1:22" ht="15" customHeight="1" thickBot="1" x14ac:dyDescent="0.3">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600"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 thickBot="1" x14ac:dyDescent="0.3">
      <c r="A184" s="1079" t="s">
        <v>1187</v>
      </c>
    </row>
    <row r="185" spans="1:22" ht="13.5" thickTop="1" x14ac:dyDescent="0.3">
      <c r="A185" s="204" t="s">
        <v>1033</v>
      </c>
      <c r="B185" s="237" t="str">
        <f>IF(B$131="","",B$131&amp;" ($/year)")</f>
        <v>Industrial Electricity ($/year)</v>
      </c>
      <c r="C185" s="237" t="str">
        <f t="shared" ref="C185:N185" si="70">IF(C$131="","",C$131&amp;" ($/year)")</f>
        <v/>
      </c>
      <c r="D185" s="237" t="str">
        <f t="shared" si="70"/>
        <v/>
      </c>
      <c r="E185" s="237" t="str">
        <f t="shared" si="70"/>
        <v/>
      </c>
      <c r="F185" s="237" t="str">
        <f t="shared" si="70"/>
        <v/>
      </c>
      <c r="G185" s="237" t="str">
        <f t="shared" si="70"/>
        <v/>
      </c>
      <c r="H185" s="237" t="str">
        <f t="shared" si="70"/>
        <v/>
      </c>
      <c r="I185" s="595" t="str">
        <f t="shared" si="70"/>
        <v/>
      </c>
      <c r="J185" s="237" t="str">
        <f t="shared" ca="1" si="70"/>
        <v/>
      </c>
      <c r="K185" s="237" t="str">
        <f t="shared" si="70"/>
        <v/>
      </c>
      <c r="L185" s="237" t="str">
        <f t="shared" si="70"/>
        <v/>
      </c>
      <c r="M185" s="237" t="str">
        <f t="shared" si="70"/>
        <v/>
      </c>
      <c r="N185" s="237" t="str">
        <f t="shared" si="70"/>
        <v/>
      </c>
    </row>
    <row r="186" spans="1:22" x14ac:dyDescent="0.25">
      <c r="A186" s="205">
        <f>+A139</f>
        <v>2014</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600">
        <f t="shared" si="71"/>
        <v>0</v>
      </c>
      <c r="K186" s="232">
        <f t="shared" si="71"/>
        <v>0</v>
      </c>
      <c r="L186" s="232">
        <f t="shared" si="71"/>
        <v>0</v>
      </c>
      <c r="M186" s="207">
        <f t="shared" si="71"/>
        <v>0</v>
      </c>
      <c r="N186" s="235">
        <f t="shared" si="71"/>
        <v>0</v>
      </c>
    </row>
    <row r="187" spans="1:22" x14ac:dyDescent="0.25">
      <c r="A187" s="205">
        <f t="shared" ref="A187:A229" si="72">+A140</f>
        <v>2015</v>
      </c>
      <c r="B187" s="207">
        <f t="shared" ref="B187:N187" ca="1" si="73">IF($C66="","",IF($C66&lt;0,0,IF(AND($C66=1,start_time&lt;1),-(SUM(B140)*output_kgyear*$E66*percnt_var*start_time+SUM(B140)*output_kgyear*$E66*(1-start_time)),IF($C66&lt;=start_time,-SUM(B140)*output_kgyear*$E66*percnt_var,-SUM(B140)*output_kgyear*$E66))))</f>
        <v>-66014293.575418226</v>
      </c>
      <c r="C187" s="207">
        <f t="shared" ca="1" si="73"/>
        <v>0</v>
      </c>
      <c r="D187" s="207">
        <f t="shared" ca="1" si="73"/>
        <v>0</v>
      </c>
      <c r="E187" s="234">
        <f t="shared" ca="1" si="73"/>
        <v>0</v>
      </c>
      <c r="F187" s="206">
        <f t="shared" ca="1" si="73"/>
        <v>0</v>
      </c>
      <c r="G187" s="207">
        <f t="shared" ca="1" si="73"/>
        <v>0</v>
      </c>
      <c r="H187" s="207">
        <f t="shared" ca="1" si="73"/>
        <v>0</v>
      </c>
      <c r="I187" s="234">
        <f t="shared" ca="1" si="73"/>
        <v>0</v>
      </c>
      <c r="J187" s="600">
        <f t="shared" ca="1" si="73"/>
        <v>0</v>
      </c>
      <c r="K187" s="232">
        <f t="shared" ca="1" si="73"/>
        <v>0</v>
      </c>
      <c r="L187" s="232">
        <f t="shared" ca="1" si="73"/>
        <v>0</v>
      </c>
      <c r="M187" s="207">
        <f t="shared" ca="1" si="73"/>
        <v>0</v>
      </c>
      <c r="N187" s="235">
        <f t="shared" ca="1" si="73"/>
        <v>0</v>
      </c>
    </row>
    <row r="188" spans="1:22" x14ac:dyDescent="0.25">
      <c r="A188" s="205">
        <f t="shared" si="72"/>
        <v>2016</v>
      </c>
      <c r="B188" s="207">
        <f t="shared" ref="B188:N188" ca="1" si="74">IF($C67="","",IF($C67&lt;0,0,IF(AND($C67=1,start_time&lt;1),-(SUM(B141)*output_kgyear*$E67*percnt_var*start_time+SUM(B141)*output_kgyear*$E67*(1-start_time)),IF($C67&lt;=start_time,-SUM(B141)*output_kgyear*$E67*percnt_var,-SUM(B141)*output_kgyear*$E67))))</f>
        <v>-64980194.505540431</v>
      </c>
      <c r="C188" s="207">
        <f t="shared" ca="1" si="74"/>
        <v>0</v>
      </c>
      <c r="D188" s="207">
        <f t="shared" ca="1" si="74"/>
        <v>0</v>
      </c>
      <c r="E188" s="234">
        <f t="shared" ca="1" si="74"/>
        <v>0</v>
      </c>
      <c r="F188" s="206">
        <f t="shared" ca="1" si="74"/>
        <v>0</v>
      </c>
      <c r="G188" s="207">
        <f t="shared" ca="1" si="74"/>
        <v>0</v>
      </c>
      <c r="H188" s="207">
        <f t="shared" ca="1" si="74"/>
        <v>0</v>
      </c>
      <c r="I188" s="234">
        <f t="shared" ca="1" si="74"/>
        <v>0</v>
      </c>
      <c r="J188" s="600">
        <f t="shared" ca="1" si="74"/>
        <v>0</v>
      </c>
      <c r="K188" s="232">
        <f t="shared" ca="1" si="74"/>
        <v>0</v>
      </c>
      <c r="L188" s="232">
        <f t="shared" ca="1" si="74"/>
        <v>0</v>
      </c>
      <c r="M188" s="207">
        <f t="shared" ca="1" si="74"/>
        <v>0</v>
      </c>
      <c r="N188" s="235">
        <f t="shared" ca="1" si="74"/>
        <v>0</v>
      </c>
    </row>
    <row r="189" spans="1:22" x14ac:dyDescent="0.25">
      <c r="A189" s="205">
        <f t="shared" si="72"/>
        <v>2017</v>
      </c>
      <c r="B189" s="207">
        <f t="shared" ref="B189:N189" ca="1" si="75">IF($C68="","",IF($C68&lt;0,0,IF(AND($C68=1,start_time&lt;1),-(SUM(B142)*output_kgyear*$E68*percnt_var*start_time+SUM(B142)*output_kgyear*$E68*(1-start_time)),IF($C68&lt;=start_time,-SUM(B142)*output_kgyear*$E68*percnt_var,-SUM(B142)*output_kgyear*$E68))))</f>
        <v>-68893772.94426769</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0</v>
      </c>
      <c r="G189" s="207">
        <f t="shared" ca="1" si="75"/>
        <v>0</v>
      </c>
      <c r="H189" s="207">
        <f t="shared" ca="1" si="75"/>
        <v>0</v>
      </c>
      <c r="I189" s="234">
        <f t="shared" ca="1" si="75"/>
        <v>0</v>
      </c>
      <c r="J189" s="600">
        <f t="shared" ca="1" si="75"/>
        <v>0</v>
      </c>
      <c r="K189" s="232">
        <f t="shared" ca="1" si="75"/>
        <v>0</v>
      </c>
      <c r="L189" s="232">
        <f t="shared" ca="1" si="75"/>
        <v>0</v>
      </c>
      <c r="M189" s="207">
        <f t="shared" ca="1" si="75"/>
        <v>0</v>
      </c>
      <c r="N189" s="235">
        <f t="shared" ca="1" si="75"/>
        <v>0</v>
      </c>
    </row>
    <row r="190" spans="1:22" x14ac:dyDescent="0.25">
      <c r="A190" s="205">
        <f t="shared" si="72"/>
        <v>2018</v>
      </c>
      <c r="B190" s="207">
        <f t="shared" ref="B190:N190" ca="1" si="76">IF($C69="","",IF($C69&lt;0,0,IF(AND($C69=1,start_time&lt;1),-(SUM(B143)*output_kgyear*$E69*percnt_var*start_time+SUM(B143)*output_kgyear*$E69*(1-start_time)),IF($C69&lt;=start_time,-SUM(B143)*output_kgyear*$E69*percnt_var,-SUM(B143)*output_kgyear*$E69))))</f>
        <v>-68611653.623368025</v>
      </c>
      <c r="C190" s="207">
        <f t="shared" ca="1" si="76"/>
        <v>0</v>
      </c>
      <c r="D190" s="207">
        <f t="shared" ca="1" si="76"/>
        <v>0</v>
      </c>
      <c r="E190" s="234">
        <f t="shared" ca="1" si="76"/>
        <v>0</v>
      </c>
      <c r="F190" s="206">
        <f t="shared" ca="1" si="76"/>
        <v>0</v>
      </c>
      <c r="G190" s="207">
        <f t="shared" ca="1" si="76"/>
        <v>0</v>
      </c>
      <c r="H190" s="207">
        <f t="shared" ca="1" si="76"/>
        <v>0</v>
      </c>
      <c r="I190" s="234">
        <f t="shared" ca="1" si="76"/>
        <v>0</v>
      </c>
      <c r="J190" s="600">
        <f t="shared" ca="1" si="76"/>
        <v>0</v>
      </c>
      <c r="K190" s="232">
        <f t="shared" ca="1" si="76"/>
        <v>0</v>
      </c>
      <c r="L190" s="232">
        <f t="shared" ca="1" si="76"/>
        <v>0</v>
      </c>
      <c r="M190" s="207">
        <f t="shared" ca="1" si="76"/>
        <v>0</v>
      </c>
      <c r="N190" s="235">
        <f t="shared" ca="1" si="76"/>
        <v>0</v>
      </c>
    </row>
    <row r="191" spans="1:22" x14ac:dyDescent="0.25">
      <c r="A191" s="205">
        <f t="shared" si="72"/>
        <v>2019</v>
      </c>
      <c r="B191" s="207">
        <f t="shared" ref="B191:N191" ca="1" si="77">IF($C70="","",IF($C70&lt;0,0,IF(AND($C70=1,start_time&lt;1),-(SUM(B144)*output_kgyear*$E70*percnt_var*start_time+SUM(B144)*output_kgyear*$E70*(1-start_time)),IF($C70&lt;=start_time,-SUM(B144)*output_kgyear*$E70*percnt_var,-SUM(B144)*output_kgyear*$E70))))</f>
        <v>-70816706.774555564</v>
      </c>
      <c r="C191" s="207">
        <f t="shared" ca="1" si="77"/>
        <v>0</v>
      </c>
      <c r="D191" s="207">
        <f t="shared" ca="1" si="77"/>
        <v>0</v>
      </c>
      <c r="E191" s="234">
        <f t="shared" ca="1" si="77"/>
        <v>0</v>
      </c>
      <c r="F191" s="206">
        <f t="shared" ca="1" si="77"/>
        <v>0</v>
      </c>
      <c r="G191" s="207">
        <f t="shared" ca="1" si="77"/>
        <v>0</v>
      </c>
      <c r="H191" s="207">
        <f t="shared" ca="1" si="77"/>
        <v>0</v>
      </c>
      <c r="I191" s="234">
        <f t="shared" ca="1" si="77"/>
        <v>0</v>
      </c>
      <c r="J191" s="600">
        <f t="shared" ca="1" si="77"/>
        <v>0</v>
      </c>
      <c r="K191" s="232">
        <f t="shared" ca="1" si="77"/>
        <v>0</v>
      </c>
      <c r="L191" s="232">
        <f t="shared" ca="1" si="77"/>
        <v>0</v>
      </c>
      <c r="M191" s="207">
        <f t="shared" ca="1" si="77"/>
        <v>0</v>
      </c>
      <c r="N191" s="235">
        <f t="shared" ca="1" si="77"/>
        <v>0</v>
      </c>
    </row>
    <row r="192" spans="1:22" x14ac:dyDescent="0.25">
      <c r="A192" s="205">
        <f t="shared" si="72"/>
        <v>2020</v>
      </c>
      <c r="B192" s="207">
        <f t="shared" ref="B192:N192" ca="1" si="78">IF($C71="","",IF($C71&lt;0,0,IF(AND($C71=1,start_time&lt;1),-(SUM(B145)*output_kgyear*$E71*percnt_var*start_time+SUM(B145)*output_kgyear*$E71*(1-start_time)),IF($C71&lt;=start_time,-SUM(B145)*output_kgyear*$E71*percnt_var,-SUM(B145)*output_kgyear*$E71))))</f>
        <v>-73504836.787266523</v>
      </c>
      <c r="C192" s="207">
        <f t="shared" ca="1" si="78"/>
        <v>0</v>
      </c>
      <c r="D192" s="207">
        <f t="shared" ca="1" si="78"/>
        <v>0</v>
      </c>
      <c r="E192" s="234">
        <f t="shared" ca="1" si="78"/>
        <v>0</v>
      </c>
      <c r="F192" s="206">
        <f t="shared" ca="1" si="78"/>
        <v>0</v>
      </c>
      <c r="G192" s="207">
        <f t="shared" ca="1" si="78"/>
        <v>0</v>
      </c>
      <c r="H192" s="207">
        <f t="shared" ca="1" si="78"/>
        <v>0</v>
      </c>
      <c r="I192" s="234">
        <f t="shared" ca="1" si="78"/>
        <v>0</v>
      </c>
      <c r="J192" s="600">
        <f t="shared" ca="1" si="78"/>
        <v>0</v>
      </c>
      <c r="K192" s="232">
        <f t="shared" ca="1" si="78"/>
        <v>0</v>
      </c>
      <c r="L192" s="232">
        <f t="shared" ca="1" si="78"/>
        <v>0</v>
      </c>
      <c r="M192" s="207">
        <f t="shared" ca="1" si="78"/>
        <v>0</v>
      </c>
      <c r="N192" s="235">
        <f t="shared" ca="1" si="78"/>
        <v>0</v>
      </c>
    </row>
    <row r="193" spans="1:14" x14ac:dyDescent="0.25">
      <c r="A193" s="205">
        <f t="shared" si="72"/>
        <v>2021</v>
      </c>
      <c r="B193" s="207">
        <f t="shared" ref="B193:N193" ca="1" si="79">IF($C72="","",IF($C72&lt;0,0,IF(AND($C72=1,start_time&lt;1),-(SUM(B146)*output_kgyear*$E72*percnt_var*start_time+SUM(B146)*output_kgyear*$E72*(1-start_time)),IF($C72&lt;=start_time,-SUM(B146)*output_kgyear*$E72*percnt_var,-SUM(B146)*output_kgyear*$E72))))</f>
        <v>-75313961.186467335</v>
      </c>
      <c r="C193" s="207">
        <f t="shared" ca="1" si="79"/>
        <v>0</v>
      </c>
      <c r="D193" s="207">
        <f t="shared" ca="1" si="79"/>
        <v>0</v>
      </c>
      <c r="E193" s="234">
        <f t="shared" ca="1" si="79"/>
        <v>0</v>
      </c>
      <c r="F193" s="206">
        <f t="shared" ca="1" si="79"/>
        <v>0</v>
      </c>
      <c r="G193" s="207">
        <f t="shared" ca="1" si="79"/>
        <v>0</v>
      </c>
      <c r="H193" s="207">
        <f t="shared" ca="1" si="79"/>
        <v>0</v>
      </c>
      <c r="I193" s="234">
        <f t="shared" ca="1" si="79"/>
        <v>0</v>
      </c>
      <c r="J193" s="600">
        <f t="shared" ca="1" si="79"/>
        <v>0</v>
      </c>
      <c r="K193" s="232">
        <f t="shared" ca="1" si="79"/>
        <v>0</v>
      </c>
      <c r="L193" s="232">
        <f t="shared" ca="1" si="79"/>
        <v>0</v>
      </c>
      <c r="M193" s="207">
        <f t="shared" ca="1" si="79"/>
        <v>0</v>
      </c>
      <c r="N193" s="235">
        <f t="shared" ca="1" si="79"/>
        <v>0</v>
      </c>
    </row>
    <row r="194" spans="1:14" x14ac:dyDescent="0.25">
      <c r="A194" s="205">
        <f t="shared" si="72"/>
        <v>2022</v>
      </c>
      <c r="B194" s="207">
        <f t="shared" ref="B194:N194" ca="1" si="80">IF($C73="","",IF($C73&lt;0,0,IF(AND($C73=1,start_time&lt;1),-(SUM(B147)*output_kgyear*$E73*percnt_var*start_time+SUM(B147)*output_kgyear*$E73*(1-start_time)),IF($C73&lt;=start_time,-SUM(B147)*output_kgyear*$E73*percnt_var,-SUM(B147)*output_kgyear*$E73))))</f>
        <v>-79222075.955572486</v>
      </c>
      <c r="C194" s="207">
        <f t="shared" ca="1" si="80"/>
        <v>0</v>
      </c>
      <c r="D194" s="207">
        <f t="shared" ca="1" si="80"/>
        <v>0</v>
      </c>
      <c r="E194" s="234">
        <f t="shared" ca="1" si="80"/>
        <v>0</v>
      </c>
      <c r="F194" s="206">
        <f t="shared" ca="1" si="80"/>
        <v>0</v>
      </c>
      <c r="G194" s="207">
        <f t="shared" ca="1" si="80"/>
        <v>0</v>
      </c>
      <c r="H194" s="207">
        <f t="shared" ca="1" si="80"/>
        <v>0</v>
      </c>
      <c r="I194" s="234">
        <f t="shared" ca="1" si="80"/>
        <v>0</v>
      </c>
      <c r="J194" s="600">
        <f t="shared" ca="1" si="80"/>
        <v>0</v>
      </c>
      <c r="K194" s="232">
        <f t="shared" ca="1" si="80"/>
        <v>0</v>
      </c>
      <c r="L194" s="232">
        <f t="shared" ca="1" si="80"/>
        <v>0</v>
      </c>
      <c r="M194" s="207">
        <f t="shared" ca="1" si="80"/>
        <v>0</v>
      </c>
      <c r="N194" s="235">
        <f t="shared" ca="1" si="80"/>
        <v>0</v>
      </c>
    </row>
    <row r="195" spans="1:14" x14ac:dyDescent="0.25">
      <c r="A195" s="205">
        <f t="shared" si="72"/>
        <v>2023</v>
      </c>
      <c r="B195" s="207">
        <f t="shared" ref="B195:N195" ca="1" si="81">IF($C74="","",IF($C74&lt;0,0,IF(AND($C74=1,start_time&lt;1),-(SUM(B148)*output_kgyear*$E74*percnt_var*start_time+SUM(B148)*output_kgyear*$E74*(1-start_time)),IF($C74&lt;=start_time,-SUM(B148)*output_kgyear*$E74*percnt_var,-SUM(B148)*output_kgyear*$E74))))</f>
        <v>-80983152.281128034</v>
      </c>
      <c r="C195" s="207">
        <f t="shared" ca="1" si="81"/>
        <v>0</v>
      </c>
      <c r="D195" s="207">
        <f t="shared" ca="1" si="81"/>
        <v>0</v>
      </c>
      <c r="E195" s="234">
        <f t="shared" ca="1" si="81"/>
        <v>0</v>
      </c>
      <c r="F195" s="206">
        <f t="shared" ca="1" si="81"/>
        <v>0</v>
      </c>
      <c r="G195" s="207">
        <f t="shared" ca="1" si="81"/>
        <v>0</v>
      </c>
      <c r="H195" s="207">
        <f t="shared" ca="1" si="81"/>
        <v>0</v>
      </c>
      <c r="I195" s="234">
        <f t="shared" ca="1" si="81"/>
        <v>0</v>
      </c>
      <c r="J195" s="600">
        <f t="shared" ca="1" si="81"/>
        <v>0</v>
      </c>
      <c r="K195" s="232">
        <f t="shared" ca="1" si="81"/>
        <v>0</v>
      </c>
      <c r="L195" s="232">
        <f t="shared" ca="1" si="81"/>
        <v>0</v>
      </c>
      <c r="M195" s="207">
        <f t="shared" ca="1" si="81"/>
        <v>0</v>
      </c>
      <c r="N195" s="235">
        <f t="shared" ca="1" si="81"/>
        <v>0</v>
      </c>
    </row>
    <row r="196" spans="1:14" x14ac:dyDescent="0.25">
      <c r="A196" s="205">
        <f t="shared" si="72"/>
        <v>2024</v>
      </c>
      <c r="B196" s="207">
        <f t="shared" ref="B196:N196" ca="1" si="82">IF($C75="","",IF($C75&lt;0,0,IF(AND($C75=1,start_time&lt;1),-(SUM(B149)*output_kgyear*$E75*percnt_var*start_time+SUM(B149)*output_kgyear*$E75*(1-start_time)),IF($C75&lt;=start_time,-SUM(B149)*output_kgyear*$E75*percnt_var,-SUM(B149)*output_kgyear*$E75))))</f>
        <v>-82304291.239062846</v>
      </c>
      <c r="C196" s="207">
        <f t="shared" ca="1" si="82"/>
        <v>0</v>
      </c>
      <c r="D196" s="207">
        <f t="shared" ca="1" si="82"/>
        <v>0</v>
      </c>
      <c r="E196" s="234">
        <f t="shared" ca="1" si="82"/>
        <v>0</v>
      </c>
      <c r="F196" s="206">
        <f t="shared" ca="1" si="82"/>
        <v>0</v>
      </c>
      <c r="G196" s="207">
        <f t="shared" ca="1" si="82"/>
        <v>0</v>
      </c>
      <c r="H196" s="207">
        <f t="shared" ca="1" si="82"/>
        <v>0</v>
      </c>
      <c r="I196" s="234">
        <f t="shared" ca="1" si="82"/>
        <v>0</v>
      </c>
      <c r="J196" s="600">
        <f t="shared" ca="1" si="82"/>
        <v>0</v>
      </c>
      <c r="K196" s="232">
        <f t="shared" ca="1" si="82"/>
        <v>0</v>
      </c>
      <c r="L196" s="232">
        <f t="shared" ca="1" si="82"/>
        <v>0</v>
      </c>
      <c r="M196" s="207">
        <f t="shared" ca="1" si="82"/>
        <v>0</v>
      </c>
      <c r="N196" s="235">
        <f t="shared" ca="1" si="82"/>
        <v>0</v>
      </c>
    </row>
    <row r="197" spans="1:14" x14ac:dyDescent="0.25">
      <c r="A197" s="205">
        <f t="shared" si="72"/>
        <v>2025</v>
      </c>
      <c r="B197" s="207">
        <f t="shared" ref="B197:N197" ca="1" si="83">IF($C76="","",IF($C76&lt;0,0,IF(AND($C76=1,start_time&lt;1),-(SUM(B150)*output_kgyear*$E76*percnt_var*start_time+SUM(B150)*output_kgyear*$E76*(1-start_time)),IF($C76&lt;=start_time,-SUM(B150)*output_kgyear*$E76*percnt_var,-SUM(B150)*output_kgyear*$E76))))</f>
        <v>-85881875.802796572</v>
      </c>
      <c r="C197" s="207">
        <f t="shared" ca="1" si="83"/>
        <v>0</v>
      </c>
      <c r="D197" s="207">
        <f t="shared" ca="1" si="83"/>
        <v>0</v>
      </c>
      <c r="E197" s="234">
        <f t="shared" ca="1" si="83"/>
        <v>0</v>
      </c>
      <c r="F197" s="206">
        <f t="shared" ca="1" si="83"/>
        <v>0</v>
      </c>
      <c r="G197" s="207">
        <f t="shared" ca="1" si="83"/>
        <v>0</v>
      </c>
      <c r="H197" s="207">
        <f t="shared" ca="1" si="83"/>
        <v>0</v>
      </c>
      <c r="I197" s="234">
        <f t="shared" ca="1" si="83"/>
        <v>0</v>
      </c>
      <c r="J197" s="600">
        <f t="shared" ca="1" si="83"/>
        <v>0</v>
      </c>
      <c r="K197" s="232">
        <f t="shared" ca="1" si="83"/>
        <v>0</v>
      </c>
      <c r="L197" s="232">
        <f t="shared" ca="1" si="83"/>
        <v>0</v>
      </c>
      <c r="M197" s="207">
        <f t="shared" ca="1" si="83"/>
        <v>0</v>
      </c>
      <c r="N197" s="235">
        <f t="shared" ca="1" si="83"/>
        <v>0</v>
      </c>
    </row>
    <row r="198" spans="1:14" x14ac:dyDescent="0.25">
      <c r="A198" s="205">
        <f t="shared" si="72"/>
        <v>2026</v>
      </c>
      <c r="B198" s="207">
        <f t="shared" ref="B198:N198" ca="1" si="84">IF($C77="","",IF($C77&lt;0,0,IF(AND($C77=1,start_time&lt;1),-(SUM(B151)*output_kgyear*$E77*percnt_var*start_time+SUM(B151)*output_kgyear*$E77*(1-start_time)),IF($C77&lt;=start_time,-SUM(B151)*output_kgyear*$E77*percnt_var,-SUM(B151)*output_kgyear*$E77))))</f>
        <v>-88402368.270450354</v>
      </c>
      <c r="C198" s="207">
        <f t="shared" ca="1" si="84"/>
        <v>0</v>
      </c>
      <c r="D198" s="207">
        <f t="shared" ca="1" si="84"/>
        <v>0</v>
      </c>
      <c r="E198" s="234">
        <f t="shared" ca="1" si="84"/>
        <v>0</v>
      </c>
      <c r="F198" s="206">
        <f t="shared" ca="1" si="84"/>
        <v>0</v>
      </c>
      <c r="G198" s="207">
        <f t="shared" ca="1" si="84"/>
        <v>0</v>
      </c>
      <c r="H198" s="207">
        <f t="shared" ca="1" si="84"/>
        <v>0</v>
      </c>
      <c r="I198" s="234">
        <f t="shared" ca="1" si="84"/>
        <v>0</v>
      </c>
      <c r="J198" s="600">
        <f t="shared" ca="1" si="84"/>
        <v>0</v>
      </c>
      <c r="K198" s="232">
        <f t="shared" ca="1" si="84"/>
        <v>0</v>
      </c>
      <c r="L198" s="232">
        <f t="shared" ca="1" si="84"/>
        <v>0</v>
      </c>
      <c r="M198" s="207">
        <f t="shared" ca="1" si="84"/>
        <v>0</v>
      </c>
      <c r="N198" s="235">
        <f t="shared" ca="1" si="84"/>
        <v>0</v>
      </c>
    </row>
    <row r="199" spans="1:14" x14ac:dyDescent="0.25">
      <c r="A199" s="205">
        <f t="shared" si="72"/>
        <v>2027</v>
      </c>
      <c r="B199" s="207">
        <f t="shared" ref="B199:N199" ca="1" si="85">IF($C78="","",IF($C78&lt;0,0,IF(AND($C78=1,start_time&lt;1),-(SUM(B152)*output_kgyear*$E78*percnt_var*start_time+SUM(B152)*output_kgyear*$E78*(1-start_time)),IF($C78&lt;=start_time,-SUM(B152)*output_kgyear*$E78*percnt_var,-SUM(B152)*output_kgyear*$E78))))</f>
        <v>-90601041.058230117</v>
      </c>
      <c r="C199" s="207">
        <f t="shared" ca="1" si="85"/>
        <v>0</v>
      </c>
      <c r="D199" s="207">
        <f t="shared" ca="1" si="85"/>
        <v>0</v>
      </c>
      <c r="E199" s="234">
        <f t="shared" ca="1" si="85"/>
        <v>0</v>
      </c>
      <c r="F199" s="206">
        <f t="shared" ca="1" si="85"/>
        <v>0</v>
      </c>
      <c r="G199" s="207">
        <f t="shared" ca="1" si="85"/>
        <v>0</v>
      </c>
      <c r="H199" s="207">
        <f t="shared" ca="1" si="85"/>
        <v>0</v>
      </c>
      <c r="I199" s="234">
        <f t="shared" ca="1" si="85"/>
        <v>0</v>
      </c>
      <c r="J199" s="600">
        <f t="shared" ca="1" si="85"/>
        <v>0</v>
      </c>
      <c r="K199" s="232">
        <f t="shared" ca="1" si="85"/>
        <v>0</v>
      </c>
      <c r="L199" s="232">
        <f t="shared" ca="1" si="85"/>
        <v>0</v>
      </c>
      <c r="M199" s="207">
        <f t="shared" ca="1" si="85"/>
        <v>0</v>
      </c>
      <c r="N199" s="235">
        <f t="shared" ca="1" si="85"/>
        <v>0</v>
      </c>
    </row>
    <row r="200" spans="1:14" x14ac:dyDescent="0.25">
      <c r="A200" s="205">
        <f t="shared" si="72"/>
        <v>2028</v>
      </c>
      <c r="B200" s="207">
        <f t="shared" ref="B200:N200" ca="1" si="86">IF($C79="","",IF($C79&lt;0,0,IF(AND($C79=1,start_time&lt;1),-(SUM(B153)*output_kgyear*$E79*percnt_var*start_time+SUM(B153)*output_kgyear*$E79*(1-start_time)),IF($C79&lt;=start_time,-SUM(B153)*output_kgyear*$E79*percnt_var,-SUM(B153)*output_kgyear*$E79))))</f>
        <v>-92922327.250739694</v>
      </c>
      <c r="C200" s="207">
        <f t="shared" ca="1" si="86"/>
        <v>0</v>
      </c>
      <c r="D200" s="207">
        <f t="shared" ca="1" si="86"/>
        <v>0</v>
      </c>
      <c r="E200" s="234">
        <f t="shared" ca="1" si="86"/>
        <v>0</v>
      </c>
      <c r="F200" s="206">
        <f t="shared" ca="1" si="86"/>
        <v>0</v>
      </c>
      <c r="G200" s="207">
        <f t="shared" ca="1" si="86"/>
        <v>0</v>
      </c>
      <c r="H200" s="207">
        <f t="shared" ca="1" si="86"/>
        <v>0</v>
      </c>
      <c r="I200" s="234">
        <f t="shared" ca="1" si="86"/>
        <v>0</v>
      </c>
      <c r="J200" s="600">
        <f t="shared" ca="1" si="86"/>
        <v>0</v>
      </c>
      <c r="K200" s="232">
        <f t="shared" ca="1" si="86"/>
        <v>0</v>
      </c>
      <c r="L200" s="232">
        <f t="shared" ca="1" si="86"/>
        <v>0</v>
      </c>
      <c r="M200" s="207">
        <f t="shared" ca="1" si="86"/>
        <v>0</v>
      </c>
      <c r="N200" s="235">
        <f t="shared" ca="1" si="86"/>
        <v>0</v>
      </c>
    </row>
    <row r="201" spans="1:14" x14ac:dyDescent="0.25">
      <c r="A201" s="205">
        <f t="shared" si="72"/>
        <v>2029</v>
      </c>
      <c r="B201" s="207">
        <f t="shared" ref="B201:N201" ca="1" si="87">IF($C80="","",IF($C80&lt;0,0,IF(AND($C80=1,start_time&lt;1),-(SUM(B154)*output_kgyear*$E80*percnt_var*start_time+SUM(B154)*output_kgyear*$E80*(1-start_time)),IF($C80&lt;=start_time,-SUM(B154)*output_kgyear*$E80*percnt_var,-SUM(B154)*output_kgyear*$E80))))</f>
        <v>-95168099.705891192</v>
      </c>
      <c r="C201" s="207">
        <f t="shared" ca="1" si="87"/>
        <v>0</v>
      </c>
      <c r="D201" s="207">
        <f t="shared" ca="1" si="87"/>
        <v>0</v>
      </c>
      <c r="E201" s="234">
        <f t="shared" ca="1" si="87"/>
        <v>0</v>
      </c>
      <c r="F201" s="206">
        <f t="shared" ca="1" si="87"/>
        <v>0</v>
      </c>
      <c r="G201" s="207">
        <f t="shared" ca="1" si="87"/>
        <v>0</v>
      </c>
      <c r="H201" s="207">
        <f t="shared" ca="1" si="87"/>
        <v>0</v>
      </c>
      <c r="I201" s="234">
        <f t="shared" ca="1" si="87"/>
        <v>0</v>
      </c>
      <c r="J201" s="600">
        <f t="shared" ca="1" si="87"/>
        <v>0</v>
      </c>
      <c r="K201" s="232">
        <f t="shared" ca="1" si="87"/>
        <v>0</v>
      </c>
      <c r="L201" s="232">
        <f t="shared" ca="1" si="87"/>
        <v>0</v>
      </c>
      <c r="M201" s="207">
        <f t="shared" ca="1" si="87"/>
        <v>0</v>
      </c>
      <c r="N201" s="235">
        <f t="shared" ca="1" si="87"/>
        <v>0</v>
      </c>
    </row>
    <row r="202" spans="1:14" x14ac:dyDescent="0.25">
      <c r="A202" s="205">
        <f t="shared" si="72"/>
        <v>2030</v>
      </c>
      <c r="B202" s="207">
        <f t="shared" ref="B202:N202" ca="1" si="88">IF($C81="","",IF($C81&lt;0,0,IF(AND($C81=1,start_time&lt;1),-(SUM(B155)*output_kgyear*$E81*percnt_var*start_time+SUM(B155)*output_kgyear*$E81*(1-start_time)),IF($C81&lt;=start_time,-SUM(B155)*output_kgyear*$E81*percnt_var,-SUM(B155)*output_kgyear*$E81))))</f>
        <v>-97316277.627947539</v>
      </c>
      <c r="C202" s="207">
        <f t="shared" ca="1" si="88"/>
        <v>0</v>
      </c>
      <c r="D202" s="207">
        <f t="shared" ca="1" si="88"/>
        <v>0</v>
      </c>
      <c r="E202" s="234">
        <f t="shared" ca="1" si="88"/>
        <v>0</v>
      </c>
      <c r="F202" s="206">
        <f t="shared" ca="1" si="88"/>
        <v>0</v>
      </c>
      <c r="G202" s="207">
        <f t="shared" ca="1" si="88"/>
        <v>0</v>
      </c>
      <c r="H202" s="207">
        <f t="shared" ca="1" si="88"/>
        <v>0</v>
      </c>
      <c r="I202" s="234">
        <f t="shared" ca="1" si="88"/>
        <v>0</v>
      </c>
      <c r="J202" s="600">
        <f t="shared" ca="1" si="88"/>
        <v>0</v>
      </c>
      <c r="K202" s="232">
        <f t="shared" ca="1" si="88"/>
        <v>0</v>
      </c>
      <c r="L202" s="232">
        <f t="shared" ca="1" si="88"/>
        <v>0</v>
      </c>
      <c r="M202" s="207">
        <f t="shared" ca="1" si="88"/>
        <v>0</v>
      </c>
      <c r="N202" s="235">
        <f t="shared" ca="1" si="88"/>
        <v>0</v>
      </c>
    </row>
    <row r="203" spans="1:14" x14ac:dyDescent="0.25">
      <c r="A203" s="205">
        <f t="shared" si="72"/>
        <v>2031</v>
      </c>
      <c r="B203" s="207">
        <f t="shared" ref="B203:N203" ca="1" si="89">IF($C82="","",IF($C82&lt;0,0,IF(AND($C82=1,start_time&lt;1),-(SUM(B156)*output_kgyear*$E82*percnt_var*start_time+SUM(B156)*output_kgyear*$E82*(1-start_time)),IF($C82&lt;=start_time,-SUM(B156)*output_kgyear*$E82*percnt_var,-SUM(B156)*output_kgyear*$E82))))</f>
        <v>-99290914.892052338</v>
      </c>
      <c r="C203" s="207">
        <f t="shared" ca="1" si="89"/>
        <v>0</v>
      </c>
      <c r="D203" s="207">
        <f t="shared" ca="1" si="89"/>
        <v>0</v>
      </c>
      <c r="E203" s="234">
        <f t="shared" ca="1" si="89"/>
        <v>0</v>
      </c>
      <c r="F203" s="206">
        <f t="shared" ca="1" si="89"/>
        <v>0</v>
      </c>
      <c r="G203" s="207">
        <f t="shared" ca="1" si="89"/>
        <v>0</v>
      </c>
      <c r="H203" s="207">
        <f t="shared" ca="1" si="89"/>
        <v>0</v>
      </c>
      <c r="I203" s="234">
        <f t="shared" ca="1" si="89"/>
        <v>0</v>
      </c>
      <c r="J203" s="600">
        <f t="shared" ca="1" si="89"/>
        <v>0</v>
      </c>
      <c r="K203" s="232">
        <f t="shared" ca="1" si="89"/>
        <v>0</v>
      </c>
      <c r="L203" s="232">
        <f t="shared" ca="1" si="89"/>
        <v>0</v>
      </c>
      <c r="M203" s="207">
        <f t="shared" ca="1" si="89"/>
        <v>0</v>
      </c>
      <c r="N203" s="235">
        <f t="shared" ca="1" si="89"/>
        <v>0</v>
      </c>
    </row>
    <row r="204" spans="1:14" x14ac:dyDescent="0.25">
      <c r="A204" s="205">
        <f t="shared" si="72"/>
        <v>2032</v>
      </c>
      <c r="B204" s="207">
        <f t="shared" ref="B204:N204" ca="1" si="90">IF($C83="","",IF($C83&lt;0,0,IF(AND($C83=1,start_time&lt;1),-(SUM(B157)*output_kgyear*$E83*percnt_var*start_time+SUM(B157)*output_kgyear*$E83*(1-start_time)),IF($C83&lt;=start_time,-SUM(B157)*output_kgyear*$E83*percnt_var,-SUM(B157)*output_kgyear*$E83))))</f>
        <v>-100946606.74111485</v>
      </c>
      <c r="C204" s="207">
        <f t="shared" ca="1" si="90"/>
        <v>0</v>
      </c>
      <c r="D204" s="207">
        <f t="shared" ca="1" si="90"/>
        <v>0</v>
      </c>
      <c r="E204" s="234">
        <f t="shared" ca="1" si="90"/>
        <v>0</v>
      </c>
      <c r="F204" s="206">
        <f t="shared" ca="1" si="90"/>
        <v>0</v>
      </c>
      <c r="G204" s="207">
        <f t="shared" ca="1" si="90"/>
        <v>0</v>
      </c>
      <c r="H204" s="207">
        <f t="shared" ca="1" si="90"/>
        <v>0</v>
      </c>
      <c r="I204" s="234">
        <f t="shared" ca="1" si="90"/>
        <v>0</v>
      </c>
      <c r="J204" s="600">
        <f t="shared" ca="1" si="90"/>
        <v>0</v>
      </c>
      <c r="K204" s="232">
        <f t="shared" ca="1" si="90"/>
        <v>0</v>
      </c>
      <c r="L204" s="232">
        <f t="shared" ca="1" si="90"/>
        <v>0</v>
      </c>
      <c r="M204" s="207">
        <f t="shared" ca="1" si="90"/>
        <v>0</v>
      </c>
      <c r="N204" s="235">
        <f t="shared" ca="1" si="90"/>
        <v>0</v>
      </c>
    </row>
    <row r="205" spans="1:14" x14ac:dyDescent="0.25">
      <c r="A205" s="205">
        <f t="shared" si="72"/>
        <v>2033</v>
      </c>
      <c r="B205" s="207">
        <f t="shared" ref="B205:N205" ca="1" si="91">IF($C84="","",IF($C84&lt;0,0,IF(AND($C84=1,start_time&lt;1),-(SUM(B158)*output_kgyear*$E84*percnt_var*start_time+SUM(B158)*output_kgyear*$E84*(1-start_time)),IF($C84&lt;=start_time,-SUM(B158)*output_kgyear*$E84*percnt_var,-SUM(B158)*output_kgyear*$E84))))</f>
        <v>-102496913.71816288</v>
      </c>
      <c r="C205" s="207">
        <f t="shared" ca="1" si="91"/>
        <v>0</v>
      </c>
      <c r="D205" s="207">
        <f t="shared" ca="1" si="91"/>
        <v>0</v>
      </c>
      <c r="E205" s="234">
        <f t="shared" ca="1" si="91"/>
        <v>0</v>
      </c>
      <c r="F205" s="206">
        <f t="shared" ca="1" si="91"/>
        <v>0</v>
      </c>
      <c r="G205" s="207">
        <f t="shared" ca="1" si="91"/>
        <v>0</v>
      </c>
      <c r="H205" s="207">
        <f t="shared" ca="1" si="91"/>
        <v>0</v>
      </c>
      <c r="I205" s="234">
        <f t="shared" ca="1" si="91"/>
        <v>0</v>
      </c>
      <c r="J205" s="600">
        <f t="shared" ca="1" si="91"/>
        <v>0</v>
      </c>
      <c r="K205" s="232">
        <f t="shared" ca="1" si="91"/>
        <v>0</v>
      </c>
      <c r="L205" s="232">
        <f t="shared" ca="1" si="91"/>
        <v>0</v>
      </c>
      <c r="M205" s="207">
        <f t="shared" ca="1" si="91"/>
        <v>0</v>
      </c>
      <c r="N205" s="235">
        <f t="shared" ca="1" si="91"/>
        <v>0</v>
      </c>
    </row>
    <row r="206" spans="1:14" x14ac:dyDescent="0.25">
      <c r="A206" s="205">
        <f t="shared" si="72"/>
        <v>2034</v>
      </c>
      <c r="B206" s="207">
        <f t="shared" ref="B206:N206" ca="1" si="92">IF($C85="","",IF($C85&lt;0,0,IF(AND($C85=1,start_time&lt;1),-(SUM(B159)*output_kgyear*$E85*percnt_var*start_time+SUM(B159)*output_kgyear*$E85*(1-start_time)),IF($C85&lt;=start_time,-SUM(B159)*output_kgyear*$E85*percnt_var,-SUM(B159)*output_kgyear*$E85))))</f>
        <v>-104140808.94621135</v>
      </c>
      <c r="C206" s="207">
        <f t="shared" ca="1" si="92"/>
        <v>0</v>
      </c>
      <c r="D206" s="207">
        <f t="shared" ca="1" si="92"/>
        <v>0</v>
      </c>
      <c r="E206" s="234">
        <f t="shared" ca="1" si="92"/>
        <v>0</v>
      </c>
      <c r="F206" s="206">
        <f t="shared" ca="1" si="92"/>
        <v>0</v>
      </c>
      <c r="G206" s="207">
        <f t="shared" ca="1" si="92"/>
        <v>0</v>
      </c>
      <c r="H206" s="207">
        <f t="shared" ca="1" si="92"/>
        <v>0</v>
      </c>
      <c r="I206" s="234">
        <f t="shared" ca="1" si="92"/>
        <v>0</v>
      </c>
      <c r="J206" s="600">
        <f t="shared" ca="1" si="92"/>
        <v>0</v>
      </c>
      <c r="K206" s="232">
        <f t="shared" ca="1" si="92"/>
        <v>0</v>
      </c>
      <c r="L206" s="232">
        <f t="shared" ca="1" si="92"/>
        <v>0</v>
      </c>
      <c r="M206" s="207">
        <f t="shared" ca="1" si="92"/>
        <v>0</v>
      </c>
      <c r="N206" s="235">
        <f t="shared" ca="1" si="92"/>
        <v>0</v>
      </c>
    </row>
    <row r="207" spans="1:14" x14ac:dyDescent="0.25">
      <c r="A207" s="205">
        <f t="shared" si="72"/>
        <v>2035</v>
      </c>
      <c r="B207" s="207">
        <f t="shared" ref="B207:N207" ca="1" si="93">IF($C86="","",IF($C86&lt;0,0,IF(AND($C86=1,start_time&lt;1),-(SUM(B160)*output_kgyear*$E86*percnt_var*start_time+SUM(B160)*output_kgyear*$E86*(1-start_time)),IF($C86&lt;=start_time,-SUM(B160)*output_kgyear*$E86*percnt_var,-SUM(B160)*output_kgyear*$E86))))</f>
        <v>-106494724.86311528</v>
      </c>
      <c r="C207" s="207">
        <f t="shared" ca="1" si="93"/>
        <v>0</v>
      </c>
      <c r="D207" s="207">
        <f t="shared" ca="1" si="93"/>
        <v>0</v>
      </c>
      <c r="E207" s="234">
        <f t="shared" ca="1" si="93"/>
        <v>0</v>
      </c>
      <c r="F207" s="206">
        <f t="shared" ca="1" si="93"/>
        <v>0</v>
      </c>
      <c r="G207" s="207">
        <f t="shared" ca="1" si="93"/>
        <v>0</v>
      </c>
      <c r="H207" s="207">
        <f t="shared" ca="1" si="93"/>
        <v>0</v>
      </c>
      <c r="I207" s="234">
        <f t="shared" ca="1" si="93"/>
        <v>0</v>
      </c>
      <c r="J207" s="600">
        <f t="shared" ca="1" si="93"/>
        <v>0</v>
      </c>
      <c r="K207" s="232">
        <f t="shared" ca="1" si="93"/>
        <v>0</v>
      </c>
      <c r="L207" s="232">
        <f t="shared" ca="1" si="93"/>
        <v>0</v>
      </c>
      <c r="M207" s="207">
        <f t="shared" ca="1" si="93"/>
        <v>0</v>
      </c>
      <c r="N207" s="235">
        <f t="shared" ca="1" si="93"/>
        <v>0</v>
      </c>
    </row>
    <row r="208" spans="1:14" x14ac:dyDescent="0.25">
      <c r="A208" s="205">
        <f t="shared" si="72"/>
        <v>2036</v>
      </c>
      <c r="B208" s="207">
        <f t="shared" ref="B208:N208" ca="1" si="94">IF($C87="","",IF($C87&lt;0,0,IF(AND($C87=1,start_time&lt;1),-(SUM(B161)*output_kgyear*$E87*percnt_var*start_time+SUM(B161)*output_kgyear*$E87*(1-start_time)),IF($C87&lt;=start_time,-SUM(B161)*output_kgyear*$E87*percnt_var,-SUM(B161)*output_kgyear*$E87))))</f>
        <v>-108912686.20840918</v>
      </c>
      <c r="C208" s="207">
        <f t="shared" ca="1" si="94"/>
        <v>0</v>
      </c>
      <c r="D208" s="207">
        <f t="shared" ca="1" si="94"/>
        <v>0</v>
      </c>
      <c r="E208" s="234">
        <f t="shared" ca="1" si="94"/>
        <v>0</v>
      </c>
      <c r="F208" s="206">
        <f t="shared" ca="1" si="94"/>
        <v>0</v>
      </c>
      <c r="G208" s="207">
        <f t="shared" ca="1" si="94"/>
        <v>0</v>
      </c>
      <c r="H208" s="207">
        <f t="shared" ca="1" si="94"/>
        <v>0</v>
      </c>
      <c r="I208" s="234">
        <f t="shared" ca="1" si="94"/>
        <v>0</v>
      </c>
      <c r="J208" s="600">
        <f t="shared" ca="1" si="94"/>
        <v>0</v>
      </c>
      <c r="K208" s="232">
        <f t="shared" ca="1" si="94"/>
        <v>0</v>
      </c>
      <c r="L208" s="232">
        <f t="shared" ca="1" si="94"/>
        <v>0</v>
      </c>
      <c r="M208" s="207">
        <f t="shared" ca="1" si="94"/>
        <v>0</v>
      </c>
      <c r="N208" s="235">
        <f t="shared" ca="1" si="94"/>
        <v>0</v>
      </c>
    </row>
    <row r="209" spans="1:14" x14ac:dyDescent="0.25">
      <c r="A209" s="205">
        <f t="shared" si="72"/>
        <v>2037</v>
      </c>
      <c r="B209" s="207">
        <f t="shared" ref="B209:N209" ca="1" si="95">IF($C88="","",IF($C88&lt;0,0,IF(AND($C88=1,start_time&lt;1),-(SUM(B162)*output_kgyear*$E88*percnt_var*start_time+SUM(B162)*output_kgyear*$E88*(1-start_time)),IF($C88&lt;=start_time,-SUM(B162)*output_kgyear*$E88*percnt_var,-SUM(B162)*output_kgyear*$E88))))</f>
        <v>-110898114.1458198</v>
      </c>
      <c r="C209" s="207">
        <f t="shared" ca="1" si="95"/>
        <v>0</v>
      </c>
      <c r="D209" s="207">
        <f t="shared" ca="1" si="95"/>
        <v>0</v>
      </c>
      <c r="E209" s="234">
        <f t="shared" ca="1" si="95"/>
        <v>0</v>
      </c>
      <c r="F209" s="206">
        <f t="shared" ca="1" si="95"/>
        <v>0</v>
      </c>
      <c r="G209" s="207">
        <f t="shared" ca="1" si="95"/>
        <v>0</v>
      </c>
      <c r="H209" s="207">
        <f t="shared" ca="1" si="95"/>
        <v>0</v>
      </c>
      <c r="I209" s="234">
        <f t="shared" ca="1" si="95"/>
        <v>0</v>
      </c>
      <c r="J209" s="600">
        <f t="shared" ca="1" si="95"/>
        <v>0</v>
      </c>
      <c r="K209" s="232">
        <f t="shared" ca="1" si="95"/>
        <v>0</v>
      </c>
      <c r="L209" s="232">
        <f t="shared" ca="1" si="95"/>
        <v>0</v>
      </c>
      <c r="M209" s="207">
        <f t="shared" ca="1" si="95"/>
        <v>0</v>
      </c>
      <c r="N209" s="235">
        <f t="shared" ca="1" si="95"/>
        <v>0</v>
      </c>
    </row>
    <row r="210" spans="1:14" x14ac:dyDescent="0.25">
      <c r="A210" s="205">
        <f t="shared" si="72"/>
        <v>2038</v>
      </c>
      <c r="B210" s="207">
        <f t="shared" ref="B210:N210" ca="1" si="96">IF($C89="","",IF($C89&lt;0,0,IF(AND($C89=1,start_time&lt;1),-(SUM(B163)*output_kgyear*$E89*percnt_var*start_time+SUM(B163)*output_kgyear*$E89*(1-start_time)),IF($C89&lt;=start_time,-SUM(B163)*output_kgyear*$E89*percnt_var,-SUM(B163)*output_kgyear*$E89))))</f>
        <v>-113030278.23214401</v>
      </c>
      <c r="C210" s="207">
        <f t="shared" ca="1" si="96"/>
        <v>0</v>
      </c>
      <c r="D210" s="207">
        <f t="shared" ca="1" si="96"/>
        <v>0</v>
      </c>
      <c r="E210" s="234">
        <f t="shared" ca="1" si="96"/>
        <v>0</v>
      </c>
      <c r="F210" s="206">
        <f t="shared" ca="1" si="96"/>
        <v>0</v>
      </c>
      <c r="G210" s="207">
        <f t="shared" ca="1" si="96"/>
        <v>0</v>
      </c>
      <c r="H210" s="207">
        <f t="shared" ca="1" si="96"/>
        <v>0</v>
      </c>
      <c r="I210" s="234">
        <f t="shared" ca="1" si="96"/>
        <v>0</v>
      </c>
      <c r="J210" s="600">
        <f t="shared" ca="1" si="96"/>
        <v>0</v>
      </c>
      <c r="K210" s="232">
        <f t="shared" ca="1" si="96"/>
        <v>0</v>
      </c>
      <c r="L210" s="232">
        <f t="shared" ca="1" si="96"/>
        <v>0</v>
      </c>
      <c r="M210" s="207">
        <f t="shared" ca="1" si="96"/>
        <v>0</v>
      </c>
      <c r="N210" s="235">
        <f t="shared" ca="1" si="96"/>
        <v>0</v>
      </c>
    </row>
    <row r="211" spans="1:14" x14ac:dyDescent="0.25">
      <c r="A211" s="205">
        <f t="shared" si="72"/>
        <v>2039</v>
      </c>
      <c r="B211" s="207">
        <f t="shared" ref="B211:N211" ca="1" si="97">IF($C90="","",IF($C90&lt;0,0,IF(AND($C90=1,start_time&lt;1),-(SUM(B164)*output_kgyear*$E90*percnt_var*start_time+SUM(B164)*output_kgyear*$E90*(1-start_time)),IF($C90&lt;=start_time,-SUM(B164)*output_kgyear*$E90*percnt_var,-SUM(B164)*output_kgyear*$E90))))</f>
        <v>-115266993.12160365</v>
      </c>
      <c r="C211" s="207">
        <f t="shared" ca="1" si="97"/>
        <v>0</v>
      </c>
      <c r="D211" s="207">
        <f t="shared" ca="1" si="97"/>
        <v>0</v>
      </c>
      <c r="E211" s="234">
        <f t="shared" ca="1" si="97"/>
        <v>0</v>
      </c>
      <c r="F211" s="206">
        <f t="shared" ca="1" si="97"/>
        <v>0</v>
      </c>
      <c r="G211" s="207">
        <f t="shared" ca="1" si="97"/>
        <v>0</v>
      </c>
      <c r="H211" s="207">
        <f t="shared" ca="1" si="97"/>
        <v>0</v>
      </c>
      <c r="I211" s="234">
        <f t="shared" ca="1" si="97"/>
        <v>0</v>
      </c>
      <c r="J211" s="600">
        <f t="shared" ca="1" si="97"/>
        <v>0</v>
      </c>
      <c r="K211" s="232">
        <f t="shared" ca="1" si="97"/>
        <v>0</v>
      </c>
      <c r="L211" s="232">
        <f t="shared" ca="1" si="97"/>
        <v>0</v>
      </c>
      <c r="M211" s="207">
        <f t="shared" ca="1" si="97"/>
        <v>0</v>
      </c>
      <c r="N211" s="235">
        <f t="shared" ca="1" si="97"/>
        <v>0</v>
      </c>
    </row>
    <row r="212" spans="1:14" x14ac:dyDescent="0.25">
      <c r="A212" s="205">
        <f t="shared" si="72"/>
        <v>2040</v>
      </c>
      <c r="B212" s="207">
        <f t="shared" ref="B212:N212" ca="1" si="98">IF($C91="","",IF($C91&lt;0,0,IF(AND($C91=1,start_time&lt;1),-(SUM(B165)*output_kgyear*$E91*percnt_var*start_time+SUM(B165)*output_kgyear*$E91*(1-start_time)),IF($C91&lt;=start_time,-SUM(B165)*output_kgyear*$E91*percnt_var,-SUM(B165)*output_kgyear*$E91))))</f>
        <v>-117181660.05488451</v>
      </c>
      <c r="C212" s="207">
        <f t="shared" ca="1" si="98"/>
        <v>0</v>
      </c>
      <c r="D212" s="207">
        <f t="shared" ca="1" si="98"/>
        <v>0</v>
      </c>
      <c r="E212" s="234">
        <f t="shared" ca="1" si="98"/>
        <v>0</v>
      </c>
      <c r="F212" s="206">
        <f t="shared" ca="1" si="98"/>
        <v>0</v>
      </c>
      <c r="G212" s="207">
        <f t="shared" ca="1" si="98"/>
        <v>0</v>
      </c>
      <c r="H212" s="207">
        <f t="shared" ca="1" si="98"/>
        <v>0</v>
      </c>
      <c r="I212" s="234">
        <f t="shared" ca="1" si="98"/>
        <v>0</v>
      </c>
      <c r="J212" s="600">
        <f t="shared" ca="1" si="98"/>
        <v>0</v>
      </c>
      <c r="K212" s="232">
        <f t="shared" ca="1" si="98"/>
        <v>0</v>
      </c>
      <c r="L212" s="232">
        <f t="shared" ca="1" si="98"/>
        <v>0</v>
      </c>
      <c r="M212" s="207">
        <f t="shared" ca="1" si="98"/>
        <v>0</v>
      </c>
      <c r="N212" s="235">
        <f t="shared" ca="1" si="98"/>
        <v>0</v>
      </c>
    </row>
    <row r="213" spans="1:14" x14ac:dyDescent="0.25">
      <c r="A213" s="205">
        <f t="shared" si="72"/>
        <v>2041</v>
      </c>
      <c r="B213" s="207">
        <f t="shared" ref="B213:N213" ca="1" si="99">IF($C92="","",IF($C92&lt;0,0,IF(AND($C92=1,start_time&lt;1),-(SUM(B166)*output_kgyear*$E92*percnt_var*start_time+SUM(B166)*output_kgyear*$E92*(1-start_time)),IF($C92&lt;=start_time,-SUM(B166)*output_kgyear*$E92*percnt_var,-SUM(B166)*output_kgyear*$E92))))</f>
        <v>-119056940.48622558</v>
      </c>
      <c r="C213" s="207">
        <f t="shared" ca="1" si="99"/>
        <v>0</v>
      </c>
      <c r="D213" s="207">
        <f t="shared" ca="1" si="99"/>
        <v>0</v>
      </c>
      <c r="E213" s="234">
        <f t="shared" ca="1" si="99"/>
        <v>0</v>
      </c>
      <c r="F213" s="206">
        <f t="shared" ca="1" si="99"/>
        <v>0</v>
      </c>
      <c r="G213" s="207">
        <f t="shared" ca="1" si="99"/>
        <v>0</v>
      </c>
      <c r="H213" s="207">
        <f t="shared" ca="1" si="99"/>
        <v>0</v>
      </c>
      <c r="I213" s="234">
        <f t="shared" ca="1" si="99"/>
        <v>0</v>
      </c>
      <c r="J213" s="600">
        <f t="shared" ca="1" si="99"/>
        <v>0</v>
      </c>
      <c r="K213" s="232">
        <f t="shared" ca="1" si="99"/>
        <v>0</v>
      </c>
      <c r="L213" s="232">
        <f t="shared" ca="1" si="99"/>
        <v>0</v>
      </c>
      <c r="M213" s="207">
        <f t="shared" ca="1" si="99"/>
        <v>0</v>
      </c>
      <c r="N213" s="235">
        <f t="shared" ca="1" si="99"/>
        <v>0</v>
      </c>
    </row>
    <row r="214" spans="1:14" x14ac:dyDescent="0.25">
      <c r="A214" s="205">
        <f t="shared" si="72"/>
        <v>2042</v>
      </c>
      <c r="B214" s="207">
        <f t="shared" ref="B214:N214" ca="1" si="100">IF($C93="","",IF($C93&lt;0,0,IF(AND($C93=1,start_time&lt;1),-(SUM(B167)*output_kgyear*$E93*percnt_var*start_time+SUM(B167)*output_kgyear*$E93*(1-start_time)),IF($C93&lt;=start_time,-SUM(B167)*output_kgyear*$E93*percnt_var,-SUM(B167)*output_kgyear*$E93))))</f>
        <v>-121459733.80632904</v>
      </c>
      <c r="C214" s="207">
        <f t="shared" ca="1" si="100"/>
        <v>0</v>
      </c>
      <c r="D214" s="207">
        <f t="shared" ca="1" si="100"/>
        <v>0</v>
      </c>
      <c r="E214" s="234">
        <f t="shared" ca="1" si="100"/>
        <v>0</v>
      </c>
      <c r="F214" s="206">
        <f t="shared" ca="1" si="100"/>
        <v>0</v>
      </c>
      <c r="G214" s="207">
        <f t="shared" ca="1" si="100"/>
        <v>0</v>
      </c>
      <c r="H214" s="207">
        <f t="shared" ca="1" si="100"/>
        <v>0</v>
      </c>
      <c r="I214" s="234">
        <f t="shared" ca="1" si="100"/>
        <v>0</v>
      </c>
      <c r="J214" s="600">
        <f t="shared" ca="1" si="100"/>
        <v>0</v>
      </c>
      <c r="K214" s="232">
        <f t="shared" ca="1" si="100"/>
        <v>0</v>
      </c>
      <c r="L214" s="232">
        <f t="shared" ca="1" si="100"/>
        <v>0</v>
      </c>
      <c r="M214" s="207">
        <f t="shared" ca="1" si="100"/>
        <v>0</v>
      </c>
      <c r="N214" s="235">
        <f t="shared" ca="1" si="100"/>
        <v>0</v>
      </c>
    </row>
    <row r="215" spans="1:14" x14ac:dyDescent="0.25">
      <c r="A215" s="205">
        <f t="shared" si="72"/>
        <v>2043</v>
      </c>
      <c r="B215" s="207">
        <f t="shared" ref="B215:N215" ca="1" si="101">IF($C94="","",IF($C94&lt;0,0,IF(AND($C94=1,start_time&lt;1),-(SUM(B168)*output_kgyear*$E94*percnt_var*start_time+SUM(B168)*output_kgyear*$E94*(1-start_time)),IF($C94&lt;=start_time,-SUM(B168)*output_kgyear*$E94*percnt_var,-SUM(B168)*output_kgyear*$E94))))</f>
        <v>-124145179.8343561</v>
      </c>
      <c r="C215" s="207">
        <f t="shared" ca="1" si="101"/>
        <v>0</v>
      </c>
      <c r="D215" s="207">
        <f t="shared" ca="1" si="101"/>
        <v>0</v>
      </c>
      <c r="E215" s="234">
        <f t="shared" ca="1" si="101"/>
        <v>0</v>
      </c>
      <c r="F215" s="206">
        <f t="shared" ca="1" si="101"/>
        <v>0</v>
      </c>
      <c r="G215" s="207">
        <f t="shared" ca="1" si="101"/>
        <v>0</v>
      </c>
      <c r="H215" s="207">
        <f t="shared" ca="1" si="101"/>
        <v>0</v>
      </c>
      <c r="I215" s="234">
        <f t="shared" ca="1" si="101"/>
        <v>0</v>
      </c>
      <c r="J215" s="600">
        <f t="shared" ca="1" si="101"/>
        <v>0</v>
      </c>
      <c r="K215" s="232">
        <f t="shared" ca="1" si="101"/>
        <v>0</v>
      </c>
      <c r="L215" s="232">
        <f t="shared" ca="1" si="101"/>
        <v>0</v>
      </c>
      <c r="M215" s="207">
        <f t="shared" ca="1" si="101"/>
        <v>0</v>
      </c>
      <c r="N215" s="235">
        <f t="shared" ca="1" si="101"/>
        <v>0</v>
      </c>
    </row>
    <row r="216" spans="1:14" x14ac:dyDescent="0.25">
      <c r="A216" s="205">
        <f t="shared" si="72"/>
        <v>2044</v>
      </c>
      <c r="B216" s="207">
        <f t="shared" ref="B216:N216" ca="1" si="102">IF($C95="","",IF($C95&lt;0,0,IF(AND($C95=1,start_time&lt;1),-(SUM(B169)*output_kgyear*$E95*percnt_var*start_time+SUM(B169)*output_kgyear*$E95*(1-start_time)),IF($C95&lt;=start_time,-SUM(B169)*output_kgyear*$E95*percnt_var,-SUM(B169)*output_kgyear*$E95))))</f>
        <v>-126980589.29955882</v>
      </c>
      <c r="C216" s="207">
        <f t="shared" ca="1" si="102"/>
        <v>0</v>
      </c>
      <c r="D216" s="207">
        <f t="shared" ca="1" si="102"/>
        <v>0</v>
      </c>
      <c r="E216" s="234">
        <f t="shared" ca="1" si="102"/>
        <v>0</v>
      </c>
      <c r="F216" s="206">
        <f t="shared" ca="1" si="102"/>
        <v>0</v>
      </c>
      <c r="G216" s="207">
        <f t="shared" ca="1" si="102"/>
        <v>0</v>
      </c>
      <c r="H216" s="207">
        <f t="shared" ca="1" si="102"/>
        <v>0</v>
      </c>
      <c r="I216" s="234">
        <f t="shared" ca="1" si="102"/>
        <v>0</v>
      </c>
      <c r="J216" s="600">
        <f t="shared" ca="1" si="102"/>
        <v>0</v>
      </c>
      <c r="K216" s="232">
        <f t="shared" ca="1" si="102"/>
        <v>0</v>
      </c>
      <c r="L216" s="232">
        <f t="shared" ca="1" si="102"/>
        <v>0</v>
      </c>
      <c r="M216" s="207">
        <f t="shared" ca="1" si="102"/>
        <v>0</v>
      </c>
      <c r="N216" s="235">
        <f t="shared" ca="1" si="102"/>
        <v>0</v>
      </c>
    </row>
    <row r="217" spans="1:14" x14ac:dyDescent="0.25">
      <c r="A217" s="205">
        <f t="shared" si="72"/>
        <v>2045</v>
      </c>
      <c r="B217" s="207">
        <f t="shared" ref="B217:N217" ca="1" si="103">IF($C96="","",IF($C96&lt;0,0,IF(AND($C96=1,start_time&lt;1),-(SUM(B170)*output_kgyear*$E96*percnt_var*start_time+SUM(B170)*output_kgyear*$E96*(1-start_time)),IF($C96&lt;=start_time,-SUM(B170)*output_kgyear*$E96*percnt_var,-SUM(B170)*output_kgyear*$E96))))</f>
        <v>-129865890.04303154</v>
      </c>
      <c r="C217" s="207">
        <f t="shared" ca="1" si="103"/>
        <v>0</v>
      </c>
      <c r="D217" s="207">
        <f t="shared" ca="1" si="103"/>
        <v>0</v>
      </c>
      <c r="E217" s="234">
        <f t="shared" ca="1" si="103"/>
        <v>0</v>
      </c>
      <c r="F217" s="206">
        <f t="shared" ca="1" si="103"/>
        <v>0</v>
      </c>
      <c r="G217" s="207">
        <f t="shared" ca="1" si="103"/>
        <v>0</v>
      </c>
      <c r="H217" s="207">
        <f t="shared" ca="1" si="103"/>
        <v>0</v>
      </c>
      <c r="I217" s="234">
        <f t="shared" ca="1" si="103"/>
        <v>0</v>
      </c>
      <c r="J217" s="600">
        <f t="shared" ca="1" si="103"/>
        <v>0</v>
      </c>
      <c r="K217" s="232">
        <f t="shared" ca="1" si="103"/>
        <v>0</v>
      </c>
      <c r="L217" s="232">
        <f t="shared" ca="1" si="103"/>
        <v>0</v>
      </c>
      <c r="M217" s="207">
        <f t="shared" ca="1" si="103"/>
        <v>0</v>
      </c>
      <c r="N217" s="235">
        <f t="shared" ca="1" si="103"/>
        <v>0</v>
      </c>
    </row>
    <row r="218" spans="1:14" x14ac:dyDescent="0.25">
      <c r="A218" s="205">
        <f t="shared" si="72"/>
        <v>2046</v>
      </c>
      <c r="B218" s="207">
        <f t="shared" ref="B218:N218" ca="1" si="104">IF($C97="","",IF($C97&lt;0,0,IF(AND($C97=1,start_time&lt;1),-(SUM(B171)*output_kgyear*$E97*percnt_var*start_time+SUM(B171)*output_kgyear*$E97*(1-start_time)),IF($C97&lt;=start_time,-SUM(B171)*output_kgyear*$E97*percnt_var,-SUM(B171)*output_kgyear*$E97))))</f>
        <v>-132823039.72506239</v>
      </c>
      <c r="C218" s="207">
        <f t="shared" ca="1" si="104"/>
        <v>0</v>
      </c>
      <c r="D218" s="207">
        <f t="shared" ca="1" si="104"/>
        <v>0</v>
      </c>
      <c r="E218" s="234">
        <f t="shared" ca="1" si="104"/>
        <v>0</v>
      </c>
      <c r="F218" s="206">
        <f t="shared" ca="1" si="104"/>
        <v>0</v>
      </c>
      <c r="G218" s="207">
        <f t="shared" ca="1" si="104"/>
        <v>0</v>
      </c>
      <c r="H218" s="207">
        <f t="shared" ca="1" si="104"/>
        <v>0</v>
      </c>
      <c r="I218" s="234">
        <f t="shared" ca="1" si="104"/>
        <v>0</v>
      </c>
      <c r="J218" s="600">
        <f t="shared" ca="1" si="104"/>
        <v>0</v>
      </c>
      <c r="K218" s="232">
        <f t="shared" ca="1" si="104"/>
        <v>0</v>
      </c>
      <c r="L218" s="232">
        <f t="shared" ca="1" si="104"/>
        <v>0</v>
      </c>
      <c r="M218" s="207">
        <f t="shared" ca="1" si="104"/>
        <v>0</v>
      </c>
      <c r="N218" s="235">
        <f t="shared" ca="1" si="104"/>
        <v>0</v>
      </c>
    </row>
    <row r="219" spans="1:14" x14ac:dyDescent="0.25">
      <c r="A219" s="205">
        <f t="shared" si="72"/>
        <v>2047</v>
      </c>
      <c r="B219" s="207">
        <f t="shared" ref="B219:N219" ca="1" si="105">IF($C98="","",IF($C98&lt;0,0,IF(AND($C98=1,start_time&lt;1),-(SUM(B172)*output_kgyear*$E98*percnt_var*start_time+SUM(B172)*output_kgyear*$E98*(1-start_time)),IF($C98&lt;=start_time,-SUM(B172)*output_kgyear*$E98*percnt_var,-SUM(B172)*output_kgyear*$E98))))</f>
        <v>-135794466.65307939</v>
      </c>
      <c r="C219" s="207">
        <f t="shared" ca="1" si="105"/>
        <v>0</v>
      </c>
      <c r="D219" s="207">
        <f t="shared" ca="1" si="105"/>
        <v>0</v>
      </c>
      <c r="E219" s="234">
        <f t="shared" ca="1" si="105"/>
        <v>0</v>
      </c>
      <c r="F219" s="206">
        <f t="shared" ca="1" si="105"/>
        <v>0</v>
      </c>
      <c r="G219" s="207">
        <f t="shared" ca="1" si="105"/>
        <v>0</v>
      </c>
      <c r="H219" s="207">
        <f t="shared" ca="1" si="105"/>
        <v>0</v>
      </c>
      <c r="I219" s="234">
        <f t="shared" ca="1" si="105"/>
        <v>0</v>
      </c>
      <c r="J219" s="600">
        <f t="shared" ca="1" si="105"/>
        <v>0</v>
      </c>
      <c r="K219" s="232">
        <f t="shared" ca="1" si="105"/>
        <v>0</v>
      </c>
      <c r="L219" s="232">
        <f t="shared" ca="1" si="105"/>
        <v>0</v>
      </c>
      <c r="M219" s="207">
        <f t="shared" ca="1" si="105"/>
        <v>0</v>
      </c>
      <c r="N219" s="235">
        <f t="shared" ca="1" si="105"/>
        <v>0</v>
      </c>
    </row>
    <row r="220" spans="1:14" x14ac:dyDescent="0.25">
      <c r="A220" s="205">
        <f t="shared" si="72"/>
        <v>2048</v>
      </c>
      <c r="B220" s="207">
        <f t="shared" ref="B220:N220" ca="1" si="106">IF($C99="","",IF($C99&lt;0,0,IF(AND($C99=1,start_time&lt;1),-(SUM(B173)*output_kgyear*$E99*percnt_var*start_time+SUM(B173)*output_kgyear*$E99*(1-start_time)),IF($C99&lt;=start_time,-SUM(B173)*output_kgyear*$E99*percnt_var,-SUM(B173)*output_kgyear*$E99))))</f>
        <v>-138887830.69043869</v>
      </c>
      <c r="C220" s="207">
        <f t="shared" ca="1" si="106"/>
        <v>0</v>
      </c>
      <c r="D220" s="207">
        <f t="shared" ca="1" si="106"/>
        <v>0</v>
      </c>
      <c r="E220" s="234">
        <f t="shared" ca="1" si="106"/>
        <v>0</v>
      </c>
      <c r="F220" s="206">
        <f t="shared" ca="1" si="106"/>
        <v>0</v>
      </c>
      <c r="G220" s="207">
        <f t="shared" ca="1" si="106"/>
        <v>0</v>
      </c>
      <c r="H220" s="207">
        <f t="shared" ca="1" si="106"/>
        <v>0</v>
      </c>
      <c r="I220" s="234">
        <f t="shared" ca="1" si="106"/>
        <v>0</v>
      </c>
      <c r="J220" s="600">
        <f t="shared" ca="1" si="106"/>
        <v>0</v>
      </c>
      <c r="K220" s="232">
        <f t="shared" ca="1" si="106"/>
        <v>0</v>
      </c>
      <c r="L220" s="232">
        <f t="shared" ca="1" si="106"/>
        <v>0</v>
      </c>
      <c r="M220" s="207">
        <f t="shared" ca="1" si="106"/>
        <v>0</v>
      </c>
      <c r="N220" s="235">
        <f t="shared" ca="1" si="106"/>
        <v>0</v>
      </c>
    </row>
    <row r="221" spans="1:14" x14ac:dyDescent="0.25">
      <c r="A221" s="205">
        <f t="shared" si="72"/>
        <v>2049</v>
      </c>
      <c r="B221" s="207">
        <f t="shared" ref="B221:N221" ca="1" si="107">IF($C100="","",IF($C100&lt;0,0,IF(AND($C100=1,start_time&lt;1),-(SUM(B174)*output_kgyear*$E100*percnt_var*start_time+SUM(B174)*output_kgyear*$E100*(1-start_time)),IF($C100&lt;=start_time,-SUM(B174)*output_kgyear*$E100*percnt_var,-SUM(B174)*output_kgyear*$E100))))</f>
        <v>-141979842.97623658</v>
      </c>
      <c r="C221" s="207">
        <f t="shared" ca="1" si="107"/>
        <v>0</v>
      </c>
      <c r="D221" s="207">
        <f t="shared" ca="1" si="107"/>
        <v>0</v>
      </c>
      <c r="E221" s="234">
        <f t="shared" ca="1" si="107"/>
        <v>0</v>
      </c>
      <c r="F221" s="206">
        <f t="shared" ca="1" si="107"/>
        <v>0</v>
      </c>
      <c r="G221" s="207">
        <f t="shared" ca="1" si="107"/>
        <v>0</v>
      </c>
      <c r="H221" s="207">
        <f t="shared" ca="1" si="107"/>
        <v>0</v>
      </c>
      <c r="I221" s="234">
        <f t="shared" ca="1" si="107"/>
        <v>0</v>
      </c>
      <c r="J221" s="600">
        <f t="shared" ca="1" si="107"/>
        <v>0</v>
      </c>
      <c r="K221" s="232">
        <f t="shared" ca="1" si="107"/>
        <v>0</v>
      </c>
      <c r="L221" s="232">
        <f t="shared" ca="1" si="107"/>
        <v>0</v>
      </c>
      <c r="M221" s="207">
        <f t="shared" ca="1" si="107"/>
        <v>0</v>
      </c>
      <c r="N221" s="235">
        <f t="shared" ca="1" si="107"/>
        <v>0</v>
      </c>
    </row>
    <row r="222" spans="1:14" x14ac:dyDescent="0.25">
      <c r="A222" s="205">
        <f t="shared" si="72"/>
        <v>2050</v>
      </c>
      <c r="B222" s="207">
        <f t="shared" ref="B222:N222" ca="1" si="108">IF($C101="","",IF($C101&lt;0,0,IF(AND($C101=1,start_time&lt;1),-(SUM(B175)*output_kgyear*$E101*percnt_var*start_time+SUM(B175)*output_kgyear*$E101*(1-start_time)),IF($C101&lt;=start_time,-SUM(B175)*output_kgyear*$E101*percnt_var,-SUM(B175)*output_kgyear*$E101))))</f>
        <v>-145125118.91967115</v>
      </c>
      <c r="C222" s="207">
        <f t="shared" ca="1" si="108"/>
        <v>0</v>
      </c>
      <c r="D222" s="207">
        <f t="shared" ca="1" si="108"/>
        <v>0</v>
      </c>
      <c r="E222" s="234">
        <f t="shared" ca="1" si="108"/>
        <v>0</v>
      </c>
      <c r="F222" s="206">
        <f t="shared" ca="1" si="108"/>
        <v>0</v>
      </c>
      <c r="G222" s="207">
        <f t="shared" ca="1" si="108"/>
        <v>0</v>
      </c>
      <c r="H222" s="207">
        <f t="shared" ca="1" si="108"/>
        <v>0</v>
      </c>
      <c r="I222" s="234">
        <f t="shared" ca="1" si="108"/>
        <v>0</v>
      </c>
      <c r="J222" s="600">
        <f t="shared" ca="1" si="108"/>
        <v>0</v>
      </c>
      <c r="K222" s="232">
        <f t="shared" ca="1" si="108"/>
        <v>0</v>
      </c>
      <c r="L222" s="232">
        <f t="shared" ca="1" si="108"/>
        <v>0</v>
      </c>
      <c r="M222" s="207">
        <f t="shared" ca="1" si="108"/>
        <v>0</v>
      </c>
      <c r="N222" s="235">
        <f t="shared" ca="1" si="108"/>
        <v>0</v>
      </c>
    </row>
    <row r="223" spans="1:14" x14ac:dyDescent="0.25">
      <c r="A223" s="205">
        <f t="shared" si="72"/>
        <v>2051</v>
      </c>
      <c r="B223" s="207">
        <f t="shared" ref="B223:N223" ca="1" si="109">IF($C102="","",IF($C102&lt;0,0,IF(AND($C102=1,start_time&lt;1),-(SUM(B176)*output_kgyear*$E102*percnt_var*start_time+SUM(B176)*output_kgyear*$E102*(1-start_time)),IF($C102&lt;=start_time,-SUM(B176)*output_kgyear*$E102*percnt_var,-SUM(B176)*output_kgyear*$E102))))</f>
        <v>-148016619.00835246</v>
      </c>
      <c r="C223" s="207">
        <f t="shared" ca="1" si="109"/>
        <v>0</v>
      </c>
      <c r="D223" s="207">
        <f t="shared" ca="1" si="109"/>
        <v>0</v>
      </c>
      <c r="E223" s="234">
        <f t="shared" ca="1" si="109"/>
        <v>0</v>
      </c>
      <c r="F223" s="206">
        <f t="shared" ca="1" si="109"/>
        <v>0</v>
      </c>
      <c r="G223" s="207">
        <f t="shared" ca="1" si="109"/>
        <v>0</v>
      </c>
      <c r="H223" s="207">
        <f t="shared" ca="1" si="109"/>
        <v>0</v>
      </c>
      <c r="I223" s="234">
        <f t="shared" ca="1" si="109"/>
        <v>0</v>
      </c>
      <c r="J223" s="600">
        <f t="shared" ca="1" si="109"/>
        <v>0</v>
      </c>
      <c r="K223" s="232">
        <f t="shared" ca="1" si="109"/>
        <v>0</v>
      </c>
      <c r="L223" s="232">
        <f t="shared" ca="1" si="109"/>
        <v>0</v>
      </c>
      <c r="M223" s="207">
        <f t="shared" ca="1" si="109"/>
        <v>0</v>
      </c>
      <c r="N223" s="235">
        <f t="shared" ca="1" si="109"/>
        <v>0</v>
      </c>
    </row>
    <row r="224" spans="1:14" x14ac:dyDescent="0.25">
      <c r="A224" s="205">
        <f t="shared" si="72"/>
        <v>2052</v>
      </c>
      <c r="B224" s="207">
        <f t="shared" ref="B224:N224" ca="1" si="110">IF($C103="","",IF($C103&lt;0,0,IF(AND($C103=1,start_time&lt;1),-(SUM(B177)*output_kgyear*$E103*percnt_var*start_time+SUM(B177)*output_kgyear*$E103*(1-start_time)),IF($C103&lt;=start_time,-SUM(B177)*output_kgyear*$E103*percnt_var,-SUM(B177)*output_kgyear*$E103))))</f>
        <v>-150965729.88712355</v>
      </c>
      <c r="C224" s="207">
        <f t="shared" ca="1" si="110"/>
        <v>0</v>
      </c>
      <c r="D224" s="207">
        <f t="shared" ca="1" si="110"/>
        <v>0</v>
      </c>
      <c r="E224" s="234">
        <f t="shared" ca="1" si="110"/>
        <v>0</v>
      </c>
      <c r="F224" s="206">
        <f t="shared" ca="1" si="110"/>
        <v>0</v>
      </c>
      <c r="G224" s="207">
        <f t="shared" ca="1" si="110"/>
        <v>0</v>
      </c>
      <c r="H224" s="207">
        <f t="shared" ca="1" si="110"/>
        <v>0</v>
      </c>
      <c r="I224" s="234">
        <f t="shared" ca="1" si="110"/>
        <v>0</v>
      </c>
      <c r="J224" s="600">
        <f t="shared" ca="1" si="110"/>
        <v>0</v>
      </c>
      <c r="K224" s="232">
        <f t="shared" ca="1" si="110"/>
        <v>0</v>
      </c>
      <c r="L224" s="232">
        <f t="shared" ca="1" si="110"/>
        <v>0</v>
      </c>
      <c r="M224" s="207">
        <f t="shared" ca="1" si="110"/>
        <v>0</v>
      </c>
      <c r="N224" s="235">
        <f t="shared" ca="1" si="110"/>
        <v>0</v>
      </c>
    </row>
    <row r="225" spans="1:14" x14ac:dyDescent="0.25">
      <c r="A225" s="205">
        <f t="shared" si="72"/>
        <v>2053</v>
      </c>
      <c r="B225" s="207">
        <f t="shared" ref="B225:N225" ca="1" si="111">IF($C104="","",IF($C104&lt;0,0,IF(AND($C104=1,start_time&lt;1),-(SUM(B178)*output_kgyear*$E104*percnt_var*start_time+SUM(B178)*output_kgyear*$E104*(1-start_time)),IF($C104&lt;=start_time,-SUM(B178)*output_kgyear*$E104*percnt_var,-SUM(B178)*output_kgyear*$E104))))</f>
        <v>-153973599.40417165</v>
      </c>
      <c r="C225" s="207">
        <f t="shared" ca="1" si="111"/>
        <v>0</v>
      </c>
      <c r="D225" s="207">
        <f t="shared" ca="1" si="111"/>
        <v>0</v>
      </c>
      <c r="E225" s="234">
        <f t="shared" ca="1" si="111"/>
        <v>0</v>
      </c>
      <c r="F225" s="206">
        <f t="shared" ca="1" si="111"/>
        <v>0</v>
      </c>
      <c r="G225" s="207">
        <f t="shared" ca="1" si="111"/>
        <v>0</v>
      </c>
      <c r="H225" s="207">
        <f t="shared" ca="1" si="111"/>
        <v>0</v>
      </c>
      <c r="I225" s="234">
        <f t="shared" ca="1" si="111"/>
        <v>0</v>
      </c>
      <c r="J225" s="600">
        <f t="shared" ca="1" si="111"/>
        <v>0</v>
      </c>
      <c r="K225" s="232">
        <f t="shared" ca="1" si="111"/>
        <v>0</v>
      </c>
      <c r="L225" s="232">
        <f t="shared" ca="1" si="111"/>
        <v>0</v>
      </c>
      <c r="M225" s="207">
        <f t="shared" ca="1" si="111"/>
        <v>0</v>
      </c>
      <c r="N225" s="235">
        <f t="shared" ca="1" si="111"/>
        <v>0</v>
      </c>
    </row>
    <row r="226" spans="1:14" x14ac:dyDescent="0.25">
      <c r="A226" s="205">
        <f t="shared" si="72"/>
        <v>2054</v>
      </c>
      <c r="B226" s="207">
        <f t="shared" ref="B226:N226" ca="1" si="112">IF($C105="","",IF($C105&lt;0,0,IF(AND($C105=1,start_time&lt;1),-(SUM(B179)*output_kgyear*$E105*percnt_var*start_time+SUM(B179)*output_kgyear*$E105*(1-start_time)),IF($C105&lt;=start_time,-SUM(B179)*output_kgyear*$E105*percnt_var,-SUM(B179)*output_kgyear*$E105))))</f>
        <v>-157041398.27762634</v>
      </c>
      <c r="C226" s="207">
        <f t="shared" ca="1" si="112"/>
        <v>0</v>
      </c>
      <c r="D226" s="207">
        <f t="shared" ca="1" si="112"/>
        <v>0</v>
      </c>
      <c r="E226" s="234">
        <f t="shared" ca="1" si="112"/>
        <v>0</v>
      </c>
      <c r="F226" s="206">
        <f t="shared" ca="1" si="112"/>
        <v>0</v>
      </c>
      <c r="G226" s="207">
        <f t="shared" ca="1" si="112"/>
        <v>0</v>
      </c>
      <c r="H226" s="207">
        <f t="shared" ca="1" si="112"/>
        <v>0</v>
      </c>
      <c r="I226" s="234">
        <f t="shared" ca="1" si="112"/>
        <v>0</v>
      </c>
      <c r="J226" s="600">
        <f t="shared" ca="1" si="112"/>
        <v>0</v>
      </c>
      <c r="K226" s="232">
        <f t="shared" ca="1" si="112"/>
        <v>0</v>
      </c>
      <c r="L226" s="232">
        <f t="shared" ca="1" si="112"/>
        <v>0</v>
      </c>
      <c r="M226" s="207">
        <f t="shared" ca="1" si="112"/>
        <v>0</v>
      </c>
      <c r="N226" s="235">
        <f t="shared" ca="1" si="112"/>
        <v>0</v>
      </c>
    </row>
    <row r="227" spans="1:14" x14ac:dyDescent="0.25">
      <c r="A227" s="205" t="str">
        <f t="shared" si="72"/>
        <v/>
      </c>
      <c r="B227" s="207" t="str">
        <f t="shared" ref="B227:N227" si="113">IF($C106="","",IF($C106&lt;0,0,IF(AND($C106=1,start_time&lt;1),-(SUM(B180)*output_kgyear*$E106*percnt_var*start_time+SUM(B180)*output_kgyear*$E106*(1-start_time)),IF($C106&lt;=start_time,-SUM(B180)*output_kgyear*$E106*percnt_var,-SUM(B180)*output_kgyear*$E106))))</f>
        <v/>
      </c>
      <c r="C227" s="207" t="str">
        <f t="shared" si="113"/>
        <v/>
      </c>
      <c r="D227" s="207" t="str">
        <f t="shared" si="113"/>
        <v/>
      </c>
      <c r="E227" s="234" t="str">
        <f t="shared" si="113"/>
        <v/>
      </c>
      <c r="F227" s="206" t="str">
        <f t="shared" si="113"/>
        <v/>
      </c>
      <c r="G227" s="207" t="str">
        <f t="shared" si="113"/>
        <v/>
      </c>
      <c r="H227" s="207" t="str">
        <f t="shared" si="113"/>
        <v/>
      </c>
      <c r="I227" s="234" t="str">
        <f t="shared" si="113"/>
        <v/>
      </c>
      <c r="J227" s="600" t="str">
        <f t="shared" si="113"/>
        <v/>
      </c>
      <c r="K227" s="232" t="str">
        <f t="shared" si="113"/>
        <v/>
      </c>
      <c r="L227" s="232" t="str">
        <f t="shared" si="113"/>
        <v/>
      </c>
      <c r="M227" s="207" t="str">
        <f t="shared" si="113"/>
        <v/>
      </c>
      <c r="N227" s="235" t="str">
        <f t="shared" si="113"/>
        <v/>
      </c>
    </row>
    <row r="228" spans="1:14" x14ac:dyDescent="0.25">
      <c r="A228" s="205" t="str">
        <f t="shared" si="72"/>
        <v/>
      </c>
      <c r="B228" s="207" t="str">
        <f t="shared" ref="B228:N228" si="114">IF($C107="","",IF($C107&lt;0,0,IF(AND($C107=1,start_time&lt;1),-(SUM(B181)*output_kgyear*$E107*percnt_var*start_time+SUM(B181)*output_kgyear*$E107*(1-start_time)),IF($C107&lt;=start_time,-SUM(B181)*output_kgyear*$E107*percnt_var,-SUM(B181)*output_kgyear*$E107))))</f>
        <v/>
      </c>
      <c r="C228" s="207" t="str">
        <f t="shared" si="114"/>
        <v/>
      </c>
      <c r="D228" s="207" t="str">
        <f t="shared" si="114"/>
        <v/>
      </c>
      <c r="E228" s="234" t="str">
        <f t="shared" si="114"/>
        <v/>
      </c>
      <c r="F228" s="206" t="str">
        <f t="shared" si="114"/>
        <v/>
      </c>
      <c r="G228" s="207" t="str">
        <f t="shared" si="114"/>
        <v/>
      </c>
      <c r="H228" s="207" t="str">
        <f t="shared" si="114"/>
        <v/>
      </c>
      <c r="I228" s="234" t="str">
        <f t="shared" si="114"/>
        <v/>
      </c>
      <c r="J228" s="600" t="str">
        <f t="shared" si="114"/>
        <v/>
      </c>
      <c r="K228" s="232" t="str">
        <f t="shared" si="114"/>
        <v/>
      </c>
      <c r="L228" s="232" t="str">
        <f t="shared" si="114"/>
        <v/>
      </c>
      <c r="M228" s="207" t="str">
        <f t="shared" si="114"/>
        <v/>
      </c>
      <c r="N228" s="235" t="str">
        <f t="shared" si="114"/>
        <v/>
      </c>
    </row>
    <row r="229" spans="1:14" x14ac:dyDescent="0.25">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600" t="str">
        <f t="shared" si="115"/>
        <v/>
      </c>
      <c r="K229" s="232" t="str">
        <f t="shared" si="115"/>
        <v/>
      </c>
      <c r="L229" s="232" t="str">
        <f t="shared" si="115"/>
        <v/>
      </c>
      <c r="M229" s="207" t="str">
        <f t="shared" si="115"/>
        <v/>
      </c>
      <c r="N229" s="235" t="str">
        <f t="shared" si="115"/>
        <v/>
      </c>
    </row>
    <row r="231" spans="1:14" x14ac:dyDescent="0.25">
      <c r="A231" s="207" t="s">
        <v>1189</v>
      </c>
      <c r="B231" s="207">
        <f ca="1">+B186+NPV($X$59,B187:B228)</f>
        <v>-812237963.98764038</v>
      </c>
      <c r="C231" s="207">
        <f t="shared" ref="C231:N231" ca="1" si="116">+C186+NPV($X$59,C187:C228)</f>
        <v>0</v>
      </c>
      <c r="D231" s="207">
        <f t="shared" ca="1" si="116"/>
        <v>0</v>
      </c>
      <c r="E231" s="207">
        <f t="shared" ca="1" si="116"/>
        <v>0</v>
      </c>
      <c r="F231" s="207">
        <f t="shared" ca="1" si="116"/>
        <v>0</v>
      </c>
      <c r="G231" s="207">
        <f t="shared" ca="1" si="116"/>
        <v>0</v>
      </c>
      <c r="H231" s="207">
        <f t="shared" ca="1" si="116"/>
        <v>0</v>
      </c>
      <c r="I231" s="207">
        <f t="shared" ca="1" si="116"/>
        <v>0</v>
      </c>
      <c r="J231" s="207">
        <f t="shared" ca="1" si="116"/>
        <v>0</v>
      </c>
      <c r="K231" s="207">
        <f t="shared" ca="1" si="116"/>
        <v>0</v>
      </c>
      <c r="L231" s="207">
        <f t="shared" ca="1" si="116"/>
        <v>0</v>
      </c>
      <c r="M231" s="207">
        <f t="shared" ca="1" si="116"/>
        <v>0</v>
      </c>
      <c r="N231" s="207">
        <f t="shared" ca="1" si="116"/>
        <v>0</v>
      </c>
    </row>
    <row r="232" spans="1:14" x14ac:dyDescent="0.25">
      <c r="A232" s="207" t="s">
        <v>1188</v>
      </c>
      <c r="B232" s="207">
        <f ca="1">-B231/$AE$116*(1+inflation_rate)^construct/INFLATION_FACTOR</f>
        <v>3.995330806246626</v>
      </c>
      <c r="C232" s="207">
        <f t="shared" ref="C232:N232" ca="1" si="117">-C231/$AE$116*(1+inflation_rate)^construct/INFLATION_FACTOR</f>
        <v>0</v>
      </c>
      <c r="D232" s="207">
        <f t="shared" ca="1" si="117"/>
        <v>0</v>
      </c>
      <c r="E232" s="207">
        <f t="shared" ca="1" si="117"/>
        <v>0</v>
      </c>
      <c r="F232" s="207">
        <f ca="1">-F231/$AE$116*(1+inflation_rate)^construct/INFLATION_FACTOR</f>
        <v>0</v>
      </c>
      <c r="G232" s="207">
        <f t="shared" ca="1" si="117"/>
        <v>0</v>
      </c>
      <c r="H232" s="207">
        <f t="shared" ca="1" si="117"/>
        <v>0</v>
      </c>
      <c r="I232" s="207">
        <f t="shared" ca="1" si="117"/>
        <v>0</v>
      </c>
      <c r="J232" s="207">
        <f t="shared" ca="1" si="117"/>
        <v>0</v>
      </c>
      <c r="K232" s="207">
        <f t="shared" ca="1" si="117"/>
        <v>0</v>
      </c>
      <c r="L232" s="207">
        <f t="shared" ca="1" si="117"/>
        <v>0</v>
      </c>
      <c r="M232" s="207">
        <f t="shared" ca="1" si="117"/>
        <v>0</v>
      </c>
      <c r="N232" s="207">
        <f t="shared" ca="1" si="117"/>
        <v>0</v>
      </c>
    </row>
    <row r="233" spans="1:14" x14ac:dyDescent="0.25">
      <c r="A233" s="207" t="s">
        <v>1190</v>
      </c>
      <c r="B233" s="207">
        <f ca="1">IF(B132&gt;0,B232/B133*(1+inflation_rate)^construct,"")</f>
        <v>7.497683409880869E-2</v>
      </c>
      <c r="C233" s="207" t="str">
        <f t="shared" ref="C233:N233" si="118">IF(C132&gt;0,C232/C133*(1+inflation_rate)^construct,"")</f>
        <v/>
      </c>
      <c r="D233" s="207" t="str">
        <f t="shared" si="118"/>
        <v/>
      </c>
      <c r="E233" s="207" t="str">
        <f t="shared" si="118"/>
        <v/>
      </c>
      <c r="F233" s="207" t="str">
        <f t="shared" si="118"/>
        <v/>
      </c>
      <c r="G233" s="207" t="str">
        <f t="shared" si="118"/>
        <v/>
      </c>
      <c r="H233" s="207" t="str">
        <f t="shared" si="118"/>
        <v/>
      </c>
      <c r="I233" s="207" t="str">
        <f t="shared" si="118"/>
        <v/>
      </c>
      <c r="J233" s="207" t="str">
        <f t="shared" ca="1" si="118"/>
        <v/>
      </c>
      <c r="K233" s="207" t="str">
        <f t="shared" si="118"/>
        <v/>
      </c>
      <c r="L233" s="207" t="str">
        <f t="shared" si="118"/>
        <v/>
      </c>
      <c r="M233" s="207" t="str">
        <f t="shared" si="118"/>
        <v/>
      </c>
      <c r="N233" s="207" t="str">
        <f t="shared" si="118"/>
        <v/>
      </c>
    </row>
    <row r="279" spans="1:5" x14ac:dyDescent="0.25">
      <c r="A279" s="53" t="s">
        <v>193</v>
      </c>
    </row>
    <row r="280" spans="1:5" x14ac:dyDescent="0.25">
      <c r="A280" s="53" t="s">
        <v>1051</v>
      </c>
      <c r="B280" s="53" t="s">
        <v>637</v>
      </c>
      <c r="C280" s="53" t="s">
        <v>194</v>
      </c>
      <c r="D280" s="53" t="s">
        <v>195</v>
      </c>
      <c r="E280" s="53" t="s">
        <v>196</v>
      </c>
    </row>
    <row r="281" spans="1:5" x14ac:dyDescent="0.25">
      <c r="A281" s="53" t="str">
        <f>'HyARC Physical Property Data'!A76</f>
        <v>Commercial Electricity</v>
      </c>
      <c r="B281" s="53">
        <f ca="1">VLOOKUP(A281,MASTER_PROPERTY_TABLE,9,FALSE)</f>
        <v>3.5999999999999995E-3</v>
      </c>
      <c r="C281" s="53">
        <f ca="1">MATCH(startup_year,Feedstock_Year,0)</f>
        <v>19</v>
      </c>
      <c r="D281" s="53">
        <f ca="1">VLOOKUP(A281,FEEDPRICETABLE,C281,FALSE)</f>
        <v>29.932211922183079</v>
      </c>
      <c r="E281" s="53">
        <f ca="1">B281*D281</f>
        <v>0.10775596291985907</v>
      </c>
    </row>
    <row r="282" spans="1:5" x14ac:dyDescent="0.25">
      <c r="A282" s="53" t="str">
        <f>'HyARC Physical Property Data'!A77</f>
        <v>Industrial Electricity</v>
      </c>
      <c r="B282" s="53">
        <f ca="1">VLOOKUP(A282,MASTER_PROPERTY_TABLE,9,FALSE)</f>
        <v>3.5999999999999995E-3</v>
      </c>
      <c r="C282" s="53">
        <f ca="1">MATCH(startup_year,Feedstock_Year,0)+2</f>
        <v>21</v>
      </c>
      <c r="D282" s="53">
        <f ca="1">VLOOKUP(A282,FEEDPRICETABLE,C282,FALSE)</f>
        <v>19.537493744407882</v>
      </c>
      <c r="E282" s="53">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zoomScale="85" zoomScaleNormal="85" workbookViewId="0">
      <pane xSplit="1" ySplit="6" topLeftCell="B47" activePane="bottomRight" state="frozen"/>
      <selection pane="topRight" activeCell="B1" sqref="B1"/>
      <selection pane="bottomLeft" activeCell="A7" sqref="A7"/>
      <selection pane="bottomRight" activeCell="I92" sqref="I92"/>
    </sheetView>
  </sheetViews>
  <sheetFormatPr defaultRowHeight="12.5" x14ac:dyDescent="0.25"/>
  <cols>
    <col min="1" max="1" width="30.26953125" customWidth="1"/>
    <col min="2" max="2" width="18.81640625" customWidth="1"/>
    <col min="3" max="3" width="11.26953125" customWidth="1"/>
    <col min="5" max="5" width="12.7265625" customWidth="1"/>
    <col min="6" max="6" width="12.453125" customWidth="1"/>
    <col min="7" max="7" width="11.7265625" customWidth="1"/>
  </cols>
  <sheetData>
    <row r="3" spans="1:104" ht="13.5" thickBot="1" x14ac:dyDescent="0.35">
      <c r="BW3" s="1396" t="s">
        <v>1292</v>
      </c>
      <c r="BX3" s="1396"/>
      <c r="BY3" s="1396"/>
      <c r="BZ3" s="1396"/>
      <c r="CA3" s="1396"/>
      <c r="CB3" s="1396"/>
      <c r="CC3" s="1396"/>
      <c r="CD3" s="1396"/>
    </row>
    <row r="4" spans="1:104" ht="13.5" thickTop="1" x14ac:dyDescent="0.3">
      <c r="A4" s="866" t="s">
        <v>1116</v>
      </c>
      <c r="B4" s="867" t="str">
        <f>"Prices are in $(" &amp; ref_year&amp;")/GJ LHV"</f>
        <v>Prices are in $(2016)/GJ LHV</v>
      </c>
      <c r="C4" s="868"/>
      <c r="D4" s="868"/>
      <c r="E4" s="868"/>
      <c r="F4" s="868"/>
      <c r="G4" s="868"/>
      <c r="H4" s="868"/>
      <c r="I4" s="868"/>
      <c r="J4" s="868"/>
      <c r="K4" s="868"/>
      <c r="L4" s="868"/>
      <c r="M4" s="868"/>
      <c r="N4" s="868"/>
      <c r="O4" s="868"/>
      <c r="P4" s="868"/>
      <c r="Q4" s="868"/>
      <c r="R4" s="868"/>
      <c r="S4" s="868"/>
      <c r="T4" s="868"/>
      <c r="U4" s="868"/>
      <c r="V4" s="868"/>
      <c r="W4" s="868"/>
      <c r="X4" s="868"/>
      <c r="Y4" s="868"/>
      <c r="Z4" s="868"/>
      <c r="AA4" s="868"/>
      <c r="AB4" s="868"/>
      <c r="AC4" s="868"/>
      <c r="AD4" s="868"/>
      <c r="AE4" s="868"/>
      <c r="AF4" s="868"/>
      <c r="AG4" s="868"/>
      <c r="AH4" s="881" t="s">
        <v>772</v>
      </c>
      <c r="AI4" s="882"/>
      <c r="AJ4" s="882"/>
      <c r="AK4" s="882"/>
      <c r="AL4" s="882"/>
      <c r="AM4" s="882"/>
      <c r="AN4" s="882"/>
      <c r="AO4" s="882"/>
      <c r="AP4" s="882"/>
      <c r="AQ4" s="882"/>
      <c r="AR4" s="882"/>
      <c r="AS4" s="882"/>
      <c r="AT4" s="882"/>
      <c r="AU4" s="882"/>
      <c r="AV4" s="882"/>
      <c r="AW4" s="882"/>
      <c r="AX4" s="882"/>
      <c r="AY4" s="882"/>
      <c r="AZ4" s="882"/>
      <c r="BA4" s="882"/>
      <c r="BB4" s="882"/>
      <c r="BC4" s="882"/>
      <c r="BD4" s="882"/>
      <c r="BE4" s="882"/>
      <c r="BF4" s="882"/>
      <c r="BG4" s="882"/>
      <c r="BH4" s="882"/>
      <c r="BI4" s="882"/>
      <c r="BJ4" s="882"/>
      <c r="BK4" s="882"/>
      <c r="BL4" s="882"/>
      <c r="BM4" s="882"/>
      <c r="BN4" s="882"/>
      <c r="BO4" s="882"/>
      <c r="BP4" s="882"/>
      <c r="BQ4" s="882"/>
      <c r="BR4" s="882"/>
      <c r="BS4" s="882"/>
      <c r="BT4" s="882"/>
      <c r="BU4" s="882"/>
      <c r="BV4" s="883"/>
    </row>
    <row r="5" spans="1:104" ht="39.5" thickBot="1" x14ac:dyDescent="0.35">
      <c r="A5" s="886" t="s">
        <v>1083</v>
      </c>
      <c r="B5" s="887" t="s">
        <v>678</v>
      </c>
      <c r="C5" s="887" t="s">
        <v>679</v>
      </c>
      <c r="D5" s="887" t="s">
        <v>690</v>
      </c>
      <c r="E5" s="887" t="s">
        <v>691</v>
      </c>
      <c r="F5" s="888" t="s">
        <v>680</v>
      </c>
      <c r="G5" s="888" t="s">
        <v>692</v>
      </c>
      <c r="H5" s="888">
        <v>2004</v>
      </c>
      <c r="I5" s="888">
        <v>2005</v>
      </c>
      <c r="J5" s="888">
        <v>2006</v>
      </c>
      <c r="K5" s="888">
        <v>2007</v>
      </c>
      <c r="L5" s="888">
        <v>2008</v>
      </c>
      <c r="M5" s="888">
        <v>2009</v>
      </c>
      <c r="N5" s="888">
        <v>2010</v>
      </c>
      <c r="O5" s="888">
        <v>2011</v>
      </c>
      <c r="P5" s="888">
        <v>2012</v>
      </c>
      <c r="Q5" s="888">
        <v>2013</v>
      </c>
      <c r="R5" s="888">
        <v>2014</v>
      </c>
      <c r="S5" s="888">
        <v>2015</v>
      </c>
      <c r="T5" s="888">
        <v>2016</v>
      </c>
      <c r="U5" s="888">
        <v>2017</v>
      </c>
      <c r="V5" s="888">
        <v>2018</v>
      </c>
      <c r="W5" s="888">
        <v>2019</v>
      </c>
      <c r="X5" s="888">
        <v>2020</v>
      </c>
      <c r="Y5" s="888">
        <v>2021</v>
      </c>
      <c r="Z5" s="888">
        <v>2022</v>
      </c>
      <c r="AA5" s="888">
        <v>2023</v>
      </c>
      <c r="AB5" s="888">
        <v>2024</v>
      </c>
      <c r="AC5" s="888">
        <v>2025</v>
      </c>
      <c r="AD5" s="888">
        <v>2026</v>
      </c>
      <c r="AE5" s="888">
        <v>2027</v>
      </c>
      <c r="AF5" s="888">
        <v>2028</v>
      </c>
      <c r="AG5" s="888">
        <v>2029</v>
      </c>
      <c r="AH5" s="888">
        <v>2030</v>
      </c>
      <c r="AI5" s="888">
        <v>2031</v>
      </c>
      <c r="AJ5" s="888">
        <v>2032</v>
      </c>
      <c r="AK5" s="888">
        <v>2033</v>
      </c>
      <c r="AL5" s="888">
        <v>2034</v>
      </c>
      <c r="AM5" s="888">
        <v>2035</v>
      </c>
      <c r="AN5" s="888">
        <v>2036</v>
      </c>
      <c r="AO5" s="888">
        <v>2037</v>
      </c>
      <c r="AP5" s="888">
        <v>2038</v>
      </c>
      <c r="AQ5" s="888">
        <v>2039</v>
      </c>
      <c r="AR5" s="888">
        <v>2040</v>
      </c>
      <c r="AS5" s="888">
        <v>2041</v>
      </c>
      <c r="AT5" s="888">
        <v>2042</v>
      </c>
      <c r="AU5" s="888">
        <v>2043</v>
      </c>
      <c r="AV5" s="888">
        <v>2044</v>
      </c>
      <c r="AW5" s="888">
        <v>2045</v>
      </c>
      <c r="AX5" s="888">
        <v>2046</v>
      </c>
      <c r="AY5" s="888">
        <v>2047</v>
      </c>
      <c r="AZ5" s="888">
        <v>2048</v>
      </c>
      <c r="BA5" s="888">
        <v>2049</v>
      </c>
      <c r="BB5" s="888">
        <v>2050</v>
      </c>
      <c r="BC5" s="888">
        <v>2051</v>
      </c>
      <c r="BD5" s="888">
        <v>2052</v>
      </c>
      <c r="BE5" s="888">
        <v>2053</v>
      </c>
      <c r="BF5" s="888">
        <v>2054</v>
      </c>
      <c r="BG5" s="888">
        <v>2055</v>
      </c>
      <c r="BH5" s="888">
        <v>2056</v>
      </c>
      <c r="BI5" s="888">
        <v>2057</v>
      </c>
      <c r="BJ5" s="888">
        <v>2058</v>
      </c>
      <c r="BK5" s="888">
        <v>2059</v>
      </c>
      <c r="BL5" s="888">
        <v>2060</v>
      </c>
      <c r="BM5" s="888">
        <v>2061</v>
      </c>
      <c r="BN5" s="888">
        <v>2062</v>
      </c>
      <c r="BO5" s="888">
        <v>2063</v>
      </c>
      <c r="BP5" s="888">
        <v>2064</v>
      </c>
      <c r="BQ5" s="888">
        <v>2065</v>
      </c>
      <c r="BR5" s="888">
        <v>2066</v>
      </c>
      <c r="BS5" s="888">
        <v>2067</v>
      </c>
      <c r="BT5" s="888">
        <v>2068</v>
      </c>
      <c r="BU5" s="888">
        <v>2069</v>
      </c>
      <c r="BV5" s="889">
        <v>2070</v>
      </c>
      <c r="BW5" s="1396">
        <f t="shared" ref="BW5" si="0">+BV5+1</f>
        <v>2071</v>
      </c>
      <c r="BX5" s="1396">
        <f t="shared" ref="BX5" si="1">+BW5+1</f>
        <v>2072</v>
      </c>
      <c r="BY5" s="1396">
        <f t="shared" ref="BY5" si="2">+BX5+1</f>
        <v>2073</v>
      </c>
      <c r="BZ5" s="1396">
        <f t="shared" ref="BZ5" si="3">+BY5+1</f>
        <v>2074</v>
      </c>
      <c r="CA5" s="1396">
        <f t="shared" ref="CA5" si="4">+BZ5+1</f>
        <v>2075</v>
      </c>
      <c r="CB5" s="1396">
        <f t="shared" ref="CB5" si="5">+CA5+1</f>
        <v>2076</v>
      </c>
      <c r="CC5" s="1396">
        <f t="shared" ref="CC5" si="6">+CB5+1</f>
        <v>2077</v>
      </c>
      <c r="CD5" s="1396">
        <f t="shared" ref="CD5" si="7">+CC5+1</f>
        <v>2078</v>
      </c>
      <c r="CE5" s="1396">
        <f t="shared" ref="CE5" si="8">+CD5+1</f>
        <v>2079</v>
      </c>
      <c r="CF5" s="1396">
        <f t="shared" ref="CF5" si="9">+CE5+1</f>
        <v>2080</v>
      </c>
      <c r="CG5" s="1396">
        <f t="shared" ref="CG5" si="10">+CF5+1</f>
        <v>2081</v>
      </c>
      <c r="CH5" s="1396">
        <f t="shared" ref="CH5" si="11">+CG5+1</f>
        <v>2082</v>
      </c>
      <c r="CI5" s="1396">
        <f t="shared" ref="CI5" si="12">+CH5+1</f>
        <v>2083</v>
      </c>
      <c r="CJ5" s="1396">
        <f t="shared" ref="CJ5" si="13">+CI5+1</f>
        <v>2084</v>
      </c>
      <c r="CK5" s="1396">
        <f t="shared" ref="CK5" si="14">+CJ5+1</f>
        <v>2085</v>
      </c>
      <c r="CL5" s="1396">
        <f t="shared" ref="CL5" si="15">+CK5+1</f>
        <v>2086</v>
      </c>
      <c r="CM5" s="1396">
        <f t="shared" ref="CM5" si="16">+CL5+1</f>
        <v>2087</v>
      </c>
      <c r="CN5" s="1396">
        <f t="shared" ref="CN5" si="17">+CM5+1</f>
        <v>2088</v>
      </c>
      <c r="CO5" s="1396">
        <f t="shared" ref="CO5" si="18">+CN5+1</f>
        <v>2089</v>
      </c>
      <c r="CP5" s="1396">
        <f t="shared" ref="CP5" si="19">+CO5+1</f>
        <v>2090</v>
      </c>
      <c r="CQ5" s="1396">
        <f t="shared" ref="CQ5" si="20">+CP5+1</f>
        <v>2091</v>
      </c>
      <c r="CR5" s="1396">
        <f t="shared" ref="CR5" si="21">+CQ5+1</f>
        <v>2092</v>
      </c>
      <c r="CS5" s="1396">
        <f t="shared" ref="CS5" si="22">+CR5+1</f>
        <v>2093</v>
      </c>
      <c r="CT5" s="1396">
        <f t="shared" ref="CT5" si="23">+CS5+1</f>
        <v>2094</v>
      </c>
      <c r="CU5" s="1396">
        <f t="shared" ref="CU5" si="24">+CT5+1</f>
        <v>2095</v>
      </c>
      <c r="CV5" s="1396">
        <f t="shared" ref="CV5" si="25">+CU5+1</f>
        <v>2096</v>
      </c>
      <c r="CW5" s="1396">
        <f t="shared" ref="CW5" si="26">+CV5+1</f>
        <v>2097</v>
      </c>
      <c r="CX5" s="1396">
        <f t="shared" ref="CX5" si="27">+CW5+1</f>
        <v>2098</v>
      </c>
      <c r="CY5" s="1396">
        <f t="shared" ref="CY5" si="28">+CX5+1</f>
        <v>2099</v>
      </c>
      <c r="CZ5" s="1396">
        <f t="shared" ref="CZ5" si="29">+CY5+1</f>
        <v>2100</v>
      </c>
    </row>
    <row r="6" spans="1:104" ht="13" thickBot="1" x14ac:dyDescent="0.3">
      <c r="A6" s="956" t="s">
        <v>1089</v>
      </c>
      <c r="B6" s="957"/>
      <c r="C6" s="957"/>
      <c r="D6" s="957"/>
      <c r="E6" s="957"/>
      <c r="F6" s="870"/>
      <c r="G6" s="957"/>
      <c r="H6" s="957"/>
      <c r="I6" s="957"/>
      <c r="J6" s="957"/>
      <c r="K6" s="957"/>
      <c r="L6" s="957"/>
      <c r="M6" s="957"/>
      <c r="N6" s="957"/>
      <c r="O6" s="957"/>
      <c r="P6" s="957"/>
      <c r="Q6" s="957"/>
      <c r="R6" s="957"/>
      <c r="S6" s="957"/>
      <c r="T6" s="957"/>
      <c r="U6" s="957"/>
      <c r="V6" s="957"/>
      <c r="W6" s="957"/>
      <c r="X6" s="957"/>
      <c r="Y6" s="957"/>
      <c r="Z6" s="957"/>
      <c r="AA6" s="957"/>
      <c r="AB6" s="957"/>
      <c r="AC6" s="957"/>
      <c r="AD6" s="957"/>
      <c r="AE6" s="957"/>
      <c r="AF6" s="957"/>
      <c r="AG6" s="957"/>
      <c r="AH6" s="957"/>
      <c r="AI6" s="957"/>
      <c r="AJ6" s="957"/>
      <c r="AK6" s="957"/>
      <c r="AL6" s="957"/>
      <c r="AM6" s="957"/>
      <c r="AN6" s="957"/>
      <c r="AO6" s="957"/>
      <c r="AP6" s="957"/>
      <c r="AQ6" s="957"/>
      <c r="AR6" s="957"/>
      <c r="AS6" s="957"/>
      <c r="AT6" s="957"/>
      <c r="AU6" s="957"/>
      <c r="AV6" s="957"/>
      <c r="AW6" s="957"/>
      <c r="AX6" s="957"/>
      <c r="AY6" s="957"/>
      <c r="AZ6" s="957"/>
      <c r="BA6" s="957"/>
      <c r="BC6" s="957"/>
      <c r="BD6" s="957"/>
      <c r="BE6" s="957"/>
      <c r="BF6" s="957"/>
      <c r="BG6" s="957"/>
      <c r="BH6" s="957"/>
      <c r="BI6" s="957"/>
      <c r="BJ6" s="957"/>
      <c r="BK6" s="957"/>
      <c r="BL6" s="957"/>
      <c r="BM6" s="957"/>
      <c r="BN6" s="957"/>
      <c r="BO6" s="957"/>
      <c r="BP6" s="957"/>
      <c r="BR6" s="957"/>
      <c r="BS6" s="957"/>
      <c r="BT6" s="957"/>
      <c r="BU6" s="957"/>
    </row>
    <row r="7" spans="1:104" x14ac:dyDescent="0.25">
      <c r="A7" s="976" t="str">
        <f>'HyARC Physical Property Data'!A73</f>
        <v>Residential Natural Gas</v>
      </c>
      <c r="B7" s="957">
        <v>2007</v>
      </c>
      <c r="C7" s="958">
        <f>VLOOKUP(ref_year,DeflatorTable,2,FALSE)/VLOOKUP(B7,DeflatorTable,2,FALSE)</f>
        <v>1.1446359956438654</v>
      </c>
      <c r="D7" s="976" t="str">
        <f>'HyARC Physical Property Data'!H73</f>
        <v>mmBtu</v>
      </c>
      <c r="E7" s="958" t="s">
        <v>1057</v>
      </c>
      <c r="F7" s="957">
        <f>'HyARC Physical Property Data'!$E$6</f>
        <v>47.141269049911173</v>
      </c>
      <c r="G7" s="957">
        <f>'HyARC Physical Property Data'!$I$6</f>
        <v>52.224661236371581</v>
      </c>
      <c r="H7" s="957">
        <f>((13.7000589370728/(mmBTU_to_GJ))*($C$7))*($G$7/$F$7)</f>
        <v>16.46689578317423</v>
      </c>
      <c r="I7" s="957">
        <f>((13.7000589370728/(mmBTU_to_GJ))*($C$7))*($G$7/$F$7)</f>
        <v>16.46689578317423</v>
      </c>
      <c r="J7" s="957">
        <f>((13.7000589370728/(mmBTU_to_GJ))*($C$7))*($G$7/$F$7)</f>
        <v>16.46689578317423</v>
      </c>
      <c r="K7" s="957">
        <f>((12.6911582946777/(mmBTU_to_GJ))*($C$7))*($G$7/$F$7)</f>
        <v>15.254239559561855</v>
      </c>
      <c r="L7" s="957">
        <f>((12.9778490066528/(mmBTU_to_GJ))*($C$7))*($G$7/$F$7)</f>
        <v>15.59882976152975</v>
      </c>
      <c r="M7" s="957">
        <f>((10.7176141738892/(mmBTU_to_GJ))*($C$7))*($G$7/$F$7)</f>
        <v>12.882122365775233</v>
      </c>
      <c r="N7" s="957">
        <f>((11.192774772644/(mmBTU_to_GJ))*($C$7))*($G$7/$F$7)</f>
        <v>13.453245460639653</v>
      </c>
      <c r="O7" s="957">
        <f>((11.4872808456421/(mmBTU_to_GJ))*($C$7))*($G$7/$F$7)</f>
        <v>13.807229398507864</v>
      </c>
      <c r="P7" s="957">
        <f>((11.3991556167603/(mmBTU_to_GJ))*($C$7))*($G$7/$F$7)</f>
        <v>13.701306572443364</v>
      </c>
      <c r="Q7" s="957">
        <f>((11.3077983856201/(mmBTU_to_GJ))*($C$7))*($G$7/$F$7)</f>
        <v>13.591499015327374</v>
      </c>
      <c r="R7" s="957">
        <f>((11.2896461486816/(mmBTU_to_GJ))*($C$7))*($G$7/$F$7)</f>
        <v>13.569680788466401</v>
      </c>
      <c r="S7" s="957">
        <f>((11.3454151153564/(mmBTU_to_GJ))*($C$7))*($G$7/$F$7)</f>
        <v>13.636712745510335</v>
      </c>
      <c r="T7" s="957">
        <f>((11.5382986068726/(mmBTU_to_GJ))*($C$7))*($G$7/$F$7)</f>
        <v>13.868550606039326</v>
      </c>
      <c r="U7" s="957">
        <f>((11.7583208084106/(mmBTU_to_GJ))*($C$7))*($G$7/$F$7)</f>
        <v>14.133008056868725</v>
      </c>
      <c r="V7" s="957">
        <f>((11.9751005172729/(mmBTU_to_GJ))*($C$7))*($G$7/$F$7)</f>
        <v>14.393568167605377</v>
      </c>
      <c r="W7" s="957">
        <f>((12.23952293396/(mmBTU_to_GJ))*($C$7))*($G$7/$F$7)</f>
        <v>14.711392813347514</v>
      </c>
      <c r="X7" s="957">
        <f>((12.557071685791/(mmBTU_to_GJ))*($C$7))*($G$7/$F$7)</f>
        <v>15.093073083957748</v>
      </c>
      <c r="Y7" s="957">
        <f>((12.7957820892334/(mmBTU_to_GJ))*($C$7))*($G$7/$F$7)</f>
        <v>15.379992969040035</v>
      </c>
      <c r="Z7" s="957">
        <f>((12.8716516494751/(mmBTU_to_GJ))*($C$7))*($G$7/$F$7)</f>
        <v>15.471184995830123</v>
      </c>
      <c r="AA7" s="957">
        <f>((12.6602811813354/(mmBTU_to_GJ))*($C$7))*($G$7/$F$7)</f>
        <v>15.217126565389467</v>
      </c>
      <c r="AB7" s="957">
        <f>((12.6240320205688/(mmBTU_to_GJ))*($C$7))*($G$7/$F$7)</f>
        <v>15.173556595704456</v>
      </c>
      <c r="AC7" s="957">
        <f>((12.5992183685303/(mmBTU_to_GJ))*($C$7))*($G$7/$F$7)</f>
        <v>15.143731627505801</v>
      </c>
      <c r="AD7" s="957">
        <f>((12.7868556976318/(mmBTU_to_GJ))*($C$7))*($G$7/$F$7)</f>
        <v>15.369263821019688</v>
      </c>
      <c r="AE7" s="957">
        <f>((13.07555103302/(mmBTU_to_GJ))*($C$7))*($G$7/$F$7)</f>
        <v>15.716263496186178</v>
      </c>
      <c r="AF7" s="957">
        <f>((13.407883644104/(mmBTU_to_GJ))*($C$7))*($G$7/$F$7)</f>
        <v>16.115713345066876</v>
      </c>
      <c r="AG7" s="957">
        <f>((13.6725673675537/(mmBTU_to_GJ))*($C$7))*($G$7/$F$7)</f>
        <v>16.433852070569323</v>
      </c>
      <c r="AH7" s="957">
        <f>((13.9620389938354/(mmBTU_to_GJ))*($C$7))*($G$7/$F$7)</f>
        <v>16.781784814805029</v>
      </c>
      <c r="AI7" s="957">
        <f>($BB7-$AH7)/20+AH7</f>
        <v>16.924252919684925</v>
      </c>
      <c r="AJ7" s="957">
        <f t="shared" ref="AJ7:AY10" si="30">($BB7-$AH7)/20+AI7</f>
        <v>17.066721024564821</v>
      </c>
      <c r="AK7" s="957">
        <f t="shared" si="30"/>
        <v>17.209189129444717</v>
      </c>
      <c r="AL7" s="957">
        <f t="shared" si="30"/>
        <v>17.351657234324612</v>
      </c>
      <c r="AM7" s="957">
        <f t="shared" si="30"/>
        <v>17.494125339204508</v>
      </c>
      <c r="AN7" s="957">
        <f t="shared" si="30"/>
        <v>17.636593444084404</v>
      </c>
      <c r="AO7" s="957">
        <f t="shared" si="30"/>
        <v>17.7790615489643</v>
      </c>
      <c r="AP7" s="957">
        <f t="shared" si="30"/>
        <v>17.921529653844196</v>
      </c>
      <c r="AQ7" s="957">
        <f t="shared" si="30"/>
        <v>18.063997758724092</v>
      </c>
      <c r="AR7" s="957">
        <f t="shared" si="30"/>
        <v>18.206465863603988</v>
      </c>
      <c r="AS7" s="957">
        <f t="shared" si="30"/>
        <v>18.348933968483884</v>
      </c>
      <c r="AT7" s="957">
        <f t="shared" si="30"/>
        <v>18.49140207336378</v>
      </c>
      <c r="AU7" s="957">
        <f t="shared" si="30"/>
        <v>18.633870178243676</v>
      </c>
      <c r="AV7" s="957">
        <f t="shared" si="30"/>
        <v>18.776338283123572</v>
      </c>
      <c r="AW7" s="957">
        <f t="shared" si="30"/>
        <v>18.918806388003468</v>
      </c>
      <c r="AX7" s="957">
        <f t="shared" si="30"/>
        <v>19.061274492883364</v>
      </c>
      <c r="AY7" s="957">
        <f t="shared" si="30"/>
        <v>19.203742597763259</v>
      </c>
      <c r="AZ7" s="957">
        <f t="shared" ref="AY7:BA10" si="31">($BB7-$AH7)/20+AY7</f>
        <v>19.346210702643155</v>
      </c>
      <c r="BA7" s="957">
        <f t="shared" si="31"/>
        <v>19.488678807523051</v>
      </c>
      <c r="BB7" s="1074">
        <f>1.16978897829057*AH7</f>
        <v>19.631146912402976</v>
      </c>
      <c r="BC7" s="957">
        <f>($BQ7-$BB7)/15+BB7</f>
        <v>19.82552968566489</v>
      </c>
      <c r="BD7" s="957">
        <f t="shared" ref="BD7:BP7" si="32">($BQ7-$BB7)/15+BC7</f>
        <v>20.019912458926804</v>
      </c>
      <c r="BE7" s="957">
        <f t="shared" si="32"/>
        <v>20.214295232188718</v>
      </c>
      <c r="BF7" s="957">
        <f t="shared" si="32"/>
        <v>20.408678005450632</v>
      </c>
      <c r="BG7" s="957">
        <f t="shared" si="32"/>
        <v>20.603060778712546</v>
      </c>
      <c r="BH7" s="957">
        <f t="shared" si="32"/>
        <v>20.79744355197446</v>
      </c>
      <c r="BI7" s="957">
        <f t="shared" si="32"/>
        <v>20.991826325236374</v>
      </c>
      <c r="BJ7" s="957">
        <f t="shared" si="32"/>
        <v>21.186209098498288</v>
      </c>
      <c r="BK7" s="957">
        <f t="shared" si="32"/>
        <v>21.380591871760203</v>
      </c>
      <c r="BL7" s="957">
        <f t="shared" si="32"/>
        <v>21.574974645022117</v>
      </c>
      <c r="BM7" s="957">
        <f t="shared" si="32"/>
        <v>21.769357418284031</v>
      </c>
      <c r="BN7" s="957">
        <f t="shared" si="32"/>
        <v>21.963740191545945</v>
      </c>
      <c r="BO7" s="957">
        <f t="shared" si="32"/>
        <v>22.158122964807859</v>
      </c>
      <c r="BP7" s="957">
        <f t="shared" si="32"/>
        <v>22.352505738069773</v>
      </c>
      <c r="BQ7" s="1074">
        <f>1.14852629914794*BB7</f>
        <v>22.546888511331698</v>
      </c>
      <c r="BR7" s="957">
        <f>($BV7-$BQ7)/5+BQ7</f>
        <v>22.770142238524333</v>
      </c>
      <c r="BS7" s="957">
        <f>($BV7-$BQ7)/5+BR7</f>
        <v>22.993395965716967</v>
      </c>
      <c r="BT7" s="957">
        <f>($BV7-$BQ7)/5+BS7</f>
        <v>23.216649692909602</v>
      </c>
      <c r="BU7" s="957">
        <f>($BV7-$BQ7)/5+BT7</f>
        <v>23.439903420102237</v>
      </c>
      <c r="BV7" s="1075">
        <f>1.04950876638265*BQ7</f>
        <v>23.663157147294871</v>
      </c>
      <c r="BW7" s="1395">
        <f>+BV7*BW$133/BV$133</f>
        <v>23.741725786947789</v>
      </c>
      <c r="BX7" s="1395">
        <f t="shared" ref="BX7:CZ7" si="33">+BW7*BX$133/BW$133</f>
        <v>23.820555297586708</v>
      </c>
      <c r="BY7" s="1395">
        <f t="shared" si="33"/>
        <v>23.899646545380008</v>
      </c>
      <c r="BZ7" s="1395">
        <f t="shared" si="33"/>
        <v>23.979000399372005</v>
      </c>
      <c r="CA7" s="1395">
        <f t="shared" si="33"/>
        <v>24.058617731492493</v>
      </c>
      <c r="CB7" s="1395">
        <f t="shared" si="33"/>
        <v>24.109957095304743</v>
      </c>
      <c r="CC7" s="1395">
        <f t="shared" si="33"/>
        <v>24.1614060136353</v>
      </c>
      <c r="CD7" s="1395">
        <f t="shared" si="33"/>
        <v>24.212964720265646</v>
      </c>
      <c r="CE7" s="1395">
        <f t="shared" si="33"/>
        <v>24.264633449476126</v>
      </c>
      <c r="CF7" s="1395">
        <f t="shared" si="33"/>
        <v>24.316412436047038</v>
      </c>
      <c r="CG7" s="1395">
        <f t="shared" si="33"/>
        <v>24.333224744531737</v>
      </c>
      <c r="CH7" s="1395">
        <f t="shared" si="33"/>
        <v>24.350048677005677</v>
      </c>
      <c r="CI7" s="1395">
        <f t="shared" si="33"/>
        <v>24.366884241505659</v>
      </c>
      <c r="CJ7" s="1395">
        <f t="shared" si="33"/>
        <v>24.383731446074034</v>
      </c>
      <c r="CK7" s="1395">
        <f t="shared" si="33"/>
        <v>24.400590298758722</v>
      </c>
      <c r="CL7" s="1395">
        <f t="shared" si="33"/>
        <v>24.406304701449077</v>
      </c>
      <c r="CM7" s="1395">
        <f t="shared" si="33"/>
        <v>24.41202044240206</v>
      </c>
      <c r="CN7" s="1395">
        <f t="shared" si="33"/>
        <v>24.41773752193108</v>
      </c>
      <c r="CO7" s="1395">
        <f t="shared" si="33"/>
        <v>24.423455940349619</v>
      </c>
      <c r="CP7" s="1395">
        <f t="shared" si="33"/>
        <v>24.429175697971235</v>
      </c>
      <c r="CQ7" s="1395">
        <f t="shared" si="33"/>
        <v>24.437844539812179</v>
      </c>
      <c r="CR7" s="1395">
        <f t="shared" si="33"/>
        <v>24.446516457844467</v>
      </c>
      <c r="CS7" s="1395">
        <f t="shared" si="33"/>
        <v>24.455191453159703</v>
      </c>
      <c r="CT7" s="1395">
        <f t="shared" si="33"/>
        <v>24.463869526849884</v>
      </c>
      <c r="CU7" s="1395">
        <f t="shared" si="33"/>
        <v>24.472550680007387</v>
      </c>
      <c r="CV7" s="1395">
        <f t="shared" si="33"/>
        <v>24.485911011470357</v>
      </c>
      <c r="CW7" s="1395">
        <f t="shared" si="33"/>
        <v>24.499278636756479</v>
      </c>
      <c r="CX7" s="1395">
        <f t="shared" si="33"/>
        <v>24.512653559847685</v>
      </c>
      <c r="CY7" s="1395">
        <f t="shared" si="33"/>
        <v>24.526035784728073</v>
      </c>
      <c r="CZ7" s="1395">
        <f t="shared" si="33"/>
        <v>24.539425315383912</v>
      </c>
    </row>
    <row r="8" spans="1:104" x14ac:dyDescent="0.25">
      <c r="A8" s="874" t="str">
        <f>'HyARC Physical Property Data'!A71</f>
        <v>Commercial Natural Gas</v>
      </c>
      <c r="B8" s="260">
        <v>2007</v>
      </c>
      <c r="C8" s="873">
        <f>VLOOKUP(ref_year,DeflatorTable,2,FALSE)/VLOOKUP(B8,DeflatorTable,2,FALSE)</f>
        <v>1.1446359956438654</v>
      </c>
      <c r="D8" s="874" t="str">
        <f>'HyARC Physical Property Data'!H71</f>
        <v>mmBtu</v>
      </c>
      <c r="E8" s="873" t="s">
        <v>1057</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73">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73">
        <f>1.14852629914794*BB8</f>
        <v>20.216294531146865</v>
      </c>
      <c r="BR8" s="260">
        <f t="shared" ref="BR8:BU10" si="35">($BV8-$BQ8)/5+BQ8</f>
        <v>20.416471291759944</v>
      </c>
      <c r="BS8" s="260">
        <f t="shared" si="35"/>
        <v>20.616648052373023</v>
      </c>
      <c r="BT8" s="260">
        <f t="shared" si="35"/>
        <v>20.816824812986102</v>
      </c>
      <c r="BU8" s="260">
        <f t="shared" si="35"/>
        <v>21.017001573599181</v>
      </c>
      <c r="BV8" s="1076">
        <f>1.04950876638265*BQ8</f>
        <v>21.217178334212257</v>
      </c>
      <c r="BW8" s="1395">
        <f>+BV8*BW$134/BV$134</f>
        <v>21.287625604989181</v>
      </c>
      <c r="BX8" s="1395">
        <f t="shared" ref="BX8:CZ8" si="36">+BW8*BX$134/BW$134</f>
        <v>21.358306781419426</v>
      </c>
      <c r="BY8" s="1395">
        <f t="shared" si="36"/>
        <v>21.429222640138541</v>
      </c>
      <c r="BZ8" s="1395">
        <f t="shared" si="36"/>
        <v>21.500373960360729</v>
      </c>
      <c r="CA8" s="1395">
        <f t="shared" si="36"/>
        <v>21.571761523887421</v>
      </c>
      <c r="CB8" s="1395">
        <f t="shared" si="36"/>
        <v>21.617794115007417</v>
      </c>
      <c r="CC8" s="1395">
        <f t="shared" si="36"/>
        <v>21.663924936373601</v>
      </c>
      <c r="CD8" s="1395">
        <f t="shared" si="36"/>
        <v>21.710154197602268</v>
      </c>
      <c r="CE8" s="1395">
        <f t="shared" si="36"/>
        <v>21.756482108757027</v>
      </c>
      <c r="CF8" s="1395">
        <f t="shared" si="36"/>
        <v>21.802908880349733</v>
      </c>
      <c r="CG8" s="1395">
        <f t="shared" si="36"/>
        <v>21.817983358582254</v>
      </c>
      <c r="CH8" s="1395">
        <f t="shared" si="36"/>
        <v>21.833068259272402</v>
      </c>
      <c r="CI8" s="1395">
        <f t="shared" si="36"/>
        <v>21.848163589626239</v>
      </c>
      <c r="CJ8" s="1395">
        <f t="shared" si="36"/>
        <v>21.863269356854815</v>
      </c>
      <c r="CK8" s="1395">
        <f t="shared" si="36"/>
        <v>21.878385568174153</v>
      </c>
      <c r="CL8" s="1395">
        <f t="shared" si="36"/>
        <v>21.883509292798049</v>
      </c>
      <c r="CM8" s="1395">
        <f t="shared" si="36"/>
        <v>21.888634217352987</v>
      </c>
      <c r="CN8" s="1395">
        <f t="shared" si="36"/>
        <v>21.893760342119982</v>
      </c>
      <c r="CO8" s="1395">
        <f t="shared" si="36"/>
        <v>21.898887667380112</v>
      </c>
      <c r="CP8" s="1395">
        <f t="shared" si="36"/>
        <v>21.904016193414524</v>
      </c>
      <c r="CQ8" s="1395">
        <f t="shared" si="36"/>
        <v>21.911788967019731</v>
      </c>
      <c r="CR8" s="1395">
        <f t="shared" si="36"/>
        <v>21.919564498841009</v>
      </c>
      <c r="CS8" s="1395">
        <f t="shared" si="36"/>
        <v>21.927342789857128</v>
      </c>
      <c r="CT8" s="1395">
        <f t="shared" si="36"/>
        <v>21.935123841047208</v>
      </c>
      <c r="CU8" s="1395">
        <f t="shared" si="36"/>
        <v>21.942907653390712</v>
      </c>
      <c r="CV8" s="1395">
        <f t="shared" si="36"/>
        <v>21.954886973541843</v>
      </c>
      <c r="CW8" s="1395">
        <f t="shared" si="36"/>
        <v>21.966872833578826</v>
      </c>
      <c r="CX8" s="1395">
        <f t="shared" si="36"/>
        <v>21.978865237071986</v>
      </c>
      <c r="CY8" s="1395">
        <f t="shared" si="36"/>
        <v>21.990864187593605</v>
      </c>
      <c r="CZ8" s="1395">
        <f t="shared" si="36"/>
        <v>22.002869688717904</v>
      </c>
    </row>
    <row r="9" spans="1:104" x14ac:dyDescent="0.25">
      <c r="A9" s="874" t="str">
        <f>'HyARC Physical Property Data'!A72</f>
        <v>Industrial Natural Gas</v>
      </c>
      <c r="B9" s="260">
        <v>2007</v>
      </c>
      <c r="C9" s="873">
        <f t="shared" ref="C9:C18" si="37">VLOOKUP(ref_year,DeflatorTable,2,FALSE)/VLOOKUP(B9,DeflatorTable,2,FALSE)</f>
        <v>1.1446359956438654</v>
      </c>
      <c r="D9" s="1257" t="str">
        <f>'HyARC Physical Property Data'!H72</f>
        <v>mmBtu</v>
      </c>
      <c r="E9" s="873" t="s">
        <v>1057</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73">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73">
        <f>1.14852629914794*BB9</f>
        <v>14.038959866915382</v>
      </c>
      <c r="BR9" s="260">
        <f t="shared" si="35"/>
        <v>14.177970183776685</v>
      </c>
      <c r="BS9" s="260">
        <f t="shared" si="35"/>
        <v>14.316980500637987</v>
      </c>
      <c r="BT9" s="260">
        <f t="shared" si="35"/>
        <v>14.455990817499289</v>
      </c>
      <c r="BU9" s="260">
        <f t="shared" si="35"/>
        <v>14.595001134360592</v>
      </c>
      <c r="BV9" s="1076">
        <f>1.04950876638265*BQ9</f>
        <v>14.734011451221894</v>
      </c>
      <c r="BW9" s="1395">
        <f>+BV9*BW$135/BV$135</f>
        <v>14.78293270163439</v>
      </c>
      <c r="BX9" s="1395">
        <f t="shared" ref="BX9:CZ9" si="38">+BW9*BX$135/BW$135</f>
        <v>14.832016384983078</v>
      </c>
      <c r="BY9" s="1395">
        <f t="shared" si="38"/>
        <v>14.881263040593069</v>
      </c>
      <c r="BZ9" s="1395">
        <f t="shared" si="38"/>
        <v>14.93067320958019</v>
      </c>
      <c r="CA9" s="1395">
        <f t="shared" si="38"/>
        <v>14.980247434856935</v>
      </c>
      <c r="CB9" s="1395">
        <f t="shared" si="38"/>
        <v>15.012214207912603</v>
      </c>
      <c r="CC9" s="1395">
        <f t="shared" si="38"/>
        <v>15.044249195768062</v>
      </c>
      <c r="CD9" s="1395">
        <f t="shared" si="38"/>
        <v>15.076352543988799</v>
      </c>
      <c r="CE9" s="1395">
        <f t="shared" si="38"/>
        <v>15.10852439845093</v>
      </c>
      <c r="CF9" s="1395">
        <f t="shared" si="38"/>
        <v>15.140764905341857</v>
      </c>
      <c r="CG9" s="1395">
        <f t="shared" si="38"/>
        <v>15.151233193414877</v>
      </c>
      <c r="CH9" s="1395">
        <f t="shared" si="38"/>
        <v>15.16170871923684</v>
      </c>
      <c r="CI9" s="1395">
        <f t="shared" si="38"/>
        <v>15.172191487811906</v>
      </c>
      <c r="CJ9" s="1395">
        <f t="shared" si="38"/>
        <v>15.182681504147698</v>
      </c>
      <c r="CK9" s="1395">
        <f t="shared" si="38"/>
        <v>15.193178773255301</v>
      </c>
      <c r="CL9" s="1395">
        <f t="shared" si="38"/>
        <v>15.196736881505712</v>
      </c>
      <c r="CM9" s="1395">
        <f t="shared" si="38"/>
        <v>15.200295823033644</v>
      </c>
      <c r="CN9" s="1395">
        <f t="shared" si="38"/>
        <v>15.20385559803424</v>
      </c>
      <c r="CO9" s="1395">
        <f t="shared" si="38"/>
        <v>15.207416206702694</v>
      </c>
      <c r="CP9" s="1395">
        <f t="shared" si="38"/>
        <v>15.210977649234243</v>
      </c>
      <c r="CQ9" s="1395">
        <f t="shared" si="38"/>
        <v>15.216375357332034</v>
      </c>
      <c r="CR9" s="1395">
        <f t="shared" si="38"/>
        <v>15.221774980839431</v>
      </c>
      <c r="CS9" s="1395">
        <f t="shared" si="38"/>
        <v>15.22717652043613</v>
      </c>
      <c r="CT9" s="1395">
        <f t="shared" si="38"/>
        <v>15.232579976802066</v>
      </c>
      <c r="CU9" s="1395">
        <f t="shared" si="38"/>
        <v>15.237985350617416</v>
      </c>
      <c r="CV9" s="1395">
        <f t="shared" si="38"/>
        <v>15.246304243804076</v>
      </c>
      <c r="CW9" s="1395">
        <f t="shared" si="38"/>
        <v>15.254627678534927</v>
      </c>
      <c r="CX9" s="1395">
        <f t="shared" si="38"/>
        <v>15.262955657289339</v>
      </c>
      <c r="CY9" s="1395">
        <f t="shared" si="38"/>
        <v>15.271288182548037</v>
      </c>
      <c r="CZ9" s="1395">
        <f t="shared" si="38"/>
        <v>15.279625256793102</v>
      </c>
    </row>
    <row r="10" spans="1:104" x14ac:dyDescent="0.25">
      <c r="A10" s="874" t="str">
        <f>'HyARC Physical Property Data'!A74</f>
        <v>Electric Utility Natural Gas</v>
      </c>
      <c r="B10" s="260">
        <v>2007</v>
      </c>
      <c r="C10" s="873">
        <f t="shared" si="37"/>
        <v>1.1446359956438654</v>
      </c>
      <c r="D10" s="1257" t="str">
        <f>'HyARC Physical Property Data'!H74</f>
        <v>mmBtu</v>
      </c>
      <c r="E10" s="873" t="s">
        <v>1057</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73">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73">
        <f>1.14852629914794*BB10</f>
        <v>13.467243108211756</v>
      </c>
      <c r="BR10" s="260">
        <f t="shared" si="35"/>
        <v>13.600592426784317</v>
      </c>
      <c r="BS10" s="260">
        <f t="shared" si="35"/>
        <v>13.733941745356878</v>
      </c>
      <c r="BT10" s="260">
        <f t="shared" si="35"/>
        <v>13.867291063929439</v>
      </c>
      <c r="BU10" s="260">
        <f t="shared" si="35"/>
        <v>14.000640382502</v>
      </c>
      <c r="BV10" s="1076">
        <f>1.04950876638265*BQ10</f>
        <v>14.133989701074563</v>
      </c>
      <c r="BW10" s="1395">
        <f>+BV10*BW$136/BV$136</f>
        <v>14.180918702845942</v>
      </c>
      <c r="BX10" s="1395">
        <f t="shared" ref="BX10:CZ10" si="39">+BW10*BX$136/BW$136</f>
        <v>14.22800352270222</v>
      </c>
      <c r="BY10" s="1395">
        <f t="shared" si="39"/>
        <v>14.275244678005262</v>
      </c>
      <c r="BZ10" s="1395">
        <f t="shared" si="39"/>
        <v>14.322642687834716</v>
      </c>
      <c r="CA10" s="1395">
        <f t="shared" si="39"/>
        <v>14.370198072993734</v>
      </c>
      <c r="CB10" s="1395">
        <f t="shared" si="39"/>
        <v>14.400863044487831</v>
      </c>
      <c r="CC10" s="1395">
        <f t="shared" si="39"/>
        <v>14.431593452830604</v>
      </c>
      <c r="CD10" s="1395">
        <f t="shared" si="39"/>
        <v>14.46238943765959</v>
      </c>
      <c r="CE10" s="1395">
        <f t="shared" si="39"/>
        <v>14.493251138910308</v>
      </c>
      <c r="CF10" s="1395">
        <f t="shared" si="39"/>
        <v>14.524178696816882</v>
      </c>
      <c r="CG10" s="1395">
        <f t="shared" si="39"/>
        <v>14.534220678683244</v>
      </c>
      <c r="CH10" s="1395">
        <f t="shared" si="39"/>
        <v>14.54426960355147</v>
      </c>
      <c r="CI10" s="1395">
        <f t="shared" si="39"/>
        <v>14.554325476221939</v>
      </c>
      <c r="CJ10" s="1395">
        <f t="shared" si="39"/>
        <v>14.564388301498344</v>
      </c>
      <c r="CK10" s="1395">
        <f t="shared" si="39"/>
        <v>14.574458084187699</v>
      </c>
      <c r="CL10" s="1395">
        <f t="shared" si="39"/>
        <v>14.577871293518578</v>
      </c>
      <c r="CM10" s="1395">
        <f t="shared" si="39"/>
        <v>14.581285302192933</v>
      </c>
      <c r="CN10" s="1395">
        <f t="shared" si="39"/>
        <v>14.584700110397959</v>
      </c>
      <c r="CO10" s="1395">
        <f t="shared" si="39"/>
        <v>14.5881157183209</v>
      </c>
      <c r="CP10" s="1395">
        <f t="shared" si="39"/>
        <v>14.591532126149042</v>
      </c>
      <c r="CQ10" s="1395">
        <f t="shared" si="39"/>
        <v>14.596710020228747</v>
      </c>
      <c r="CR10" s="1395">
        <f t="shared" si="39"/>
        <v>14.601889751715715</v>
      </c>
      <c r="CS10" s="1395">
        <f t="shared" si="39"/>
        <v>14.607071321261961</v>
      </c>
      <c r="CT10" s="1395">
        <f t="shared" si="39"/>
        <v>14.61225472951973</v>
      </c>
      <c r="CU10" s="1395">
        <f t="shared" si="39"/>
        <v>14.617439977141501</v>
      </c>
      <c r="CV10" s="1395">
        <f t="shared" si="39"/>
        <v>14.625420095184293</v>
      </c>
      <c r="CW10" s="1395">
        <f t="shared" si="39"/>
        <v>14.633404569823321</v>
      </c>
      <c r="CX10" s="1395">
        <f t="shared" si="39"/>
        <v>14.641393403436986</v>
      </c>
      <c r="CY10" s="1395">
        <f t="shared" si="39"/>
        <v>14.649386598404989</v>
      </c>
      <c r="CZ10" s="1395">
        <f t="shared" si="39"/>
        <v>14.65738415710833</v>
      </c>
    </row>
    <row r="11" spans="1:104" x14ac:dyDescent="0.25">
      <c r="A11" s="874" t="str">
        <f>'HyARC Physical Property Data'!A75</f>
        <v>Bio Methane</v>
      </c>
      <c r="B11" s="260">
        <v>2007</v>
      </c>
      <c r="C11" s="873">
        <f t="shared" si="37"/>
        <v>1.1446359956438654</v>
      </c>
      <c r="D11" s="1257" t="str">
        <f>'HyARC Physical Property Data'!H75</f>
        <v>mmBtu</v>
      </c>
      <c r="E11" s="873" t="s">
        <v>1057</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95">
        <f>+BV11*BW$136/BV$136</f>
        <v>14.271092726019944</v>
      </c>
      <c r="BX11" s="1395">
        <f t="shared" ref="BX11:CZ11" si="42">+BW11*BX$136/BW$136</f>
        <v>14.318476950147966</v>
      </c>
      <c r="BY11" s="1395">
        <f t="shared" si="42"/>
        <v>14.366018503832969</v>
      </c>
      <c r="BZ11" s="1395">
        <f t="shared" si="42"/>
        <v>14.413717909455341</v>
      </c>
      <c r="CA11" s="1395">
        <f t="shared" si="42"/>
        <v>14.461575691129934</v>
      </c>
      <c r="CB11" s="1395">
        <f t="shared" si="42"/>
        <v>14.49243565590395</v>
      </c>
      <c r="CC11" s="1395">
        <f t="shared" si="42"/>
        <v>14.523361473628309</v>
      </c>
      <c r="CD11" s="1395">
        <f t="shared" si="42"/>
        <v>14.554353284828478</v>
      </c>
      <c r="CE11" s="1395">
        <f t="shared" si="42"/>
        <v>14.585411230329802</v>
      </c>
      <c r="CF11" s="1395">
        <f t="shared" si="42"/>
        <v>14.616535451258134</v>
      </c>
      <c r="CG11" s="1395">
        <f t="shared" si="42"/>
        <v>14.626641288360148</v>
      </c>
      <c r="CH11" s="1395">
        <f t="shared" si="42"/>
        <v>14.636754112613382</v>
      </c>
      <c r="CI11" s="1395">
        <f t="shared" si="42"/>
        <v>14.646873928848736</v>
      </c>
      <c r="CJ11" s="1395">
        <f t="shared" si="42"/>
        <v>14.657000741900452</v>
      </c>
      <c r="CK11" s="1395">
        <f t="shared" si="42"/>
        <v>14.667134556606111</v>
      </c>
      <c r="CL11" s="1395">
        <f t="shared" si="42"/>
        <v>14.670569469948116</v>
      </c>
      <c r="CM11" s="1395">
        <f t="shared" si="42"/>
        <v>14.674005187716483</v>
      </c>
      <c r="CN11" s="1395">
        <f t="shared" si="42"/>
        <v>14.6774417100996</v>
      </c>
      <c r="CO11" s="1395">
        <f t="shared" si="42"/>
        <v>14.6808790372859</v>
      </c>
      <c r="CP11" s="1395">
        <f t="shared" si="42"/>
        <v>14.684317169463862</v>
      </c>
      <c r="CQ11" s="1395">
        <f t="shared" si="42"/>
        <v>14.689527988881515</v>
      </c>
      <c r="CR11" s="1395">
        <f t="shared" si="42"/>
        <v>14.69474065739019</v>
      </c>
      <c r="CS11" s="1395">
        <f t="shared" si="42"/>
        <v>14.699955175646044</v>
      </c>
      <c r="CT11" s="1395">
        <f t="shared" si="42"/>
        <v>14.705171544305472</v>
      </c>
      <c r="CU11" s="1395">
        <f t="shared" si="42"/>
        <v>14.710389764025104</v>
      </c>
      <c r="CV11" s="1395">
        <f t="shared" si="42"/>
        <v>14.718420626266095</v>
      </c>
      <c r="CW11" s="1395">
        <f t="shared" si="42"/>
        <v>14.726455872806168</v>
      </c>
      <c r="CX11" s="1395">
        <f t="shared" si="42"/>
        <v>14.734495506038849</v>
      </c>
      <c r="CY11" s="1395">
        <f t="shared" si="42"/>
        <v>14.74253952835897</v>
      </c>
      <c r="CZ11" s="1395">
        <f t="shared" si="42"/>
        <v>14.750587942162673</v>
      </c>
    </row>
    <row r="12" spans="1:104" x14ac:dyDescent="0.25">
      <c r="A12" s="962" t="str">
        <f>'HyARC Physical Property Data'!A85</f>
        <v>Woody Biomass</v>
      </c>
      <c r="B12" s="260">
        <v>2005</v>
      </c>
      <c r="C12" s="873">
        <f>VLOOKUP(ref_year,DeflatorTable,2,FALSE)/VLOOKUP(B12,DeflatorTable,2,FALSE)</f>
        <v>1.2112501494873942</v>
      </c>
      <c r="D12" s="1257" t="str">
        <f>+'HyARC Physical Property Data'!$H$85</f>
        <v>kg</v>
      </c>
      <c r="E12" s="900" t="s">
        <v>1051</v>
      </c>
      <c r="F12" s="260">
        <f>'HyARC Physical Property Data'!$E$45</f>
        <v>19.551069237418005</v>
      </c>
      <c r="G12" s="260">
        <f>'HyARC Physical Property Data'!$I$45</f>
        <v>20.588656379262464</v>
      </c>
      <c r="H12" s="963">
        <f t="shared" ref="H12:O12" si="43">1.27*($C$12)</f>
        <v>1.5382876898489906</v>
      </c>
      <c r="I12" s="963">
        <f t="shared" si="43"/>
        <v>1.5382876898489906</v>
      </c>
      <c r="J12" s="963">
        <f t="shared" si="43"/>
        <v>1.5382876898489906</v>
      </c>
      <c r="K12" s="963">
        <f t="shared" si="43"/>
        <v>1.5382876898489906</v>
      </c>
      <c r="L12" s="963">
        <f t="shared" si="43"/>
        <v>1.5382876898489906</v>
      </c>
      <c r="M12" s="963">
        <f t="shared" si="43"/>
        <v>1.5382876898489906</v>
      </c>
      <c r="N12" s="963">
        <f t="shared" si="43"/>
        <v>1.5382876898489906</v>
      </c>
      <c r="O12" s="963">
        <f t="shared" si="43"/>
        <v>1.5382876898489906</v>
      </c>
      <c r="P12" s="963">
        <f>1.28*($C$12)</f>
        <v>1.5504001913438645</v>
      </c>
      <c r="Q12" s="963">
        <f>1.32*($C$12)</f>
        <v>1.5988501973233604</v>
      </c>
      <c r="R12" s="963">
        <f>1.32*($C$12)</f>
        <v>1.5988501973233604</v>
      </c>
      <c r="S12" s="963">
        <f>1.34*($C$12)</f>
        <v>1.6230752003131084</v>
      </c>
      <c r="T12" s="963">
        <f>1.34*($C$12)</f>
        <v>1.6230752003131084</v>
      </c>
      <c r="U12" s="963">
        <f>1.36*($C$12)</f>
        <v>1.6473002033028561</v>
      </c>
      <c r="V12" s="963">
        <f>1.36*($C$12)</f>
        <v>1.6473002033028561</v>
      </c>
      <c r="W12" s="963">
        <f>1.38*($C$12)</f>
        <v>1.6715252062926038</v>
      </c>
      <c r="X12" s="963">
        <f>1.4*($C$12)</f>
        <v>1.6957502092823518</v>
      </c>
      <c r="Y12" s="963">
        <f>1.46*($C$12)</f>
        <v>1.7684252182515954</v>
      </c>
      <c r="Z12" s="963">
        <f>1.48*($C$12)</f>
        <v>1.7926502212413433</v>
      </c>
      <c r="AA12" s="963">
        <f>1.48*($C$12)</f>
        <v>1.7926502212413433</v>
      </c>
      <c r="AB12" s="963">
        <f>1.51*($C$12)</f>
        <v>1.8289877257259652</v>
      </c>
      <c r="AC12" s="963">
        <f>1.52*($C$12)</f>
        <v>1.8411002272208392</v>
      </c>
      <c r="AD12" s="963">
        <f>1.62*($C$12)</f>
        <v>1.9622252421695787</v>
      </c>
      <c r="AE12" s="963">
        <f>1.72*($C$12)</f>
        <v>2.083350257118318</v>
      </c>
      <c r="AF12" s="963">
        <f>1.82*($C$12)</f>
        <v>2.2044752720670573</v>
      </c>
      <c r="AG12" s="963">
        <f>1.91*($C$12)</f>
        <v>2.3134877855209228</v>
      </c>
      <c r="AH12" s="963">
        <f>2.01*($C$12)</f>
        <v>2.4346128004696621</v>
      </c>
      <c r="AI12" s="963">
        <f>2.11*($C$12)</f>
        <v>2.5557378154184014</v>
      </c>
      <c r="AJ12" s="963">
        <f>2.2*($C$12)</f>
        <v>2.6647503288722674</v>
      </c>
      <c r="AK12" s="963">
        <f>2.3*($C$12)</f>
        <v>2.7858753438210062</v>
      </c>
      <c r="AL12" s="963">
        <f>2.4*($C$12)</f>
        <v>2.9070003587697459</v>
      </c>
      <c r="AM12" s="963">
        <f>2.5*($C$12)</f>
        <v>3.0281253737184857</v>
      </c>
      <c r="AN12" s="963">
        <f>2.57*($C$12)</f>
        <v>3.1129128841826028</v>
      </c>
      <c r="AO12" s="963">
        <f>2.64*($C$12)</f>
        <v>3.1977003946467208</v>
      </c>
      <c r="AP12" s="963">
        <f>2.71*($C$12)</f>
        <v>3.282487905110838</v>
      </c>
      <c r="AQ12" s="963">
        <f>2.78*($C$12)</f>
        <v>3.3672754155749556</v>
      </c>
      <c r="AR12" s="963">
        <f>2.85*($C$12)</f>
        <v>3.4520629260390736</v>
      </c>
      <c r="AS12" s="963">
        <f>2.92*($C$12)</f>
        <v>3.5368504365031908</v>
      </c>
      <c r="AT12" s="963">
        <f>2.99*($C$12)</f>
        <v>3.6216379469673088</v>
      </c>
      <c r="AU12" s="963">
        <f>3.07*($C$12)</f>
        <v>3.7185379589263001</v>
      </c>
      <c r="AV12" s="963">
        <f>3.14*($C$12)</f>
        <v>3.8033254693904177</v>
      </c>
      <c r="AW12" s="963">
        <f>3.21*($C$12)</f>
        <v>3.8881129798545353</v>
      </c>
      <c r="AX12" s="963">
        <f>3.28*($C$12)</f>
        <v>3.9729004903186529</v>
      </c>
      <c r="AY12" s="963">
        <f>3.35*($C$12)</f>
        <v>4.0576880007827709</v>
      </c>
      <c r="AZ12" s="963">
        <f>3.42*($C$12)</f>
        <v>4.1424755112468876</v>
      </c>
      <c r="BA12" s="963">
        <f>3.49*($C$12)</f>
        <v>4.2272630217110061</v>
      </c>
      <c r="BB12" s="963">
        <f>3.56*($C$12)</f>
        <v>4.3120505321751237</v>
      </c>
      <c r="BC12" s="963">
        <f>3.64*($C$12)</f>
        <v>4.4089505441341146</v>
      </c>
      <c r="BD12" s="963">
        <f>3.71*($C$12)</f>
        <v>4.4937380545982322</v>
      </c>
      <c r="BE12" s="963">
        <f>3.78*($C$12)</f>
        <v>4.5785255650623498</v>
      </c>
      <c r="BF12" s="963">
        <f>3.85*($C$12)</f>
        <v>4.6633130755264673</v>
      </c>
      <c r="BG12" s="963">
        <f>3.92*($C$12)</f>
        <v>4.7481005859905849</v>
      </c>
      <c r="BH12" s="963">
        <f>3.99*($C$12)</f>
        <v>4.8328880964547034</v>
      </c>
      <c r="BI12" s="963">
        <f>4.06*($C$12)</f>
        <v>4.9176756069188201</v>
      </c>
      <c r="BJ12" s="963">
        <f>4.14*($C$12)</f>
        <v>5.0145756188778119</v>
      </c>
      <c r="BK12" s="963">
        <f>4.21*($C$12)</f>
        <v>5.0993631293419295</v>
      </c>
      <c r="BL12" s="963">
        <f>4.28*($C$12)</f>
        <v>5.1841506398060471</v>
      </c>
      <c r="BM12" s="963">
        <f>4.35*($C$12)</f>
        <v>5.2689381502701647</v>
      </c>
      <c r="BN12" s="963">
        <f>4.42*($C$12)</f>
        <v>5.3537256607342822</v>
      </c>
      <c r="BO12" s="963">
        <f>4.49*($C$12)</f>
        <v>5.4385131711983998</v>
      </c>
      <c r="BP12" s="963">
        <f>4.56*($C$12)</f>
        <v>5.5233006816625174</v>
      </c>
      <c r="BQ12" s="963">
        <f>4.63*($C$12)</f>
        <v>5.608088192126635</v>
      </c>
      <c r="BR12" s="963">
        <f>4.71*($C$12)</f>
        <v>5.7049882040856268</v>
      </c>
      <c r="BS12" s="963">
        <f>4.78*($C$12)</f>
        <v>5.7897757145497444</v>
      </c>
      <c r="BT12" s="963">
        <f>4.85*($C$12)</f>
        <v>5.8745632250138611</v>
      </c>
      <c r="BU12" s="963">
        <f>4.92*($C$12)</f>
        <v>5.9593507354779796</v>
      </c>
      <c r="BV12" s="964">
        <f>4.99*($C$12)</f>
        <v>6.0441382459420971</v>
      </c>
      <c r="BW12" s="1395">
        <f>+BV12*BW$137/BV$137</f>
        <v>6.0586659764672328</v>
      </c>
      <c r="BX12" s="1395">
        <f t="shared" ref="BX12:CZ12" si="44">+BW12*BX$137/BW$137</f>
        <v>6.0732286259412112</v>
      </c>
      <c r="BY12" s="1395">
        <f t="shared" si="44"/>
        <v>6.0878262782954495</v>
      </c>
      <c r="BZ12" s="1395">
        <f t="shared" si="44"/>
        <v>6.1024590176630999</v>
      </c>
      <c r="CA12" s="1395">
        <f t="shared" si="44"/>
        <v>6.1171269283795393</v>
      </c>
      <c r="CB12" s="1395">
        <f t="shared" si="44"/>
        <v>6.1299667153690152</v>
      </c>
      <c r="CC12" s="1395">
        <f t="shared" si="44"/>
        <v>6.1428334529403346</v>
      </c>
      <c r="CD12" s="1395">
        <f t="shared" si="44"/>
        <v>6.155727197662495</v>
      </c>
      <c r="CE12" s="1395">
        <f t="shared" si="44"/>
        <v>6.1686480062232301</v>
      </c>
      <c r="CF12" s="1395">
        <f t="shared" si="44"/>
        <v>6.18159593542926</v>
      </c>
      <c r="CG12" s="1395">
        <f t="shared" si="44"/>
        <v>6.197524392005751</v>
      </c>
      <c r="CH12" s="1395">
        <f t="shared" si="44"/>
        <v>6.2134938923080965</v>
      </c>
      <c r="CI12" s="1395">
        <f t="shared" si="44"/>
        <v>6.229504542095909</v>
      </c>
      <c r="CJ12" s="1395">
        <f t="shared" si="44"/>
        <v>6.245556447401321</v>
      </c>
      <c r="CK12" s="1395">
        <f t="shared" si="44"/>
        <v>6.2616497145296828</v>
      </c>
      <c r="CL12" s="1395">
        <f t="shared" si="44"/>
        <v>6.2750522655841658</v>
      </c>
      <c r="CM12" s="1395">
        <f t="shared" si="44"/>
        <v>6.2884835037072264</v>
      </c>
      <c r="CN12" s="1395">
        <f t="shared" si="44"/>
        <v>6.3019434903011975</v>
      </c>
      <c r="CO12" s="1395">
        <f t="shared" si="44"/>
        <v>6.3154322868998385</v>
      </c>
      <c r="CP12" s="1395">
        <f t="shared" si="44"/>
        <v>6.3289499551686168</v>
      </c>
      <c r="CQ12" s="1395">
        <f t="shared" si="44"/>
        <v>6.3413225489579119</v>
      </c>
      <c r="CR12" s="1395">
        <f t="shared" si="44"/>
        <v>6.3537193301840116</v>
      </c>
      <c r="CS12" s="1395">
        <f t="shared" si="44"/>
        <v>6.3661403461314299</v>
      </c>
      <c r="CT12" s="1395">
        <f t="shared" si="44"/>
        <v>6.3785856441771198</v>
      </c>
      <c r="CU12" s="1395">
        <f t="shared" si="44"/>
        <v>6.3910552717906537</v>
      </c>
      <c r="CV12" s="1395">
        <f t="shared" si="44"/>
        <v>6.4057772391562917</v>
      </c>
      <c r="CW12" s="1395">
        <f t="shared" si="44"/>
        <v>6.4205331189689208</v>
      </c>
      <c r="CX12" s="1395">
        <f t="shared" si="44"/>
        <v>6.4353229893467718</v>
      </c>
      <c r="CY12" s="1395">
        <f t="shared" si="44"/>
        <v>6.4501469285880244</v>
      </c>
      <c r="CZ12" s="1395">
        <f t="shared" si="44"/>
        <v>6.4650050151712186</v>
      </c>
    </row>
    <row r="13" spans="1:104" x14ac:dyDescent="0.25">
      <c r="A13" s="962" t="str">
        <f>'HyARC Physical Property Data'!A86</f>
        <v>Woody Biomass B2A</v>
      </c>
      <c r="B13" s="260">
        <v>2007</v>
      </c>
      <c r="C13" s="873">
        <f>VLOOKUP(ref_year,DeflatorTable,2,FALSE)/VLOOKUP(B13,DeflatorTable,2,FALSE)</f>
        <v>1.1446359956438654</v>
      </c>
      <c r="D13" s="1257" t="str">
        <f>+'HyARC Physical Property Data'!$H$86</f>
        <v>kg</v>
      </c>
      <c r="E13" s="900" t="s">
        <v>1051</v>
      </c>
      <c r="F13" s="260">
        <f>'HyARC Physical Property Data'!$E$45</f>
        <v>19.551069237418005</v>
      </c>
      <c r="G13" s="260">
        <f>'HyARC Physical Property Data'!$I$45</f>
        <v>20.588656379262464</v>
      </c>
      <c r="H13" s="963">
        <f>3.80872262322035*($C$13)</f>
        <v>4.3596010119611401</v>
      </c>
      <c r="I13" s="963">
        <f>3.80872262322035*($C$13)</f>
        <v>4.3596010119611401</v>
      </c>
      <c r="J13" s="963">
        <f>3.80872262322035*($C$13)</f>
        <v>4.3596010119611401</v>
      </c>
      <c r="K13" s="963">
        <f>3.80872262322035*($C$13)</f>
        <v>4.3596010119611401</v>
      </c>
      <c r="L13" s="963">
        <f>3.58036841709093*($C$13)</f>
        <v>4.0982185678687273</v>
      </c>
      <c r="M13" s="963">
        <f>3.28153451771169*($C$13)</f>
        <v>3.756162529920632</v>
      </c>
      <c r="N13" s="963">
        <f>3.05599949931226*($C$13)</f>
        <v>3.498007029582443</v>
      </c>
      <c r="O13" s="963">
        <f>2.9206784882726*($C$13)</f>
        <v>3.3431137293795268</v>
      </c>
      <c r="P13" s="963">
        <f t="shared" ref="P13:BV13" si="45">2.85865635821276*($C$13)</f>
        <v>3.2721209667865292</v>
      </c>
      <c r="Q13" s="963">
        <f t="shared" si="45"/>
        <v>3.2721209667865292</v>
      </c>
      <c r="R13" s="963">
        <f t="shared" si="45"/>
        <v>3.2721209667865292</v>
      </c>
      <c r="S13" s="963">
        <f t="shared" si="45"/>
        <v>3.2721209667865292</v>
      </c>
      <c r="T13" s="963">
        <f t="shared" si="45"/>
        <v>3.2721209667865292</v>
      </c>
      <c r="U13" s="963">
        <f t="shared" si="45"/>
        <v>3.2721209667865292</v>
      </c>
      <c r="V13" s="963">
        <f t="shared" si="45"/>
        <v>3.2721209667865292</v>
      </c>
      <c r="W13" s="963">
        <f t="shared" si="45"/>
        <v>3.2721209667865292</v>
      </c>
      <c r="X13" s="963">
        <f t="shared" si="45"/>
        <v>3.2721209667865292</v>
      </c>
      <c r="Y13" s="963">
        <f t="shared" si="45"/>
        <v>3.2721209667865292</v>
      </c>
      <c r="Z13" s="963">
        <f t="shared" si="45"/>
        <v>3.2721209667865292</v>
      </c>
      <c r="AA13" s="963">
        <f t="shared" si="45"/>
        <v>3.2721209667865292</v>
      </c>
      <c r="AB13" s="963">
        <f t="shared" si="45"/>
        <v>3.2721209667865292</v>
      </c>
      <c r="AC13" s="963">
        <f t="shared" si="45"/>
        <v>3.2721209667865292</v>
      </c>
      <c r="AD13" s="963">
        <f t="shared" si="45"/>
        <v>3.2721209667865292</v>
      </c>
      <c r="AE13" s="963">
        <f t="shared" si="45"/>
        <v>3.2721209667865292</v>
      </c>
      <c r="AF13" s="963">
        <f t="shared" si="45"/>
        <v>3.2721209667865292</v>
      </c>
      <c r="AG13" s="963">
        <f t="shared" si="45"/>
        <v>3.2721209667865292</v>
      </c>
      <c r="AH13" s="963">
        <f t="shared" si="45"/>
        <v>3.2721209667865292</v>
      </c>
      <c r="AI13" s="963">
        <f t="shared" si="45"/>
        <v>3.2721209667865292</v>
      </c>
      <c r="AJ13" s="963">
        <f t="shared" si="45"/>
        <v>3.2721209667865292</v>
      </c>
      <c r="AK13" s="963">
        <f t="shared" si="45"/>
        <v>3.2721209667865292</v>
      </c>
      <c r="AL13" s="963">
        <f t="shared" si="45"/>
        <v>3.2721209667865292</v>
      </c>
      <c r="AM13" s="963">
        <f t="shared" si="45"/>
        <v>3.2721209667865292</v>
      </c>
      <c r="AN13" s="963">
        <f t="shared" si="45"/>
        <v>3.2721209667865292</v>
      </c>
      <c r="AO13" s="963">
        <f t="shared" si="45"/>
        <v>3.2721209667865292</v>
      </c>
      <c r="AP13" s="963">
        <f t="shared" si="45"/>
        <v>3.2721209667865292</v>
      </c>
      <c r="AQ13" s="963">
        <f t="shared" si="45"/>
        <v>3.2721209667865292</v>
      </c>
      <c r="AR13" s="963">
        <f t="shared" si="45"/>
        <v>3.2721209667865292</v>
      </c>
      <c r="AS13" s="963">
        <f t="shared" si="45"/>
        <v>3.2721209667865292</v>
      </c>
      <c r="AT13" s="963">
        <f t="shared" si="45"/>
        <v>3.2721209667865292</v>
      </c>
      <c r="AU13" s="963">
        <f t="shared" si="45"/>
        <v>3.2721209667865292</v>
      </c>
      <c r="AV13" s="963">
        <f t="shared" si="45"/>
        <v>3.2721209667865292</v>
      </c>
      <c r="AW13" s="963">
        <f t="shared" si="45"/>
        <v>3.2721209667865292</v>
      </c>
      <c r="AX13" s="963">
        <f t="shared" si="45"/>
        <v>3.2721209667865292</v>
      </c>
      <c r="AY13" s="963">
        <f t="shared" si="45"/>
        <v>3.2721209667865292</v>
      </c>
      <c r="AZ13" s="963">
        <f t="shared" si="45"/>
        <v>3.2721209667865292</v>
      </c>
      <c r="BA13" s="963">
        <f t="shared" si="45"/>
        <v>3.2721209667865292</v>
      </c>
      <c r="BB13" s="963">
        <f t="shared" si="45"/>
        <v>3.2721209667865292</v>
      </c>
      <c r="BC13" s="963">
        <f t="shared" si="45"/>
        <v>3.2721209667865292</v>
      </c>
      <c r="BD13" s="963">
        <f t="shared" si="45"/>
        <v>3.2721209667865292</v>
      </c>
      <c r="BE13" s="963">
        <f t="shared" si="45"/>
        <v>3.2721209667865292</v>
      </c>
      <c r="BF13" s="963">
        <f t="shared" si="45"/>
        <v>3.2721209667865292</v>
      </c>
      <c r="BG13" s="963">
        <f t="shared" si="45"/>
        <v>3.2721209667865292</v>
      </c>
      <c r="BH13" s="963">
        <f t="shared" si="45"/>
        <v>3.2721209667865292</v>
      </c>
      <c r="BI13" s="963">
        <f t="shared" si="45"/>
        <v>3.2721209667865292</v>
      </c>
      <c r="BJ13" s="963">
        <f t="shared" si="45"/>
        <v>3.2721209667865292</v>
      </c>
      <c r="BK13" s="963">
        <f t="shared" si="45"/>
        <v>3.2721209667865292</v>
      </c>
      <c r="BL13" s="963">
        <f t="shared" si="45"/>
        <v>3.2721209667865292</v>
      </c>
      <c r="BM13" s="963">
        <f t="shared" si="45"/>
        <v>3.2721209667865292</v>
      </c>
      <c r="BN13" s="963">
        <f t="shared" si="45"/>
        <v>3.2721209667865292</v>
      </c>
      <c r="BO13" s="963">
        <f t="shared" si="45"/>
        <v>3.2721209667865292</v>
      </c>
      <c r="BP13" s="963">
        <f t="shared" si="45"/>
        <v>3.2721209667865292</v>
      </c>
      <c r="BQ13" s="963">
        <f t="shared" si="45"/>
        <v>3.2721209667865292</v>
      </c>
      <c r="BR13" s="963">
        <f t="shared" si="45"/>
        <v>3.2721209667865292</v>
      </c>
      <c r="BS13" s="963">
        <f t="shared" si="45"/>
        <v>3.2721209667865292</v>
      </c>
      <c r="BT13" s="963">
        <f t="shared" si="45"/>
        <v>3.2721209667865292</v>
      </c>
      <c r="BU13" s="963">
        <f t="shared" si="45"/>
        <v>3.2721209667865292</v>
      </c>
      <c r="BV13" s="964">
        <f t="shared" si="45"/>
        <v>3.2721209667865292</v>
      </c>
      <c r="BW13" s="1395">
        <f>+BV13*BW$137/BV$137</f>
        <v>3.2799858583089949</v>
      </c>
      <c r="BX13" s="1395">
        <f t="shared" ref="BX13:CZ13" si="46">+BW13*BX$137/BW$137</f>
        <v>3.2878696539365619</v>
      </c>
      <c r="BY13" s="1395">
        <f t="shared" si="46"/>
        <v>3.2957723991072623</v>
      </c>
      <c r="BZ13" s="1395">
        <f t="shared" si="46"/>
        <v>3.3036941393683414</v>
      </c>
      <c r="CA13" s="1395">
        <f t="shared" si="46"/>
        <v>3.3116349203765254</v>
      </c>
      <c r="CB13" s="1395">
        <f t="shared" si="46"/>
        <v>3.3185860082748779</v>
      </c>
      <c r="CC13" s="1395">
        <f t="shared" si="46"/>
        <v>3.3255516864357837</v>
      </c>
      <c r="CD13" s="1395">
        <f t="shared" si="46"/>
        <v>3.332531985484056</v>
      </c>
      <c r="CE13" s="1395">
        <f t="shared" si="46"/>
        <v>3.3395269361087871</v>
      </c>
      <c r="CF13" s="1395">
        <f t="shared" si="46"/>
        <v>3.3465365690634874</v>
      </c>
      <c r="CG13" s="1395">
        <f t="shared" si="46"/>
        <v>3.3551597730028546</v>
      </c>
      <c r="CH13" s="1395">
        <f t="shared" si="46"/>
        <v>3.3638051968237757</v>
      </c>
      <c r="CI13" s="1395">
        <f t="shared" si="46"/>
        <v>3.3724728977814351</v>
      </c>
      <c r="CJ13" s="1395">
        <f t="shared" si="46"/>
        <v>3.3811629332785507</v>
      </c>
      <c r="CK13" s="1395">
        <f t="shared" si="46"/>
        <v>3.3898753608657524</v>
      </c>
      <c r="CL13" s="1395">
        <f t="shared" si="46"/>
        <v>3.3971311128901611</v>
      </c>
      <c r="CM13" s="1395">
        <f t="shared" si="46"/>
        <v>3.4044023952606257</v>
      </c>
      <c r="CN13" s="1395">
        <f t="shared" si="46"/>
        <v>3.4116892412185864</v>
      </c>
      <c r="CO13" s="1395">
        <f t="shared" si="46"/>
        <v>3.4189916840766337</v>
      </c>
      <c r="CP13" s="1395">
        <f t="shared" si="46"/>
        <v>3.4263097572186623</v>
      </c>
      <c r="CQ13" s="1395">
        <f t="shared" si="46"/>
        <v>3.4330079202824653</v>
      </c>
      <c r="CR13" s="1395">
        <f t="shared" si="46"/>
        <v>3.4397191777223193</v>
      </c>
      <c r="CS13" s="1395">
        <f t="shared" si="46"/>
        <v>3.4464435551366885</v>
      </c>
      <c r="CT13" s="1395">
        <f t="shared" si="46"/>
        <v>3.453181078174079</v>
      </c>
      <c r="CU13" s="1395">
        <f t="shared" si="46"/>
        <v>3.4599317725331393</v>
      </c>
      <c r="CV13" s="1395">
        <f t="shared" si="46"/>
        <v>3.467901818241772</v>
      </c>
      <c r="CW13" s="1395">
        <f t="shared" si="46"/>
        <v>3.4758902231646247</v>
      </c>
      <c r="CX13" s="1395">
        <f t="shared" si="46"/>
        <v>3.4838970295926392</v>
      </c>
      <c r="CY13" s="1395">
        <f t="shared" si="46"/>
        <v>3.4919222799141783</v>
      </c>
      <c r="CZ13" s="1395">
        <f t="shared" si="46"/>
        <v>3.4999660166152444</v>
      </c>
    </row>
    <row r="14" spans="1:104" x14ac:dyDescent="0.25">
      <c r="A14" s="962" t="str">
        <f>'HyARC Physical Property Data'!$A$87</f>
        <v>Woody Biomass MYPP</v>
      </c>
      <c r="B14" s="260">
        <v>2007</v>
      </c>
      <c r="C14" s="873">
        <f>VLOOKUP(ref_year,DeflatorTable,2,FALSE)/VLOOKUP(B14,DeflatorTable,2,FALSE)</f>
        <v>1.1446359956438654</v>
      </c>
      <c r="D14" s="1257" t="str">
        <f>+'HyARC Physical Property Data'!$H$87</f>
        <v>kg</v>
      </c>
      <c r="E14" s="900" t="s">
        <v>1051</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63">
        <f t="shared" ref="O14:T14" si="48">N14-($N$14-$U$14)/7</f>
        <v>4.9664808197552768</v>
      </c>
      <c r="P14" s="963">
        <f t="shared" si="48"/>
        <v>4.8458272435653873</v>
      </c>
      <c r="Q14" s="963">
        <f t="shared" si="48"/>
        <v>4.7251736673754978</v>
      </c>
      <c r="R14" s="963">
        <f t="shared" si="48"/>
        <v>4.6045200911856083</v>
      </c>
      <c r="S14" s="963">
        <f t="shared" si="48"/>
        <v>4.4838665149957189</v>
      </c>
      <c r="T14" s="963">
        <f t="shared" si="48"/>
        <v>4.3632129388058294</v>
      </c>
      <c r="U14" s="963">
        <f>3.70647033533964*$C$14</f>
        <v>4.2425593626159408</v>
      </c>
      <c r="V14" s="963">
        <f t="shared" ref="V14:BV14" si="49">3.70647033533964*$C$14</f>
        <v>4.2425593626159408</v>
      </c>
      <c r="W14" s="963">
        <f t="shared" si="49"/>
        <v>4.2425593626159408</v>
      </c>
      <c r="X14" s="963">
        <f t="shared" si="49"/>
        <v>4.2425593626159408</v>
      </c>
      <c r="Y14" s="963">
        <f t="shared" si="49"/>
        <v>4.2425593626159408</v>
      </c>
      <c r="Z14" s="963">
        <f t="shared" si="49"/>
        <v>4.2425593626159408</v>
      </c>
      <c r="AA14" s="963">
        <f t="shared" si="49"/>
        <v>4.2425593626159408</v>
      </c>
      <c r="AB14" s="963">
        <f t="shared" si="49"/>
        <v>4.2425593626159408</v>
      </c>
      <c r="AC14" s="963">
        <f t="shared" si="49"/>
        <v>4.2425593626159408</v>
      </c>
      <c r="AD14" s="963">
        <f t="shared" si="49"/>
        <v>4.2425593626159408</v>
      </c>
      <c r="AE14" s="963">
        <f t="shared" si="49"/>
        <v>4.2425593626159408</v>
      </c>
      <c r="AF14" s="963">
        <f t="shared" si="49"/>
        <v>4.2425593626159408</v>
      </c>
      <c r="AG14" s="963">
        <f t="shared" si="49"/>
        <v>4.2425593626159408</v>
      </c>
      <c r="AH14" s="963">
        <f t="shared" si="49"/>
        <v>4.2425593626159408</v>
      </c>
      <c r="AI14" s="963">
        <f t="shared" si="49"/>
        <v>4.2425593626159408</v>
      </c>
      <c r="AJ14" s="963">
        <f t="shared" si="49"/>
        <v>4.2425593626159408</v>
      </c>
      <c r="AK14" s="963">
        <f t="shared" si="49"/>
        <v>4.2425593626159408</v>
      </c>
      <c r="AL14" s="963">
        <f t="shared" si="49"/>
        <v>4.2425593626159408</v>
      </c>
      <c r="AM14" s="963">
        <f t="shared" si="49"/>
        <v>4.2425593626159408</v>
      </c>
      <c r="AN14" s="963">
        <f t="shared" si="49"/>
        <v>4.2425593626159408</v>
      </c>
      <c r="AO14" s="963">
        <f t="shared" si="49"/>
        <v>4.2425593626159408</v>
      </c>
      <c r="AP14" s="963">
        <f t="shared" si="49"/>
        <v>4.2425593626159408</v>
      </c>
      <c r="AQ14" s="963">
        <f t="shared" si="49"/>
        <v>4.2425593626159408</v>
      </c>
      <c r="AR14" s="963">
        <f t="shared" si="49"/>
        <v>4.2425593626159408</v>
      </c>
      <c r="AS14" s="963">
        <f t="shared" si="49"/>
        <v>4.2425593626159408</v>
      </c>
      <c r="AT14" s="963">
        <f t="shared" si="49"/>
        <v>4.2425593626159408</v>
      </c>
      <c r="AU14" s="963">
        <f t="shared" si="49"/>
        <v>4.2425593626159408</v>
      </c>
      <c r="AV14" s="963">
        <f t="shared" si="49"/>
        <v>4.2425593626159408</v>
      </c>
      <c r="AW14" s="963">
        <f t="shared" si="49"/>
        <v>4.2425593626159408</v>
      </c>
      <c r="AX14" s="963">
        <f t="shared" si="49"/>
        <v>4.2425593626159408</v>
      </c>
      <c r="AY14" s="963">
        <f t="shared" si="49"/>
        <v>4.2425593626159408</v>
      </c>
      <c r="AZ14" s="963">
        <f t="shared" si="49"/>
        <v>4.2425593626159408</v>
      </c>
      <c r="BA14" s="963">
        <f t="shared" si="49"/>
        <v>4.2425593626159408</v>
      </c>
      <c r="BB14" s="963">
        <f t="shared" si="49"/>
        <v>4.2425593626159408</v>
      </c>
      <c r="BC14" s="963">
        <f t="shared" si="49"/>
        <v>4.2425593626159408</v>
      </c>
      <c r="BD14" s="963">
        <f t="shared" si="49"/>
        <v>4.2425593626159408</v>
      </c>
      <c r="BE14" s="963">
        <f t="shared" si="49"/>
        <v>4.2425593626159408</v>
      </c>
      <c r="BF14" s="963">
        <f t="shared" si="49"/>
        <v>4.2425593626159408</v>
      </c>
      <c r="BG14" s="963">
        <f t="shared" si="49"/>
        <v>4.2425593626159408</v>
      </c>
      <c r="BH14" s="963">
        <f t="shared" si="49"/>
        <v>4.2425593626159408</v>
      </c>
      <c r="BI14" s="963">
        <f t="shared" si="49"/>
        <v>4.2425593626159408</v>
      </c>
      <c r="BJ14" s="963">
        <f t="shared" si="49"/>
        <v>4.2425593626159408</v>
      </c>
      <c r="BK14" s="963">
        <f t="shared" si="49"/>
        <v>4.2425593626159408</v>
      </c>
      <c r="BL14" s="963">
        <f t="shared" si="49"/>
        <v>4.2425593626159408</v>
      </c>
      <c r="BM14" s="963">
        <f t="shared" si="49"/>
        <v>4.2425593626159408</v>
      </c>
      <c r="BN14" s="963">
        <f t="shared" si="49"/>
        <v>4.2425593626159408</v>
      </c>
      <c r="BO14" s="963">
        <f t="shared" si="49"/>
        <v>4.2425593626159408</v>
      </c>
      <c r="BP14" s="963">
        <f t="shared" si="49"/>
        <v>4.2425593626159408</v>
      </c>
      <c r="BQ14" s="963">
        <f t="shared" si="49"/>
        <v>4.2425593626159408</v>
      </c>
      <c r="BR14" s="963">
        <f t="shared" si="49"/>
        <v>4.2425593626159408</v>
      </c>
      <c r="BS14" s="963">
        <f t="shared" si="49"/>
        <v>4.2425593626159408</v>
      </c>
      <c r="BT14" s="963">
        <f t="shared" si="49"/>
        <v>4.2425593626159408</v>
      </c>
      <c r="BU14" s="963">
        <f t="shared" si="49"/>
        <v>4.2425593626159408</v>
      </c>
      <c r="BV14" s="963">
        <f t="shared" si="49"/>
        <v>4.2425593626159408</v>
      </c>
      <c r="BW14" s="1395">
        <f>+BV14*BW$137/BV$137</f>
        <v>4.2527568062628252</v>
      </c>
      <c r="BX14" s="1395">
        <f t="shared" ref="BX14:CZ14" si="50">+BW14*BX$137/BW$137</f>
        <v>4.2629787605524712</v>
      </c>
      <c r="BY14" s="1395">
        <f t="shared" si="50"/>
        <v>4.2732252843988219</v>
      </c>
      <c r="BZ14" s="1395">
        <f t="shared" si="50"/>
        <v>4.2834964368574244</v>
      </c>
      <c r="CA14" s="1395">
        <f t="shared" si="50"/>
        <v>4.2937922771257746</v>
      </c>
      <c r="CB14" s="1395">
        <f t="shared" si="50"/>
        <v>4.302804903291757</v>
      </c>
      <c r="CC14" s="1395">
        <f t="shared" si="50"/>
        <v>4.3118364468680763</v>
      </c>
      <c r="CD14" s="1395">
        <f t="shared" si="50"/>
        <v>4.3208869475621841</v>
      </c>
      <c r="CE14" s="1395">
        <f t="shared" si="50"/>
        <v>4.3299564451648767</v>
      </c>
      <c r="CF14" s="1395">
        <f t="shared" si="50"/>
        <v>4.3390449795504713</v>
      </c>
      <c r="CG14" s="1395">
        <f t="shared" si="50"/>
        <v>4.3502256342328796</v>
      </c>
      <c r="CH14" s="1395">
        <f t="shared" si="50"/>
        <v>4.361435098720146</v>
      </c>
      <c r="CI14" s="1395">
        <f t="shared" si="50"/>
        <v>4.3726734472480695</v>
      </c>
      <c r="CJ14" s="1395">
        <f t="shared" si="50"/>
        <v>4.3839407542437394</v>
      </c>
      <c r="CK14" s="1395">
        <f t="shared" si="50"/>
        <v>4.3952370943260251</v>
      </c>
      <c r="CL14" s="1395">
        <f t="shared" si="50"/>
        <v>4.4046447412304142</v>
      </c>
      <c r="CM14" s="1395">
        <f t="shared" si="50"/>
        <v>4.4140725244365262</v>
      </c>
      <c r="CN14" s="1395">
        <f t="shared" si="50"/>
        <v>4.4235204870444758</v>
      </c>
      <c r="CO14" s="1395">
        <f t="shared" si="50"/>
        <v>4.4329886722466272</v>
      </c>
      <c r="CP14" s="1395">
        <f t="shared" si="50"/>
        <v>4.4424771233277953</v>
      </c>
      <c r="CQ14" s="1395">
        <f t="shared" si="50"/>
        <v>4.4511618127714661</v>
      </c>
      <c r="CR14" s="1395">
        <f t="shared" si="50"/>
        <v>4.4598634800922632</v>
      </c>
      <c r="CS14" s="1395">
        <f t="shared" si="50"/>
        <v>4.4685821584805847</v>
      </c>
      <c r="CT14" s="1395">
        <f t="shared" si="50"/>
        <v>4.4773178811917154</v>
      </c>
      <c r="CU14" s="1395">
        <f t="shared" si="50"/>
        <v>4.486070681545951</v>
      </c>
      <c r="CV14" s="1395">
        <f t="shared" si="50"/>
        <v>4.4964044657748525</v>
      </c>
      <c r="CW14" s="1395">
        <f t="shared" si="50"/>
        <v>4.5067620541531026</v>
      </c>
      <c r="CX14" s="1395">
        <f t="shared" si="50"/>
        <v>4.5171435015141972</v>
      </c>
      <c r="CY14" s="1395">
        <f t="shared" si="50"/>
        <v>4.5275488628179446</v>
      </c>
      <c r="CZ14" s="1395">
        <f t="shared" si="50"/>
        <v>4.537978193150753</v>
      </c>
    </row>
    <row r="15" spans="1:104" x14ac:dyDescent="0.25">
      <c r="A15" s="968" t="str">
        <f>'HyARC Physical Property Data'!A79</f>
        <v>Electric Utility Steam Coal</v>
      </c>
      <c r="B15" s="260">
        <v>2007</v>
      </c>
      <c r="C15" s="873">
        <f>VLOOKUP(ref_year,DeflatorTable,2,FALSE)/VLOOKUP(B15,DeflatorTable,2,FALSE)</f>
        <v>1.1446359956438654</v>
      </c>
      <c r="D15" s="1257" t="str">
        <f>+'HyARC Physical Property Data'!$H$79</f>
        <v>kg</v>
      </c>
      <c r="E15" s="900" t="s">
        <v>1051</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73">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73">
        <f>(1.02844862093285*BB15)</f>
        <v>2.511095364132073</v>
      </c>
      <c r="BR15" s="260">
        <f>(($BV$15-$BQ$15)/5+BQ15)</f>
        <v>2.5158578441414332</v>
      </c>
      <c r="BS15" s="260">
        <f>(($BV$15-$BQ$15)/5+BR15)</f>
        <v>2.5206203241507934</v>
      </c>
      <c r="BT15" s="260">
        <f>(($BV$15-$BQ$15)/5+BS15)</f>
        <v>2.5253828041601536</v>
      </c>
      <c r="BU15" s="260">
        <f>(($BV$15-$BQ$15)/5+BT15)</f>
        <v>2.5301452841695138</v>
      </c>
      <c r="BV15" s="1076">
        <f>(1.00948287364428*BQ15)</f>
        <v>2.5349077641788749</v>
      </c>
      <c r="BW15" s="1395">
        <f>+BV15*BW$138/BV$138</f>
        <v>2.5434781738814416</v>
      </c>
      <c r="BX15" s="1395">
        <f t="shared" ref="BX15:CZ15" si="53">+BW15*BX$138/BW$138</f>
        <v>2.5520775597556495</v>
      </c>
      <c r="BY15" s="1395">
        <f t="shared" si="53"/>
        <v>2.5607060197686384</v>
      </c>
      <c r="BZ15" s="1395">
        <f t="shared" si="53"/>
        <v>2.5693636522187702</v>
      </c>
      <c r="CA15" s="1395">
        <f t="shared" si="53"/>
        <v>2.5780505557367492</v>
      </c>
      <c r="CB15" s="1395">
        <f t="shared" si="53"/>
        <v>2.5854319192311639</v>
      </c>
      <c r="CC15" s="1395">
        <f t="shared" si="53"/>
        <v>2.592834416728135</v>
      </c>
      <c r="CD15" s="1395">
        <f t="shared" si="53"/>
        <v>2.6002581087376306</v>
      </c>
      <c r="CE15" s="1395">
        <f t="shared" si="53"/>
        <v>2.6077030559428676</v>
      </c>
      <c r="CF15" s="1395">
        <f t="shared" si="53"/>
        <v>2.6151693192008074</v>
      </c>
      <c r="CG15" s="1395">
        <f t="shared" si="53"/>
        <v>2.620869818974227</v>
      </c>
      <c r="CH15" s="1395">
        <f t="shared" si="53"/>
        <v>2.6265827445961101</v>
      </c>
      <c r="CI15" s="1395">
        <f t="shared" si="53"/>
        <v>2.6323081231521006</v>
      </c>
      <c r="CJ15" s="1395">
        <f t="shared" si="53"/>
        <v>2.6380459817868847</v>
      </c>
      <c r="CK15" s="1395">
        <f t="shared" si="53"/>
        <v>2.6437963477043169</v>
      </c>
      <c r="CL15" s="1395">
        <f t="shared" si="53"/>
        <v>2.6476946163242814</v>
      </c>
      <c r="CM15" s="1395">
        <f t="shared" si="53"/>
        <v>2.6515986329279162</v>
      </c>
      <c r="CN15" s="1395">
        <f t="shared" si="53"/>
        <v>2.6555084059906031</v>
      </c>
      <c r="CO15" s="1395">
        <f t="shared" si="53"/>
        <v>2.6594239440002214</v>
      </c>
      <c r="CP15" s="1395">
        <f t="shared" si="53"/>
        <v>2.6633452554571648</v>
      </c>
      <c r="CQ15" s="1395">
        <f t="shared" si="53"/>
        <v>2.6646584413422429</v>
      </c>
      <c r="CR15" s="1395">
        <f t="shared" si="53"/>
        <v>2.6659722747052119</v>
      </c>
      <c r="CS15" s="1395">
        <f t="shared" si="53"/>
        <v>2.6672867558653164</v>
      </c>
      <c r="CT15" s="1395">
        <f t="shared" si="53"/>
        <v>2.6686018851419582</v>
      </c>
      <c r="CU15" s="1395">
        <f t="shared" si="53"/>
        <v>2.6699176628546981</v>
      </c>
      <c r="CV15" s="1395">
        <f t="shared" si="53"/>
        <v>2.6680266065225413</v>
      </c>
      <c r="CW15" s="1395">
        <f t="shared" si="53"/>
        <v>2.6661368895927571</v>
      </c>
      <c r="CX15" s="1395">
        <f t="shared" si="53"/>
        <v>2.6642485111166696</v>
      </c>
      <c r="CY15" s="1395">
        <f t="shared" si="53"/>
        <v>2.662361470146275</v>
      </c>
      <c r="CZ15" s="1395">
        <f t="shared" si="53"/>
        <v>2.6604757657342417</v>
      </c>
    </row>
    <row r="16" spans="1:104" x14ac:dyDescent="0.25">
      <c r="A16" s="962" t="str">
        <f>'HyARC Physical Property Data'!A76</f>
        <v>Commercial Electricity</v>
      </c>
      <c r="B16" s="260">
        <v>2007</v>
      </c>
      <c r="C16" s="873">
        <f t="shared" si="37"/>
        <v>1.1446359956438654</v>
      </c>
      <c r="D16" s="1257" t="str">
        <f>'HyARC Physical Property Data'!$H$76</f>
        <v>kWh</v>
      </c>
      <c r="E16" s="873" t="s">
        <v>1070</v>
      </c>
      <c r="F16" s="873"/>
      <c r="G16" s="873"/>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73">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73">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76">
        <f>1.00317623736115*BQ16</f>
        <v>32.388575392639169</v>
      </c>
      <c r="BW16" s="1395">
        <f>+BV16*BW$139/BV$139</f>
        <v>32.37431458077026</v>
      </c>
      <c r="BX16" s="1395">
        <f t="shared" ref="BX16:CZ16" si="57">+BW16*BX$139/BW$139</f>
        <v>32.360060047990594</v>
      </c>
      <c r="BY16" s="1395">
        <f t="shared" si="57"/>
        <v>32.345811791535453</v>
      </c>
      <c r="BZ16" s="1395">
        <f t="shared" si="57"/>
        <v>32.331569808641355</v>
      </c>
      <c r="CA16" s="1395">
        <f t="shared" si="57"/>
        <v>32.317334096546027</v>
      </c>
      <c r="CB16" s="1395">
        <f t="shared" si="57"/>
        <v>32.291448416621037</v>
      </c>
      <c r="CC16" s="1395">
        <f t="shared" si="57"/>
        <v>32.265583470721417</v>
      </c>
      <c r="CD16" s="1395">
        <f t="shared" si="57"/>
        <v>32.239739242239537</v>
      </c>
      <c r="CE16" s="1395">
        <f t="shared" si="57"/>
        <v>32.213915714581077</v>
      </c>
      <c r="CF16" s="1395">
        <f t="shared" si="57"/>
        <v>32.188112871164996</v>
      </c>
      <c r="CG16" s="1395">
        <f t="shared" si="57"/>
        <v>32.152568008354812</v>
      </c>
      <c r="CH16" s="1395">
        <f t="shared" si="57"/>
        <v>32.11706239721736</v>
      </c>
      <c r="CI16" s="1395">
        <f t="shared" si="57"/>
        <v>32.081595994407593</v>
      </c>
      <c r="CJ16" s="1395">
        <f t="shared" si="57"/>
        <v>32.046168756628319</v>
      </c>
      <c r="CK16" s="1395">
        <f t="shared" si="57"/>
        <v>32.010780640630173</v>
      </c>
      <c r="CL16" s="1395">
        <f t="shared" si="57"/>
        <v>31.972198945666406</v>
      </c>
      <c r="CM16" s="1395">
        <f t="shared" si="57"/>
        <v>31.933663752136113</v>
      </c>
      <c r="CN16" s="1395">
        <f t="shared" si="57"/>
        <v>31.895175003992414</v>
      </c>
      <c r="CO16" s="1395">
        <f t="shared" si="57"/>
        <v>31.856732645255992</v>
      </c>
      <c r="CP16" s="1395">
        <f t="shared" si="57"/>
        <v>31.818336620015</v>
      </c>
      <c r="CQ16" s="1395">
        <f t="shared" si="57"/>
        <v>31.773863996680806</v>
      </c>
      <c r="CR16" s="1395">
        <f t="shared" si="57"/>
        <v>31.729453532919873</v>
      </c>
      <c r="CS16" s="1395">
        <f t="shared" si="57"/>
        <v>31.685105141851508</v>
      </c>
      <c r="CT16" s="1395">
        <f t="shared" si="57"/>
        <v>31.640818736716444</v>
      </c>
      <c r="CU16" s="1395">
        <f t="shared" si="57"/>
        <v>31.596594230876679</v>
      </c>
      <c r="CV16" s="1395">
        <f t="shared" si="57"/>
        <v>31.553423239824536</v>
      </c>
      <c r="CW16" s="1395">
        <f t="shared" si="57"/>
        <v>31.510311234068549</v>
      </c>
      <c r="CX16" s="1395">
        <f t="shared" si="57"/>
        <v>31.467258133016063</v>
      </c>
      <c r="CY16" s="1395">
        <f t="shared" si="57"/>
        <v>31.424263856184528</v>
      </c>
      <c r="CZ16" s="1395">
        <f t="shared" si="57"/>
        <v>31.381328323201359</v>
      </c>
    </row>
    <row r="17" spans="1:104" x14ac:dyDescent="0.25">
      <c r="A17" s="962" t="str">
        <f>'HyARC Physical Property Data'!A77</f>
        <v>Industrial Electricity</v>
      </c>
      <c r="B17" s="260">
        <v>2007</v>
      </c>
      <c r="C17" s="873">
        <f t="shared" si="37"/>
        <v>1.1446359956438654</v>
      </c>
      <c r="D17" s="962" t="str">
        <f>'HyARC Physical Property Data'!$H$77</f>
        <v>kWh</v>
      </c>
      <c r="E17" s="873" t="s">
        <v>1070</v>
      </c>
      <c r="F17" s="873"/>
      <c r="G17" s="873"/>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73">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73">
        <f>1.00952871208344*BB17</f>
        <v>22.387679993913494</v>
      </c>
      <c r="BR17" s="260">
        <f t="shared" si="56"/>
        <v>22.401901711038722</v>
      </c>
      <c r="BS17" s="260">
        <f t="shared" si="56"/>
        <v>22.416123428163949</v>
      </c>
      <c r="BT17" s="260">
        <f t="shared" si="56"/>
        <v>22.430345145289177</v>
      </c>
      <c r="BU17" s="260">
        <f t="shared" si="56"/>
        <v>22.444566862414405</v>
      </c>
      <c r="BV17" s="1076">
        <f>1.00317623736115*BQ17</f>
        <v>22.458788579539629</v>
      </c>
      <c r="BW17" s="1395">
        <f>+BV17*BW$140/BV$140</f>
        <v>22.465574719294207</v>
      </c>
      <c r="BX17" s="1395">
        <f t="shared" ref="BX17:CZ17" si="58">+BW17*BX$140/BW$140</f>
        <v>22.472362909546415</v>
      </c>
      <c r="BY17" s="1395">
        <f t="shared" si="58"/>
        <v>22.479153150915831</v>
      </c>
      <c r="BZ17" s="1395">
        <f t="shared" si="58"/>
        <v>22.485945444022224</v>
      </c>
      <c r="CA17" s="1395">
        <f t="shared" si="58"/>
        <v>22.492739789485537</v>
      </c>
      <c r="CB17" s="1395">
        <f t="shared" si="58"/>
        <v>22.49019603346196</v>
      </c>
      <c r="CC17" s="1395">
        <f t="shared" si="58"/>
        <v>22.487652565117642</v>
      </c>
      <c r="CD17" s="1395">
        <f t="shared" si="58"/>
        <v>22.485109384420049</v>
      </c>
      <c r="CE17" s="1395">
        <f t="shared" si="58"/>
        <v>22.482566491336648</v>
      </c>
      <c r="CF17" s="1395">
        <f t="shared" si="58"/>
        <v>22.480023885834914</v>
      </c>
      <c r="CG17" s="1395">
        <f t="shared" si="58"/>
        <v>22.469826748009918</v>
      </c>
      <c r="CH17" s="1395">
        <f t="shared" si="58"/>
        <v>22.459634235696903</v>
      </c>
      <c r="CI17" s="1395">
        <f t="shared" si="58"/>
        <v>22.449446346797696</v>
      </c>
      <c r="CJ17" s="1395">
        <f t="shared" si="58"/>
        <v>22.439263079215074</v>
      </c>
      <c r="CK17" s="1395">
        <f t="shared" si="58"/>
        <v>22.429084430852768</v>
      </c>
      <c r="CL17" s="1395">
        <f t="shared" si="58"/>
        <v>22.41659732007183</v>
      </c>
      <c r="CM17" s="1395">
        <f t="shared" si="58"/>
        <v>22.404117161332831</v>
      </c>
      <c r="CN17" s="1395">
        <f t="shared" si="58"/>
        <v>22.39164395076531</v>
      </c>
      <c r="CO17" s="1395">
        <f t="shared" si="58"/>
        <v>22.379177684500963</v>
      </c>
      <c r="CP17" s="1395">
        <f t="shared" si="58"/>
        <v>22.36671835867363</v>
      </c>
      <c r="CQ17" s="1395">
        <f t="shared" si="58"/>
        <v>22.349648462331068</v>
      </c>
      <c r="CR17" s="1395">
        <f t="shared" si="58"/>
        <v>22.332591593441013</v>
      </c>
      <c r="CS17" s="1395">
        <f t="shared" si="58"/>
        <v>22.315547742061138</v>
      </c>
      <c r="CT17" s="1395">
        <f t="shared" si="58"/>
        <v>22.2985168982567</v>
      </c>
      <c r="CU17" s="1395">
        <f t="shared" si="58"/>
        <v>22.281499052100536</v>
      </c>
      <c r="CV17" s="1395">
        <f t="shared" si="58"/>
        <v>22.265499049909142</v>
      </c>
      <c r="CW17" s="1395">
        <f t="shared" si="58"/>
        <v>22.249510537073537</v>
      </c>
      <c r="CX17" s="1395">
        <f t="shared" si="58"/>
        <v>22.233533505343395</v>
      </c>
      <c r="CY17" s="1395">
        <f t="shared" si="58"/>
        <v>22.217567946474304</v>
      </c>
      <c r="CZ17" s="1395">
        <f t="shared" si="58"/>
        <v>22.20161385222778</v>
      </c>
    </row>
    <row r="18" spans="1:104" ht="13" thickBot="1" x14ac:dyDescent="0.3">
      <c r="A18" s="965" t="str">
        <f>'HyARC Physical Property Data'!A78</f>
        <v>Residential Electricity</v>
      </c>
      <c r="B18" s="879">
        <v>2007</v>
      </c>
      <c r="C18" s="880">
        <f t="shared" si="37"/>
        <v>1.1446359956438654</v>
      </c>
      <c r="D18" s="965" t="str">
        <f>'HyARC Physical Property Data'!$H$78</f>
        <v>kWh</v>
      </c>
      <c r="E18" s="880" t="s">
        <v>1070</v>
      </c>
      <c r="F18" s="879"/>
      <c r="G18" s="879"/>
      <c r="H18" s="879">
        <f>(31.2067794799805/(mmBTU_to_GJ))*($C$18)</f>
        <v>33.858201991380128</v>
      </c>
      <c r="I18" s="879">
        <f>(31.2067794799805/(mmBTU_to_GJ))*($C$18)</f>
        <v>33.858201991380128</v>
      </c>
      <c r="J18" s="879">
        <f>(31.2067794799805/(mmBTU_to_GJ))*($C$18)</f>
        <v>33.858201991380128</v>
      </c>
      <c r="K18" s="879">
        <f>(31.181957244873/(mmBTU_to_GJ))*($C$18)</f>
        <v>33.831270783990192</v>
      </c>
      <c r="L18" s="879">
        <f>(31.772819519043/(mmBTU_to_GJ))*($C$18)</f>
        <v>34.472334506722866</v>
      </c>
      <c r="M18" s="879">
        <f>(30.736837387085/(mmBTU_to_GJ))*($C$18)</f>
        <v>33.348332194795859</v>
      </c>
      <c r="N18" s="879">
        <f>(28.6163578033447/(mmBTU_to_GJ))*($C$18)</f>
        <v>31.047690242590104</v>
      </c>
      <c r="O18" s="879">
        <f>(29.8736190795898/(mmBTU_to_GJ))*($C$18)</f>
        <v>32.411772245167633</v>
      </c>
      <c r="P18" s="879">
        <f>(30.101655960083/(mmBTU_to_GJ))*($C$18)</f>
        <v>32.659183829761808</v>
      </c>
      <c r="Q18" s="879">
        <f>(30.4253902435303/(mmBTU_to_GJ))*($C$18)</f>
        <v>33.010423558536921</v>
      </c>
      <c r="R18" s="879">
        <f>(30.7938537597656/(mmBTU_to_GJ))*($C$18)</f>
        <v>33.410192851204634</v>
      </c>
      <c r="S18" s="879">
        <f>(30.8830280303955/(mmBTU_to_GJ))*($C$18)</f>
        <v>33.50694363798025</v>
      </c>
      <c r="T18" s="879">
        <f>(31.1491451263428/(mmBTU_to_GJ))*($C$18)</f>
        <v>33.795670848480235</v>
      </c>
      <c r="U18" s="879">
        <f>(31.4898681640625/(mmBTU_to_GJ))*($C$18)</f>
        <v>34.165342747550469</v>
      </c>
      <c r="V18" s="879">
        <f>(31.8156299591064/(mmBTU_to_GJ))*($C$18)</f>
        <v>34.518782251448862</v>
      </c>
      <c r="W18" s="879">
        <f>(32.0206985473633/(mmBTU_to_GJ))*($C$18)</f>
        <v>34.741274088126325</v>
      </c>
      <c r="X18" s="879">
        <f>(32.4303588867188/(mmBTU_to_GJ))*($C$18)</f>
        <v>35.185740410793606</v>
      </c>
      <c r="Y18" s="879">
        <f>(32.7907905578613/(mmBTU_to_GJ))*($C$18)</f>
        <v>35.576795448480595</v>
      </c>
      <c r="Z18" s="879">
        <f>(32.9940071105957/(mmBTU_to_GJ))*($C$18)</f>
        <v>35.797277895087667</v>
      </c>
      <c r="AA18" s="879">
        <f>(32.9234657287598/(mmBTU_to_GJ))*($C$18)</f>
        <v>35.720743103777878</v>
      </c>
      <c r="AB18" s="879">
        <f>(32.9201545715332/(mmBTU_to_GJ))*($C$18)</f>
        <v>35.717150620603661</v>
      </c>
      <c r="AC18" s="879">
        <f>(32.902271270752/(mmBTU_to_GJ))*($C$18)</f>
        <v>35.69774790041874</v>
      </c>
      <c r="AD18" s="879">
        <f>(32.9582405090332/(mmBTU_to_GJ))*($C$18)</f>
        <v>35.758472454717726</v>
      </c>
      <c r="AE18" s="879">
        <f>(33.321102142334/(mmBTU_to_GJ))*($C$18)</f>
        <v>36.152163911508453</v>
      </c>
      <c r="AF18" s="879">
        <f>(33.7343635559082/(mmBTU_to_GJ))*($C$18)</f>
        <v>36.600537266567883</v>
      </c>
      <c r="AG18" s="879">
        <f>(34.1495399475098/(mmBTU_to_GJ))*($C$18)</f>
        <v>37.050988301988475</v>
      </c>
      <c r="AH18" s="879">
        <f>(34.4904899597167/(mmBTU_to_GJ))*($C$18)</f>
        <v>37.420906459985844</v>
      </c>
      <c r="AI18" s="879">
        <f t="shared" si="54"/>
        <v>37.409873259446485</v>
      </c>
      <c r="AJ18" s="879">
        <f t="shared" si="54"/>
        <v>37.398840058907126</v>
      </c>
      <c r="AK18" s="879">
        <f t="shared" si="54"/>
        <v>37.387806858367767</v>
      </c>
      <c r="AL18" s="879">
        <f t="shared" si="54"/>
        <v>37.376773657828409</v>
      </c>
      <c r="AM18" s="879">
        <f t="shared" si="54"/>
        <v>37.36574045728905</v>
      </c>
      <c r="AN18" s="879">
        <f t="shared" si="54"/>
        <v>37.354707256749691</v>
      </c>
      <c r="AO18" s="879">
        <f t="shared" si="54"/>
        <v>37.343674056210332</v>
      </c>
      <c r="AP18" s="879">
        <f t="shared" si="54"/>
        <v>37.332640855670974</v>
      </c>
      <c r="AQ18" s="879">
        <f t="shared" si="54"/>
        <v>37.321607655131615</v>
      </c>
      <c r="AR18" s="879">
        <f t="shared" si="54"/>
        <v>37.310574454592256</v>
      </c>
      <c r="AS18" s="879">
        <f t="shared" si="54"/>
        <v>37.299541254052897</v>
      </c>
      <c r="AT18" s="879">
        <f t="shared" si="54"/>
        <v>37.288508053513539</v>
      </c>
      <c r="AU18" s="879">
        <f t="shared" si="54"/>
        <v>37.27747485297418</v>
      </c>
      <c r="AV18" s="879">
        <f t="shared" si="54"/>
        <v>37.266441652434821</v>
      </c>
      <c r="AW18" s="879">
        <f t="shared" si="54"/>
        <v>37.255408451895462</v>
      </c>
      <c r="AX18" s="879">
        <f t="shared" si="54"/>
        <v>37.244375251356104</v>
      </c>
      <c r="AY18" s="879">
        <f t="shared" si="54"/>
        <v>37.233342050816745</v>
      </c>
      <c r="AZ18" s="879">
        <f t="shared" si="54"/>
        <v>37.222308850277386</v>
      </c>
      <c r="BA18" s="879">
        <f t="shared" si="54"/>
        <v>37.211275649738027</v>
      </c>
      <c r="BB18" s="1077">
        <f>0.994103189054944*AH18</f>
        <v>37.200242449198683</v>
      </c>
      <c r="BC18" s="879">
        <f t="shared" si="55"/>
        <v>37.223873809180851</v>
      </c>
      <c r="BD18" s="879">
        <f t="shared" si="55"/>
        <v>37.24750516916302</v>
      </c>
      <c r="BE18" s="879">
        <f t="shared" si="55"/>
        <v>37.271136529145188</v>
      </c>
      <c r="BF18" s="879">
        <f t="shared" si="55"/>
        <v>37.294767889127357</v>
      </c>
      <c r="BG18" s="879">
        <f t="shared" si="55"/>
        <v>37.318399249109525</v>
      </c>
      <c r="BH18" s="879">
        <f t="shared" si="55"/>
        <v>37.342030609091694</v>
      </c>
      <c r="BI18" s="879">
        <f t="shared" si="55"/>
        <v>37.365661969073862</v>
      </c>
      <c r="BJ18" s="879">
        <f t="shared" si="55"/>
        <v>37.389293329056031</v>
      </c>
      <c r="BK18" s="879">
        <f t="shared" si="55"/>
        <v>37.412924689038199</v>
      </c>
      <c r="BL18" s="879">
        <f t="shared" si="55"/>
        <v>37.436556049020368</v>
      </c>
      <c r="BM18" s="879">
        <f t="shared" si="55"/>
        <v>37.460187409002536</v>
      </c>
      <c r="BN18" s="879">
        <f t="shared" si="55"/>
        <v>37.483818768984705</v>
      </c>
      <c r="BO18" s="879">
        <f t="shared" si="55"/>
        <v>37.507450128966873</v>
      </c>
      <c r="BP18" s="879">
        <f t="shared" si="55"/>
        <v>37.531081488949042</v>
      </c>
      <c r="BQ18" s="1077">
        <f>1.00952871208344*BB18</f>
        <v>37.55471284893126</v>
      </c>
      <c r="BR18" s="879">
        <f t="shared" si="56"/>
        <v>37.578569385338866</v>
      </c>
      <c r="BS18" s="879">
        <f t="shared" si="56"/>
        <v>37.602425921746473</v>
      </c>
      <c r="BT18" s="879">
        <f t="shared" si="56"/>
        <v>37.62628245815408</v>
      </c>
      <c r="BU18" s="879">
        <f t="shared" si="56"/>
        <v>37.650138994561686</v>
      </c>
      <c r="BV18" s="1078">
        <f>1.00317623736115*BQ18</f>
        <v>37.673995530969293</v>
      </c>
      <c r="BW18" s="1395">
        <f>+BV18*BW$141/BV$141</f>
        <v>37.657407528684409</v>
      </c>
      <c r="BX18" s="1395">
        <f t="shared" ref="BX18:CZ18" si="59">+BW18*BX$141/BW$141</f>
        <v>37.640826830159476</v>
      </c>
      <c r="BY18" s="1395">
        <f t="shared" si="59"/>
        <v>37.62425343217862</v>
      </c>
      <c r="BZ18" s="1395">
        <f t="shared" si="59"/>
        <v>37.607687331527387</v>
      </c>
      <c r="CA18" s="1395">
        <f t="shared" si="59"/>
        <v>37.59112852499274</v>
      </c>
      <c r="CB18" s="1395">
        <f t="shared" si="59"/>
        <v>37.561018618089207</v>
      </c>
      <c r="CC18" s="1395">
        <f t="shared" si="59"/>
        <v>37.530932828750899</v>
      </c>
      <c r="CD18" s="1395">
        <f t="shared" si="59"/>
        <v>37.500871137660013</v>
      </c>
      <c r="CE18" s="1395">
        <f t="shared" si="59"/>
        <v>37.47083352551423</v>
      </c>
      <c r="CF18" s="1395">
        <f t="shared" si="59"/>
        <v>37.440819973026684</v>
      </c>
      <c r="CG18" s="1395">
        <f t="shared" si="59"/>
        <v>37.399474622500279</v>
      </c>
      <c r="CH18" s="1395">
        <f t="shared" si="59"/>
        <v>37.358174929040445</v>
      </c>
      <c r="CI18" s="1395">
        <f t="shared" si="59"/>
        <v>37.316920842228761</v>
      </c>
      <c r="CJ18" s="1395">
        <f t="shared" si="59"/>
        <v>37.275712311702456</v>
      </c>
      <c r="CK18" s="1395">
        <f t="shared" si="59"/>
        <v>37.234549287154408</v>
      </c>
      <c r="CL18" s="1395">
        <f t="shared" si="59"/>
        <v>37.189671530537417</v>
      </c>
      <c r="CM18" s="1395">
        <f t="shared" si="59"/>
        <v>37.144847863820196</v>
      </c>
      <c r="CN18" s="1395">
        <f t="shared" si="59"/>
        <v>37.100078221809703</v>
      </c>
      <c r="CO18" s="1395">
        <f t="shared" si="59"/>
        <v>37.055362539391488</v>
      </c>
      <c r="CP18" s="1395">
        <f t="shared" si="59"/>
        <v>37.010700751529562</v>
      </c>
      <c r="CQ18" s="1395">
        <f t="shared" si="59"/>
        <v>36.958970738942355</v>
      </c>
      <c r="CR18" s="1395">
        <f t="shared" si="59"/>
        <v>36.907313029611991</v>
      </c>
      <c r="CS18" s="1395">
        <f t="shared" si="59"/>
        <v>36.855727522479896</v>
      </c>
      <c r="CT18" s="1395">
        <f t="shared" si="59"/>
        <v>36.804214116628756</v>
      </c>
      <c r="CU18" s="1395">
        <f t="shared" si="59"/>
        <v>36.752772711282311</v>
      </c>
      <c r="CV18" s="1395">
        <f t="shared" si="59"/>
        <v>36.70255674147662</v>
      </c>
      <c r="CW18" s="1395">
        <f t="shared" si="59"/>
        <v>36.652409382647399</v>
      </c>
      <c r="CX18" s="1395">
        <f t="shared" si="59"/>
        <v>36.602330541050243</v>
      </c>
      <c r="CY18" s="1395">
        <f t="shared" si="59"/>
        <v>36.552320123068824</v>
      </c>
      <c r="CZ18" s="1395">
        <f t="shared" si="59"/>
        <v>36.502378035214747</v>
      </c>
    </row>
    <row r="19" spans="1:104" ht="13" thickTop="1" x14ac:dyDescent="0.25">
      <c r="AH19" s="260"/>
    </row>
    <row r="20" spans="1:104" x14ac:dyDescent="0.25">
      <c r="E20" s="260"/>
    </row>
    <row r="21" spans="1:104" ht="13" thickBot="1" x14ac:dyDescent="0.3"/>
    <row r="22" spans="1:104" ht="13.5" thickTop="1" x14ac:dyDescent="0.3">
      <c r="A22" s="866" t="s">
        <v>1104</v>
      </c>
      <c r="B22" s="867" t="str">
        <f>"Prices are in $(" &amp; ref_year&amp;")/GJ LHV"</f>
        <v>Prices are in $(2016)/GJ LHV</v>
      </c>
      <c r="C22" s="868"/>
      <c r="D22" s="868"/>
      <c r="E22" s="868"/>
      <c r="F22" s="868"/>
      <c r="G22" s="868"/>
      <c r="H22" s="868"/>
      <c r="I22" s="868"/>
      <c r="J22" s="868"/>
      <c r="K22" s="868"/>
      <c r="L22" s="868"/>
      <c r="M22" s="868"/>
      <c r="N22" s="868"/>
      <c r="O22" s="868"/>
      <c r="P22" s="868"/>
      <c r="Q22" s="868"/>
      <c r="R22" s="868"/>
      <c r="S22" s="868"/>
      <c r="T22" s="868"/>
      <c r="U22" s="868"/>
      <c r="V22" s="868"/>
      <c r="W22" s="868"/>
      <c r="X22" s="868"/>
      <c r="Y22" s="868"/>
      <c r="Z22" s="868"/>
      <c r="AA22" s="868"/>
      <c r="AB22" s="868"/>
      <c r="AC22" s="868"/>
      <c r="AD22" s="868"/>
      <c r="AE22" s="868"/>
      <c r="AF22" s="868"/>
      <c r="AG22" s="868"/>
      <c r="AH22" s="868"/>
      <c r="AI22" s="868"/>
      <c r="AJ22" s="868"/>
      <c r="AK22" s="868"/>
      <c r="AL22" s="868"/>
      <c r="AM22" s="868"/>
      <c r="AN22" s="868"/>
      <c r="AO22" s="868"/>
      <c r="AP22" s="868"/>
      <c r="AQ22" s="868"/>
      <c r="AR22" s="868"/>
      <c r="AS22" s="881" t="s">
        <v>772</v>
      </c>
      <c r="AT22" s="882"/>
      <c r="AU22" s="882"/>
      <c r="AV22" s="882"/>
      <c r="AW22" s="882"/>
      <c r="AX22" s="882"/>
      <c r="AY22" s="882"/>
      <c r="AZ22" s="882"/>
      <c r="BA22" s="882"/>
      <c r="BB22" s="882"/>
      <c r="BC22" s="882"/>
      <c r="BD22" s="882"/>
      <c r="BE22" s="882"/>
      <c r="BF22" s="882"/>
      <c r="BG22" s="882"/>
      <c r="BH22" s="882"/>
      <c r="BI22" s="882"/>
      <c r="BJ22" s="882"/>
      <c r="BK22" s="882"/>
      <c r="BL22" s="882"/>
      <c r="BM22" s="882"/>
      <c r="BN22" s="882"/>
      <c r="BO22" s="882"/>
      <c r="BP22" s="882"/>
      <c r="BQ22" s="882"/>
      <c r="BR22" s="882"/>
      <c r="BS22" s="882"/>
      <c r="BT22" s="882"/>
      <c r="BU22" s="882"/>
      <c r="BV22" s="883"/>
    </row>
    <row r="23" spans="1:104" ht="39.5" thickBot="1" x14ac:dyDescent="0.35">
      <c r="A23" s="886" t="s">
        <v>1083</v>
      </c>
      <c r="B23" s="887" t="s">
        <v>678</v>
      </c>
      <c r="C23" s="887" t="s">
        <v>679</v>
      </c>
      <c r="D23" s="887" t="s">
        <v>690</v>
      </c>
      <c r="E23" s="887" t="s">
        <v>691</v>
      </c>
      <c r="F23" s="888" t="s">
        <v>680</v>
      </c>
      <c r="G23" s="888" t="s">
        <v>692</v>
      </c>
      <c r="H23" s="1064">
        <v>2004</v>
      </c>
      <c r="I23" s="1064">
        <v>2005</v>
      </c>
      <c r="J23" s="1064">
        <v>2006</v>
      </c>
      <c r="K23" s="1064">
        <v>2007</v>
      </c>
      <c r="L23" s="1064">
        <v>2008</v>
      </c>
      <c r="M23" s="1064">
        <v>2009</v>
      </c>
      <c r="N23" s="888">
        <v>2010</v>
      </c>
      <c r="O23" s="888">
        <v>2011</v>
      </c>
      <c r="P23" s="888">
        <v>2012</v>
      </c>
      <c r="Q23" s="888">
        <v>2013</v>
      </c>
      <c r="R23" s="888">
        <v>2014</v>
      </c>
      <c r="S23" s="888">
        <v>2015</v>
      </c>
      <c r="T23" s="888">
        <v>2016</v>
      </c>
      <c r="U23" s="888">
        <v>2017</v>
      </c>
      <c r="V23" s="888">
        <v>2018</v>
      </c>
      <c r="W23" s="888">
        <v>2019</v>
      </c>
      <c r="X23" s="888">
        <v>2020</v>
      </c>
      <c r="Y23" s="888">
        <v>2021</v>
      </c>
      <c r="Z23" s="888">
        <v>2022</v>
      </c>
      <c r="AA23" s="888">
        <v>2023</v>
      </c>
      <c r="AB23" s="888">
        <v>2024</v>
      </c>
      <c r="AC23" s="888">
        <v>2025</v>
      </c>
      <c r="AD23" s="888">
        <v>2026</v>
      </c>
      <c r="AE23" s="888">
        <v>2027</v>
      </c>
      <c r="AF23" s="888">
        <v>2028</v>
      </c>
      <c r="AG23" s="888">
        <v>2029</v>
      </c>
      <c r="AH23" s="888">
        <v>2030</v>
      </c>
      <c r="AI23" s="888">
        <v>2031</v>
      </c>
      <c r="AJ23" s="888">
        <v>2032</v>
      </c>
      <c r="AK23" s="888">
        <v>2033</v>
      </c>
      <c r="AL23" s="888">
        <v>2034</v>
      </c>
      <c r="AM23" s="888">
        <v>2035</v>
      </c>
      <c r="AN23" s="888">
        <v>2036</v>
      </c>
      <c r="AO23" s="888">
        <v>2037</v>
      </c>
      <c r="AP23" s="888">
        <v>2038</v>
      </c>
      <c r="AQ23" s="888">
        <v>2039</v>
      </c>
      <c r="AR23" s="888">
        <v>2040</v>
      </c>
      <c r="AS23" s="888">
        <v>2041</v>
      </c>
      <c r="AT23" s="888">
        <v>2042</v>
      </c>
      <c r="AU23" s="888">
        <v>2043</v>
      </c>
      <c r="AV23" s="888">
        <v>2044</v>
      </c>
      <c r="AW23" s="888">
        <v>2045</v>
      </c>
      <c r="AX23" s="888">
        <v>2046</v>
      </c>
      <c r="AY23" s="888">
        <v>2047</v>
      </c>
      <c r="AZ23" s="888">
        <v>2048</v>
      </c>
      <c r="BA23" s="888">
        <v>2049</v>
      </c>
      <c r="BB23" s="888">
        <v>2050</v>
      </c>
      <c r="BC23" s="888">
        <v>2051</v>
      </c>
      <c r="BD23" s="888">
        <v>2052</v>
      </c>
      <c r="BE23" s="888">
        <v>2053</v>
      </c>
      <c r="BF23" s="888">
        <v>2054</v>
      </c>
      <c r="BG23" s="888">
        <v>2055</v>
      </c>
      <c r="BH23" s="888">
        <v>2056</v>
      </c>
      <c r="BI23" s="888">
        <v>2057</v>
      </c>
      <c r="BJ23" s="888">
        <v>2058</v>
      </c>
      <c r="BK23" s="888">
        <v>2059</v>
      </c>
      <c r="BL23" s="888">
        <v>2060</v>
      </c>
      <c r="BM23" s="888">
        <v>2061</v>
      </c>
      <c r="BN23" s="888">
        <v>2062</v>
      </c>
      <c r="BO23" s="888">
        <v>2063</v>
      </c>
      <c r="BP23" s="888">
        <v>2064</v>
      </c>
      <c r="BQ23" s="888">
        <v>2065</v>
      </c>
      <c r="BR23" s="888">
        <v>2066</v>
      </c>
      <c r="BS23" s="888">
        <v>2067</v>
      </c>
      <c r="BT23" s="888">
        <v>2068</v>
      </c>
      <c r="BU23" s="888">
        <v>2069</v>
      </c>
      <c r="BV23" s="889">
        <v>2070</v>
      </c>
      <c r="BW23" s="1396">
        <f t="shared" ref="BW23" si="60">+BV23+1</f>
        <v>2071</v>
      </c>
      <c r="BX23" s="1396">
        <f t="shared" ref="BX23" si="61">+BW23+1</f>
        <v>2072</v>
      </c>
      <c r="BY23" s="1396">
        <f t="shared" ref="BY23" si="62">+BX23+1</f>
        <v>2073</v>
      </c>
      <c r="BZ23" s="1396">
        <f t="shared" ref="BZ23" si="63">+BY23+1</f>
        <v>2074</v>
      </c>
      <c r="CA23" s="1396">
        <f t="shared" ref="CA23" si="64">+BZ23+1</f>
        <v>2075</v>
      </c>
      <c r="CB23" s="1396">
        <f t="shared" ref="CB23" si="65">+CA23+1</f>
        <v>2076</v>
      </c>
      <c r="CC23" s="1396">
        <f t="shared" ref="CC23" si="66">+CB23+1</f>
        <v>2077</v>
      </c>
      <c r="CD23" s="1396">
        <f t="shared" ref="CD23" si="67">+CC23+1</f>
        <v>2078</v>
      </c>
      <c r="CE23" s="1396">
        <f t="shared" ref="CE23" si="68">+CD23+1</f>
        <v>2079</v>
      </c>
      <c r="CF23" s="1396">
        <f t="shared" ref="CF23" si="69">+CE23+1</f>
        <v>2080</v>
      </c>
      <c r="CG23" s="1396">
        <f t="shared" ref="CG23" si="70">+CF23+1</f>
        <v>2081</v>
      </c>
      <c r="CH23" s="1396">
        <f t="shared" ref="CH23" si="71">+CG23+1</f>
        <v>2082</v>
      </c>
      <c r="CI23" s="1396">
        <f t="shared" ref="CI23" si="72">+CH23+1</f>
        <v>2083</v>
      </c>
      <c r="CJ23" s="1396">
        <f t="shared" ref="CJ23" si="73">+CI23+1</f>
        <v>2084</v>
      </c>
      <c r="CK23" s="1396">
        <f t="shared" ref="CK23" si="74">+CJ23+1</f>
        <v>2085</v>
      </c>
      <c r="CL23" s="1396">
        <f t="shared" ref="CL23" si="75">+CK23+1</f>
        <v>2086</v>
      </c>
      <c r="CM23" s="1396">
        <f t="shared" ref="CM23" si="76">+CL23+1</f>
        <v>2087</v>
      </c>
      <c r="CN23" s="1396">
        <f t="shared" ref="CN23" si="77">+CM23+1</f>
        <v>2088</v>
      </c>
      <c r="CO23" s="1396">
        <f t="shared" ref="CO23" si="78">+CN23+1</f>
        <v>2089</v>
      </c>
      <c r="CP23" s="1396">
        <f t="shared" ref="CP23" si="79">+CO23+1</f>
        <v>2090</v>
      </c>
      <c r="CQ23" s="1396">
        <f t="shared" ref="CQ23" si="80">+CP23+1</f>
        <v>2091</v>
      </c>
      <c r="CR23" s="1396">
        <f t="shared" ref="CR23" si="81">+CQ23+1</f>
        <v>2092</v>
      </c>
      <c r="CS23" s="1396">
        <f t="shared" ref="CS23" si="82">+CR23+1</f>
        <v>2093</v>
      </c>
      <c r="CT23" s="1396">
        <f t="shared" ref="CT23" si="83">+CS23+1</f>
        <v>2094</v>
      </c>
      <c r="CU23" s="1396">
        <f t="shared" ref="CU23" si="84">+CT23+1</f>
        <v>2095</v>
      </c>
      <c r="CV23" s="1396">
        <f t="shared" ref="CV23" si="85">+CU23+1</f>
        <v>2096</v>
      </c>
      <c r="CW23" s="1396">
        <f t="shared" ref="CW23" si="86">+CV23+1</f>
        <v>2097</v>
      </c>
      <c r="CX23" s="1396">
        <f t="shared" ref="CX23" si="87">+CW23+1</f>
        <v>2098</v>
      </c>
      <c r="CY23" s="1396">
        <f t="shared" ref="CY23" si="88">+CX23+1</f>
        <v>2099</v>
      </c>
      <c r="CZ23" s="1396">
        <f t="shared" ref="CZ23" si="89">+CY23+1</f>
        <v>2100</v>
      </c>
    </row>
    <row r="24" spans="1:104" ht="13" thickBot="1" x14ac:dyDescent="0.3">
      <c r="A24" s="956" t="s">
        <v>1089</v>
      </c>
      <c r="B24" s="957"/>
      <c r="C24" s="957"/>
      <c r="D24" s="957"/>
      <c r="E24" s="957"/>
      <c r="F24" s="870"/>
      <c r="G24" s="957"/>
      <c r="H24" s="957"/>
      <c r="I24" s="957"/>
      <c r="J24" s="957"/>
      <c r="K24" s="957"/>
      <c r="L24" s="957"/>
      <c r="M24" s="957"/>
      <c r="N24" s="957"/>
      <c r="O24" s="957"/>
      <c r="P24" s="957"/>
      <c r="Q24" s="957"/>
      <c r="R24" s="957"/>
      <c r="S24" s="957"/>
      <c r="T24" s="957"/>
      <c r="U24" s="957"/>
      <c r="V24" s="957"/>
      <c r="W24" s="957"/>
      <c r="X24" s="957"/>
      <c r="Y24" s="957"/>
      <c r="Z24" s="957"/>
      <c r="AA24" s="957"/>
      <c r="AB24" s="957"/>
      <c r="AC24" s="957"/>
      <c r="AD24" s="957"/>
      <c r="AE24" s="957"/>
      <c r="AF24" s="957"/>
      <c r="AG24" s="957"/>
      <c r="AH24" s="957"/>
      <c r="AI24" s="957"/>
      <c r="AJ24" s="957"/>
      <c r="AK24" s="957"/>
      <c r="AL24" s="957"/>
      <c r="AM24" s="957"/>
      <c r="AN24" s="957"/>
      <c r="AO24" s="957"/>
      <c r="AP24" s="957"/>
      <c r="AQ24" s="957"/>
      <c r="AR24" s="957"/>
      <c r="AS24" s="957"/>
      <c r="AT24" s="957"/>
      <c r="AU24" s="957"/>
      <c r="AV24" s="957"/>
      <c r="AW24" s="957"/>
      <c r="AX24" s="957"/>
      <c r="AY24" s="957"/>
      <c r="AZ24" s="957"/>
      <c r="BA24" s="957"/>
      <c r="BC24" s="957"/>
      <c r="BD24" s="957"/>
      <c r="BE24" s="957"/>
      <c r="BF24" s="957"/>
      <c r="BG24" s="957"/>
      <c r="BH24" s="957"/>
      <c r="BI24" s="957"/>
      <c r="BJ24" s="957"/>
      <c r="BK24" s="957"/>
      <c r="BL24" s="957"/>
      <c r="BM24" s="957"/>
      <c r="BN24" s="957"/>
      <c r="BO24" s="957"/>
      <c r="BP24" s="957"/>
      <c r="BR24" s="957"/>
      <c r="BS24" s="957"/>
      <c r="BT24" s="957"/>
      <c r="BU24" s="957"/>
    </row>
    <row r="25" spans="1:104" ht="13" x14ac:dyDescent="0.3">
      <c r="A25" s="976" t="str">
        <f>'HyARC Physical Property Data'!A73</f>
        <v>Residential Natural Gas</v>
      </c>
      <c r="B25" s="957">
        <v>2011</v>
      </c>
      <c r="C25" s="958">
        <f>VLOOKUP(ref_year,DeflatorTable,2,FALSE)/VLOOKUP(B25,DeflatorTable,2,FALSE)</f>
        <v>1.0784554773635862</v>
      </c>
      <c r="D25" s="1243" t="str">
        <f>'HyARC Physical Property Data'!H73</f>
        <v>mmBtu</v>
      </c>
      <c r="E25" s="958" t="s">
        <v>1057</v>
      </c>
      <c r="F25" s="957">
        <f>'HyARC Physical Property Data'!$E$6</f>
        <v>47.141269049911173</v>
      </c>
      <c r="G25" s="957">
        <f>'HyARC Physical Property Data'!$I$6</f>
        <v>52.224661236371581</v>
      </c>
      <c r="H25" s="1065">
        <v>14.386141835345208</v>
      </c>
      <c r="I25" s="1065">
        <v>14.386141835345208</v>
      </c>
      <c r="J25" s="1065">
        <v>14.386141835345208</v>
      </c>
      <c r="K25" s="1065">
        <v>13.326716630976858</v>
      </c>
      <c r="L25" s="1065">
        <v>13.627764477872551</v>
      </c>
      <c r="M25" s="1065">
        <v>11.254339733155913</v>
      </c>
      <c r="N25" s="957">
        <f t="shared" ref="N25:AR25" si="90">((N42/(mmBTU_to_GJ))*($C25))*($G25/$F25)</f>
        <v>12.864072624231563</v>
      </c>
      <c r="O25" s="957">
        <f t="shared" si="90"/>
        <v>12.23325661230241</v>
      </c>
      <c r="P25" s="957">
        <f t="shared" si="90"/>
        <v>11.850527062684614</v>
      </c>
      <c r="Q25" s="957">
        <f t="shared" si="90"/>
        <v>11.865842495866545</v>
      </c>
      <c r="R25" s="957">
        <f t="shared" si="90"/>
        <v>11.611695090166418</v>
      </c>
      <c r="S25" s="957">
        <f t="shared" si="90"/>
        <v>11.50138750593943</v>
      </c>
      <c r="T25" s="957">
        <f t="shared" si="90"/>
        <v>12.075204376866452</v>
      </c>
      <c r="U25" s="957">
        <f t="shared" si="90"/>
        <v>12.446344297440779</v>
      </c>
      <c r="V25" s="957">
        <f t="shared" si="90"/>
        <v>12.907270435435697</v>
      </c>
      <c r="W25" s="957">
        <f t="shared" si="90"/>
        <v>13.164777859640022</v>
      </c>
      <c r="X25" s="957">
        <f t="shared" si="90"/>
        <v>13.336162585082695</v>
      </c>
      <c r="Y25" s="957">
        <f t="shared" si="90"/>
        <v>13.544264034469807</v>
      </c>
      <c r="Z25" s="957">
        <f t="shared" si="90"/>
        <v>13.819651921148951</v>
      </c>
      <c r="AA25" s="957">
        <f t="shared" si="90"/>
        <v>14.079086797828554</v>
      </c>
      <c r="AB25" s="957">
        <f t="shared" si="90"/>
        <v>14.2515190517904</v>
      </c>
      <c r="AC25" s="957">
        <f t="shared" si="90"/>
        <v>14.353207458115314</v>
      </c>
      <c r="AD25" s="957">
        <f t="shared" si="90"/>
        <v>14.54298904928118</v>
      </c>
      <c r="AE25" s="957">
        <f t="shared" si="90"/>
        <v>14.646583391279357</v>
      </c>
      <c r="AF25" s="957">
        <f t="shared" si="90"/>
        <v>14.81893750527599</v>
      </c>
      <c r="AG25" s="957">
        <f t="shared" si="90"/>
        <v>14.987454833734297</v>
      </c>
      <c r="AH25" s="957">
        <f t="shared" si="90"/>
        <v>15.139899111087075</v>
      </c>
      <c r="AI25" s="957">
        <f t="shared" si="90"/>
        <v>15.341580626230741</v>
      </c>
      <c r="AJ25" s="957">
        <f t="shared" si="90"/>
        <v>15.539442342785032</v>
      </c>
      <c r="AK25" s="957">
        <f t="shared" si="90"/>
        <v>15.781889138041823</v>
      </c>
      <c r="AL25" s="957">
        <f t="shared" si="90"/>
        <v>16.136390908341905</v>
      </c>
      <c r="AM25" s="957">
        <f t="shared" si="90"/>
        <v>16.532635274551915</v>
      </c>
      <c r="AN25" s="957">
        <f t="shared" si="90"/>
        <v>17.01379173629439</v>
      </c>
      <c r="AO25" s="957">
        <f t="shared" si="90"/>
        <v>17.457934768717273</v>
      </c>
      <c r="AP25" s="957">
        <f t="shared" si="90"/>
        <v>17.940794455208763</v>
      </c>
      <c r="AQ25" s="957">
        <f t="shared" si="90"/>
        <v>18.182559507580642</v>
      </c>
      <c r="AR25" s="957">
        <f t="shared" si="90"/>
        <v>18.530579058157759</v>
      </c>
      <c r="AS25" s="957">
        <f>($BB25-$AR25)/10+AR25</f>
        <v>18.537819201300856</v>
      </c>
      <c r="AT25" s="957">
        <f t="shared" ref="AT25:BA25" si="91">($BB25-$AR25)/10+AS25</f>
        <v>18.545059344443953</v>
      </c>
      <c r="AU25" s="957">
        <f t="shared" si="91"/>
        <v>18.552299487587049</v>
      </c>
      <c r="AV25" s="957">
        <f t="shared" si="91"/>
        <v>18.559539630730146</v>
      </c>
      <c r="AW25" s="957">
        <f t="shared" si="91"/>
        <v>18.566779773873243</v>
      </c>
      <c r="AX25" s="957">
        <f t="shared" si="91"/>
        <v>18.57401991701634</v>
      </c>
      <c r="AY25" s="957">
        <f t="shared" si="91"/>
        <v>18.581260060159437</v>
      </c>
      <c r="AZ25" s="957">
        <f t="shared" si="91"/>
        <v>18.588500203302534</v>
      </c>
      <c r="BA25" s="957">
        <f t="shared" si="91"/>
        <v>18.595740346445631</v>
      </c>
      <c r="BB25" s="959">
        <f>'AEO Data'!$B$30*AM25</f>
        <v>18.602980489588727</v>
      </c>
      <c r="BC25" s="957">
        <f>($BQ25-$BB25)/15+BB25</f>
        <v>18.754563729723429</v>
      </c>
      <c r="BD25" s="957">
        <f t="shared" ref="BD25:BP25" si="92">($BQ25-$BB25)/15+BC25</f>
        <v>18.906146969858131</v>
      </c>
      <c r="BE25" s="957">
        <f t="shared" si="92"/>
        <v>19.057730209992833</v>
      </c>
      <c r="BF25" s="957">
        <f t="shared" si="92"/>
        <v>19.209313450127535</v>
      </c>
      <c r="BG25" s="957">
        <f t="shared" si="92"/>
        <v>19.360896690262237</v>
      </c>
      <c r="BH25" s="957">
        <f t="shared" si="92"/>
        <v>19.512479930396939</v>
      </c>
      <c r="BI25" s="957">
        <f t="shared" si="92"/>
        <v>19.664063170531641</v>
      </c>
      <c r="BJ25" s="957">
        <f t="shared" si="92"/>
        <v>19.815646410666343</v>
      </c>
      <c r="BK25" s="957">
        <f t="shared" si="92"/>
        <v>19.967229650801045</v>
      </c>
      <c r="BL25" s="957">
        <f t="shared" si="92"/>
        <v>20.118812890935747</v>
      </c>
      <c r="BM25" s="957">
        <f t="shared" si="92"/>
        <v>20.270396131070449</v>
      </c>
      <c r="BN25" s="957">
        <f t="shared" si="92"/>
        <v>20.42197937120515</v>
      </c>
      <c r="BO25" s="957">
        <f t="shared" si="92"/>
        <v>20.573562611339852</v>
      </c>
      <c r="BP25" s="957">
        <f t="shared" si="92"/>
        <v>20.725145851474554</v>
      </c>
      <c r="BQ25" s="959">
        <f>'AEO Data'!$C$30*BB25</f>
        <v>20.876729091609249</v>
      </c>
      <c r="BR25" s="957">
        <f>($BV25-$BQ25)/5+BQ25</f>
        <v>20.996057748553792</v>
      </c>
      <c r="BS25" s="957">
        <f>($BV25-$BQ25)/5+BR25</f>
        <v>21.115386405498334</v>
      </c>
      <c r="BT25" s="957">
        <f>($BV25-$BQ25)/5+BS25</f>
        <v>21.234715062442877</v>
      </c>
      <c r="BU25" s="957">
        <f>($BV25-$BQ25)/5+BT25</f>
        <v>21.35404371938742</v>
      </c>
      <c r="BV25" s="960">
        <f>'AEO Data'!$D$30*BQ25</f>
        <v>21.473372376331962</v>
      </c>
      <c r="BW25" s="1395">
        <f>+BV25*BW$133/BV$133</f>
        <v>21.544670286660121</v>
      </c>
      <c r="BX25" s="1395">
        <f t="shared" ref="BX25:CZ25" si="93">+BW25*BX$133/BW$133</f>
        <v>21.616204927015033</v>
      </c>
      <c r="BY25" s="1395">
        <f t="shared" si="93"/>
        <v>21.687977083409997</v>
      </c>
      <c r="BZ25" s="1395">
        <f t="shared" si="93"/>
        <v>21.759987544468107</v>
      </c>
      <c r="CA25" s="1395">
        <f t="shared" si="93"/>
        <v>21.832237101430913</v>
      </c>
      <c r="CB25" s="1395">
        <f t="shared" si="93"/>
        <v>21.878825528741867</v>
      </c>
      <c r="CC25" s="1395">
        <f t="shared" si="93"/>
        <v>21.925513372413558</v>
      </c>
      <c r="CD25" s="1395">
        <f t="shared" si="93"/>
        <v>21.972300844593363</v>
      </c>
      <c r="CE25" s="1395">
        <f t="shared" si="93"/>
        <v>22.01918815788137</v>
      </c>
      <c r="CF25" s="1395">
        <f t="shared" si="93"/>
        <v>22.066175525331335</v>
      </c>
      <c r="CG25" s="1395">
        <f t="shared" si="93"/>
        <v>22.081432025482624</v>
      </c>
      <c r="CH25" s="1395">
        <f t="shared" si="93"/>
        <v>22.096699073941053</v>
      </c>
      <c r="CI25" s="1395">
        <f t="shared" si="93"/>
        <v>22.111976677999699</v>
      </c>
      <c r="CJ25" s="1395">
        <f t="shared" si="93"/>
        <v>22.127264844956677</v>
      </c>
      <c r="CK25" s="1395">
        <f t="shared" si="93"/>
        <v>22.142563582115145</v>
      </c>
      <c r="CL25" s="1395">
        <f t="shared" si="93"/>
        <v>22.147749174896123</v>
      </c>
      <c r="CM25" s="1395">
        <f t="shared" si="93"/>
        <v>22.152935982097123</v>
      </c>
      <c r="CN25" s="1395">
        <f t="shared" si="93"/>
        <v>22.158124004002548</v>
      </c>
      <c r="CO25" s="1395">
        <f t="shared" si="93"/>
        <v>22.163313240896873</v>
      </c>
      <c r="CP25" s="1395">
        <f t="shared" si="93"/>
        <v>22.16850369306464</v>
      </c>
      <c r="CQ25" s="1395">
        <f t="shared" si="93"/>
        <v>22.176370321670593</v>
      </c>
      <c r="CR25" s="1395">
        <f t="shared" si="93"/>
        <v>22.184239741797636</v>
      </c>
      <c r="CS25" s="1395">
        <f t="shared" si="93"/>
        <v>22.19211195443636</v>
      </c>
      <c r="CT25" s="1395">
        <f t="shared" si="93"/>
        <v>22.199986960577704</v>
      </c>
      <c r="CU25" s="1395">
        <f t="shared" si="93"/>
        <v>22.207864761212956</v>
      </c>
      <c r="CV25" s="1395">
        <f t="shared" si="93"/>
        <v>22.219988729743012</v>
      </c>
      <c r="CW25" s="1395">
        <f t="shared" si="93"/>
        <v>22.232119317126994</v>
      </c>
      <c r="CX25" s="1395">
        <f t="shared" si="93"/>
        <v>22.244256526978344</v>
      </c>
      <c r="CY25" s="1395">
        <f t="shared" si="93"/>
        <v>22.256400362912476</v>
      </c>
      <c r="CZ25" s="1395">
        <f t="shared" si="93"/>
        <v>22.268550828546775</v>
      </c>
    </row>
    <row r="26" spans="1:104" ht="13" x14ac:dyDescent="0.3">
      <c r="A26" s="874" t="str">
        <f>'HyARC Physical Property Data'!A71</f>
        <v>Commercial Natural Gas</v>
      </c>
      <c r="B26" s="260">
        <v>2011</v>
      </c>
      <c r="C26" s="873">
        <f>VLOOKUP(ref_year,DeflatorTable,2,FALSE)/VLOOKUP(B26,DeflatorTable,2,FALSE)</f>
        <v>1.0784554773635862</v>
      </c>
      <c r="D26" s="1244" t="str">
        <f>'HyARC Physical Property Data'!H71</f>
        <v>mmBtu</v>
      </c>
      <c r="E26" s="873" t="s">
        <v>1057</v>
      </c>
      <c r="F26" s="260">
        <f>'HyARC Physical Property Data'!$E$6</f>
        <v>47.141269049911173</v>
      </c>
      <c r="G26" s="260">
        <f>'HyARC Physical Property Data'!$I$6</f>
        <v>52.224661236371581</v>
      </c>
      <c r="H26" s="1066">
        <v>12.491836786393147</v>
      </c>
      <c r="I26" s="1066">
        <v>12.491836786393147</v>
      </c>
      <c r="J26" s="1066">
        <v>12.491836786393147</v>
      </c>
      <c r="K26" s="1066">
        <v>11.540201846875071</v>
      </c>
      <c r="L26" s="1066">
        <v>11.906633267965836</v>
      </c>
      <c r="M26" s="1066">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37">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37">
        <f>'AEO Data'!$C$30*BB26</f>
        <v>16.705094767552271</v>
      </c>
      <c r="BR26" s="260">
        <f t="shared" ref="BR26:BU28" si="97">($BV26-$BQ26)/5+BQ26</f>
        <v>16.800578907524393</v>
      </c>
      <c r="BS26" s="260">
        <f t="shared" si="97"/>
        <v>16.896063047496515</v>
      </c>
      <c r="BT26" s="260">
        <f t="shared" si="97"/>
        <v>16.991547187468637</v>
      </c>
      <c r="BU26" s="260">
        <f t="shared" si="97"/>
        <v>17.087031327440759</v>
      </c>
      <c r="BV26" s="961">
        <f>'AEO Data'!$D$30*BQ26</f>
        <v>17.182515467412887</v>
      </c>
      <c r="BW26" s="1395">
        <f>+BV26*BW$134/BV$134</f>
        <v>17.239566471118206</v>
      </c>
      <c r="BX26" s="1395">
        <f t="shared" ref="BX26:CZ26" si="98">+BW26*BX$134/BW$134</f>
        <v>17.296806900931124</v>
      </c>
      <c r="BY26" s="1395">
        <f t="shared" si="98"/>
        <v>17.354237385802019</v>
      </c>
      <c r="BZ26" s="1395">
        <f t="shared" si="98"/>
        <v>17.41185855676957</v>
      </c>
      <c r="CA26" s="1395">
        <f t="shared" si="98"/>
        <v>17.469671046967683</v>
      </c>
      <c r="CB26" s="1395">
        <f t="shared" si="98"/>
        <v>17.506950071372589</v>
      </c>
      <c r="CC26" s="1395">
        <f t="shared" si="98"/>
        <v>17.544308646540465</v>
      </c>
      <c r="CD26" s="1395">
        <f t="shared" si="98"/>
        <v>17.581746942226928</v>
      </c>
      <c r="CE26" s="1395">
        <f t="shared" si="98"/>
        <v>17.619265128549845</v>
      </c>
      <c r="CF26" s="1395">
        <f t="shared" si="98"/>
        <v>17.656863375990099</v>
      </c>
      <c r="CG26" s="1395">
        <f t="shared" si="98"/>
        <v>17.669071288433191</v>
      </c>
      <c r="CH26" s="1395">
        <f t="shared" si="98"/>
        <v>17.681287641397287</v>
      </c>
      <c r="CI26" s="1395">
        <f t="shared" si="98"/>
        <v>17.693512440718141</v>
      </c>
      <c r="CJ26" s="1395">
        <f t="shared" si="98"/>
        <v>17.705745692235549</v>
      </c>
      <c r="CK26" s="1395">
        <f t="shared" si="98"/>
        <v>17.717987401793337</v>
      </c>
      <c r="CL26" s="1395">
        <f t="shared" si="98"/>
        <v>17.722136797920101</v>
      </c>
      <c r="CM26" s="1395">
        <f t="shared" si="98"/>
        <v>17.726287165798784</v>
      </c>
      <c r="CN26" s="1395">
        <f t="shared" si="98"/>
        <v>17.730438505656959</v>
      </c>
      <c r="CO26" s="1395">
        <f t="shared" si="98"/>
        <v>17.734590817722253</v>
      </c>
      <c r="CP26" s="1395">
        <f t="shared" si="98"/>
        <v>17.738744102222352</v>
      </c>
      <c r="CQ26" s="1395">
        <f t="shared" si="98"/>
        <v>17.745038803647411</v>
      </c>
      <c r="CR26" s="1395">
        <f t="shared" si="98"/>
        <v>17.751335738785624</v>
      </c>
      <c r="CS26" s="1395">
        <f t="shared" si="98"/>
        <v>17.75763490842964</v>
      </c>
      <c r="CT26" s="1395">
        <f t="shared" si="98"/>
        <v>17.763936313372383</v>
      </c>
      <c r="CU26" s="1395">
        <f t="shared" si="98"/>
        <v>17.770239954407064</v>
      </c>
      <c r="CV26" s="1395">
        <f t="shared" si="98"/>
        <v>17.779941284647286</v>
      </c>
      <c r="CW26" s="1395">
        <f t="shared" si="98"/>
        <v>17.789647911147362</v>
      </c>
      <c r="CX26" s="1395">
        <f t="shared" si="98"/>
        <v>17.799359836798683</v>
      </c>
      <c r="CY26" s="1395">
        <f t="shared" si="98"/>
        <v>17.809077064494225</v>
      </c>
      <c r="CZ26" s="1395">
        <f t="shared" si="98"/>
        <v>17.818799597128535</v>
      </c>
    </row>
    <row r="27" spans="1:104" ht="13" x14ac:dyDescent="0.3">
      <c r="A27" s="874" t="str">
        <f>'HyARC Physical Property Data'!A72</f>
        <v>Industrial Natural Gas</v>
      </c>
      <c r="B27" s="260">
        <v>2011</v>
      </c>
      <c r="C27" s="873">
        <f t="shared" ref="C27:C35" si="99">VLOOKUP(ref_year,DeflatorTable,2,FALSE)/VLOOKUP(B27,DeflatorTable,2,FALSE)</f>
        <v>1.0784554773635862</v>
      </c>
      <c r="D27" s="1244" t="str">
        <f>'HyARC Physical Property Data'!H72</f>
        <v>mmBtu</v>
      </c>
      <c r="E27" s="873" t="s">
        <v>1057</v>
      </c>
      <c r="F27" s="260">
        <f>'HyARC Physical Property Data'!$E$6</f>
        <v>47.141269049911173</v>
      </c>
      <c r="G27" s="260">
        <f>'HyARC Physical Property Data'!$I$6</f>
        <v>52.224661236371581</v>
      </c>
      <c r="H27" s="1066">
        <v>8.3524006010892204</v>
      </c>
      <c r="I27" s="1066">
        <v>8.3524006010892204</v>
      </c>
      <c r="J27" s="1066">
        <v>8.3524006010892204</v>
      </c>
      <c r="K27" s="1066">
        <v>7.891606632326889</v>
      </c>
      <c r="L27" s="1066">
        <v>9.2420298006250725</v>
      </c>
      <c r="M27" s="1066">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37">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37">
        <f>'AEO Data'!$C$30*BB27</f>
        <v>10.647150755989088</v>
      </c>
      <c r="BR27" s="260">
        <f t="shared" si="97"/>
        <v>10.708008479170871</v>
      </c>
      <c r="BS27" s="260">
        <f t="shared" si="97"/>
        <v>10.768866202352655</v>
      </c>
      <c r="BT27" s="260">
        <f t="shared" si="97"/>
        <v>10.829723925534438</v>
      </c>
      <c r="BU27" s="260">
        <f t="shared" si="97"/>
        <v>10.890581648716221</v>
      </c>
      <c r="BV27" s="961">
        <f>'AEO Data'!$D$30*BQ27</f>
        <v>10.951439371898008</v>
      </c>
      <c r="BW27" s="1395">
        <f>+BV27*BW$135/BV$135</f>
        <v>10.987801370778188</v>
      </c>
      <c r="BX27" s="1395">
        <f t="shared" ref="BX27:CZ27" si="102">+BW27*BX$135/BW$135</f>
        <v>11.024284102186545</v>
      </c>
      <c r="BY27" s="1395">
        <f t="shared" si="102"/>
        <v>11.060887966990576</v>
      </c>
      <c r="BZ27" s="1395">
        <f t="shared" si="102"/>
        <v>11.097613367388767</v>
      </c>
      <c r="CA27" s="1395">
        <f t="shared" si="102"/>
        <v>11.134460706915034</v>
      </c>
      <c r="CB27" s="1395">
        <f t="shared" si="102"/>
        <v>11.158220847063788</v>
      </c>
      <c r="CC27" s="1395">
        <f t="shared" si="102"/>
        <v>11.18203168964661</v>
      </c>
      <c r="CD27" s="1395">
        <f t="shared" si="102"/>
        <v>11.205893342858859</v>
      </c>
      <c r="CE27" s="1395">
        <f t="shared" si="102"/>
        <v>11.229805915126768</v>
      </c>
      <c r="CF27" s="1395">
        <f t="shared" si="102"/>
        <v>11.253769515107949</v>
      </c>
      <c r="CG27" s="1395">
        <f t="shared" si="102"/>
        <v>11.261550344011113</v>
      </c>
      <c r="CH27" s="1395">
        <f t="shared" si="102"/>
        <v>11.26933655256048</v>
      </c>
      <c r="CI27" s="1395">
        <f t="shared" si="102"/>
        <v>11.277128144475522</v>
      </c>
      <c r="CJ27" s="1395">
        <f t="shared" si="102"/>
        <v>11.284925123478285</v>
      </c>
      <c r="CK27" s="1395">
        <f t="shared" si="102"/>
        <v>11.292727493293389</v>
      </c>
      <c r="CL27" s="1395">
        <f t="shared" si="102"/>
        <v>11.295372150311067</v>
      </c>
      <c r="CM27" s="1395">
        <f t="shared" si="102"/>
        <v>11.298017426684055</v>
      </c>
      <c r="CN27" s="1395">
        <f t="shared" si="102"/>
        <v>11.300663322557401</v>
      </c>
      <c r="CO27" s="1395">
        <f t="shared" si="102"/>
        <v>11.303309838076188</v>
      </c>
      <c r="CP27" s="1395">
        <f t="shared" si="102"/>
        <v>11.305956973385531</v>
      </c>
      <c r="CQ27" s="1395">
        <f t="shared" si="102"/>
        <v>11.309968961103596</v>
      </c>
      <c r="CR27" s="1395">
        <f t="shared" si="102"/>
        <v>11.31398237249995</v>
      </c>
      <c r="CS27" s="1395">
        <f t="shared" si="102"/>
        <v>11.317997208079792</v>
      </c>
      <c r="CT27" s="1395">
        <f t="shared" si="102"/>
        <v>11.3220134683485</v>
      </c>
      <c r="CU27" s="1395">
        <f t="shared" si="102"/>
        <v>11.326031153811636</v>
      </c>
      <c r="CV27" s="1395">
        <f t="shared" si="102"/>
        <v>11.332214388749156</v>
      </c>
      <c r="CW27" s="1395">
        <f t="shared" si="102"/>
        <v>11.338400999308178</v>
      </c>
      <c r="CX27" s="1395">
        <f t="shared" si="102"/>
        <v>11.344590987331557</v>
      </c>
      <c r="CY27" s="1395">
        <f t="shared" si="102"/>
        <v>11.350784354663158</v>
      </c>
      <c r="CZ27" s="1395">
        <f t="shared" si="102"/>
        <v>11.356981103147852</v>
      </c>
    </row>
    <row r="28" spans="1:104" ht="13" x14ac:dyDescent="0.3">
      <c r="A28" s="874" t="str">
        <f>'HyARC Physical Property Data'!A74</f>
        <v>Electric Utility Natural Gas</v>
      </c>
      <c r="B28" s="260">
        <v>2011</v>
      </c>
      <c r="C28" s="873">
        <f t="shared" si="99"/>
        <v>1.0784554773635862</v>
      </c>
      <c r="D28" s="1257" t="str">
        <f>'HyARC Physical Property Data'!H74</f>
        <v>mmBtu</v>
      </c>
      <c r="E28" s="873" t="s">
        <v>1057</v>
      </c>
      <c r="F28" s="260">
        <f>'HyARC Physical Property Data'!$E$6</f>
        <v>47.141269049911173</v>
      </c>
      <c r="G28" s="260">
        <f>'HyARC Physical Property Data'!$I$6</f>
        <v>52.224661236371581</v>
      </c>
      <c r="H28" s="1066">
        <v>7.4079259090132386</v>
      </c>
      <c r="I28" s="1066">
        <v>7.4079259090132386</v>
      </c>
      <c r="J28" s="1066">
        <v>7.4079259090132386</v>
      </c>
      <c r="K28" s="1066">
        <v>7.3706710915002853</v>
      </c>
      <c r="L28" s="1066">
        <v>9.3158925097981644</v>
      </c>
      <c r="M28" s="1066">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37">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37">
        <f>'AEO Data'!$C$30*BB28</f>
        <v>9.9822321396511793</v>
      </c>
      <c r="BR28" s="260">
        <f t="shared" si="97"/>
        <v>10.039289274861693</v>
      </c>
      <c r="BS28" s="260">
        <f t="shared" si="97"/>
        <v>10.096346410072206</v>
      </c>
      <c r="BT28" s="260">
        <f t="shared" si="97"/>
        <v>10.153403545282719</v>
      </c>
      <c r="BU28" s="260">
        <f t="shared" si="97"/>
        <v>10.210460680493233</v>
      </c>
      <c r="BV28" s="961">
        <f>'AEO Data'!$D$30*BQ28</f>
        <v>10.26751781570375</v>
      </c>
      <c r="BW28" s="1395">
        <f>+BV28*BW$136/BV$136</f>
        <v>10.301608993916805</v>
      </c>
      <c r="BX28" s="1395">
        <f t="shared" ref="BX28:CZ28" si="105">+BW28*BX$136/BW$136</f>
        <v>10.335813364865709</v>
      </c>
      <c r="BY28" s="1395">
        <f t="shared" si="105"/>
        <v>10.37013130438363</v>
      </c>
      <c r="BZ28" s="1395">
        <f t="shared" si="105"/>
        <v>10.404563189551611</v>
      </c>
      <c r="CA28" s="1395">
        <f t="shared" si="105"/>
        <v>10.439109398702717</v>
      </c>
      <c r="CB28" s="1395">
        <f t="shared" si="105"/>
        <v>10.461385709057588</v>
      </c>
      <c r="CC28" s="1395">
        <f t="shared" si="105"/>
        <v>10.483709555460226</v>
      </c>
      <c r="CD28" s="1395">
        <f t="shared" si="105"/>
        <v>10.506081039349146</v>
      </c>
      <c r="CE28" s="1395">
        <f t="shared" si="105"/>
        <v>10.528500262379325</v>
      </c>
      <c r="CF28" s="1395">
        <f t="shared" si="105"/>
        <v>10.550967326422667</v>
      </c>
      <c r="CG28" s="1395">
        <f t="shared" si="105"/>
        <v>10.558262239599943</v>
      </c>
      <c r="CH28" s="1395">
        <f t="shared" si="105"/>
        <v>10.565562196462466</v>
      </c>
      <c r="CI28" s="1395">
        <f t="shared" si="105"/>
        <v>10.572867200497431</v>
      </c>
      <c r="CJ28" s="1395">
        <f t="shared" si="105"/>
        <v>10.580177255194439</v>
      </c>
      <c r="CK28" s="1395">
        <f t="shared" si="105"/>
        <v>10.587492364045506</v>
      </c>
      <c r="CL28" s="1395">
        <f t="shared" si="105"/>
        <v>10.589971861226042</v>
      </c>
      <c r="CM28" s="1395">
        <f t="shared" si="105"/>
        <v>10.592451939082915</v>
      </c>
      <c r="CN28" s="1395">
        <f t="shared" si="105"/>
        <v>10.594932597752113</v>
      </c>
      <c r="CO28" s="1395">
        <f t="shared" si="105"/>
        <v>10.597413837369656</v>
      </c>
      <c r="CP28" s="1395">
        <f t="shared" si="105"/>
        <v>10.599895658071597</v>
      </c>
      <c r="CQ28" s="1395">
        <f t="shared" si="105"/>
        <v>10.603657095629963</v>
      </c>
      <c r="CR28" s="1395">
        <f t="shared" si="105"/>
        <v>10.607419867957365</v>
      </c>
      <c r="CS28" s="1395">
        <f t="shared" si="105"/>
        <v>10.611183975527453</v>
      </c>
      <c r="CT28" s="1395">
        <f t="shared" si="105"/>
        <v>10.614949418814046</v>
      </c>
      <c r="CU28" s="1395">
        <f t="shared" si="105"/>
        <v>10.618716198291134</v>
      </c>
      <c r="CV28" s="1395">
        <f t="shared" si="105"/>
        <v>10.624513287853858</v>
      </c>
      <c r="CW28" s="1395">
        <f t="shared" si="105"/>
        <v>10.630313542229239</v>
      </c>
      <c r="CX28" s="1395">
        <f t="shared" si="105"/>
        <v>10.636116963145044</v>
      </c>
      <c r="CY28" s="1395">
        <f t="shared" si="105"/>
        <v>10.641923552329986</v>
      </c>
      <c r="CZ28" s="1395">
        <f t="shared" si="105"/>
        <v>10.647733311513726</v>
      </c>
    </row>
    <row r="29" spans="1:104" ht="13" x14ac:dyDescent="0.3">
      <c r="A29" s="874" t="str">
        <f>'HyARC Physical Property Data'!A75</f>
        <v>Bio Methane</v>
      </c>
      <c r="B29" s="260">
        <v>2007</v>
      </c>
      <c r="C29" s="873">
        <f t="shared" si="99"/>
        <v>1.1446359956438654</v>
      </c>
      <c r="D29" s="1257" t="str">
        <f>'HyARC Physical Property Data'!H75</f>
        <v>mmBtu</v>
      </c>
      <c r="E29" s="873" t="s">
        <v>1057</v>
      </c>
      <c r="F29" s="260">
        <f>'HyARC Physical Property Data'!$E$6</f>
        <v>47.141269049911173</v>
      </c>
      <c r="G29" s="260">
        <f>'HyARC Physical Property Data'!$I$6</f>
        <v>52.224661236371581</v>
      </c>
      <c r="H29" s="1066">
        <v>12.42654028436019</v>
      </c>
      <c r="I29" s="1066">
        <v>12.42654028436019</v>
      </c>
      <c r="J29" s="1066">
        <v>12.42654028436019</v>
      </c>
      <c r="K29" s="1066">
        <v>12.42654028436019</v>
      </c>
      <c r="L29" s="1066">
        <v>12.42654028436019</v>
      </c>
      <c r="M29" s="1066">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95">
        <f>+BV29*BW$136/BV$136</f>
        <v>14.271092726019944</v>
      </c>
      <c r="BX29" s="1395">
        <f t="shared" ref="BX29:CZ29" si="108">+BW29*BX$136/BW$136</f>
        <v>14.318476950147966</v>
      </c>
      <c r="BY29" s="1395">
        <f t="shared" si="108"/>
        <v>14.366018503832969</v>
      </c>
      <c r="BZ29" s="1395">
        <f t="shared" si="108"/>
        <v>14.413717909455341</v>
      </c>
      <c r="CA29" s="1395">
        <f t="shared" si="108"/>
        <v>14.461575691129934</v>
      </c>
      <c r="CB29" s="1395">
        <f t="shared" si="108"/>
        <v>14.49243565590395</v>
      </c>
      <c r="CC29" s="1395">
        <f t="shared" si="108"/>
        <v>14.523361473628309</v>
      </c>
      <c r="CD29" s="1395">
        <f t="shared" si="108"/>
        <v>14.554353284828478</v>
      </c>
      <c r="CE29" s="1395">
        <f t="shared" si="108"/>
        <v>14.585411230329802</v>
      </c>
      <c r="CF29" s="1395">
        <f t="shared" si="108"/>
        <v>14.616535451258134</v>
      </c>
      <c r="CG29" s="1395">
        <f t="shared" si="108"/>
        <v>14.626641288360148</v>
      </c>
      <c r="CH29" s="1395">
        <f t="shared" si="108"/>
        <v>14.636754112613382</v>
      </c>
      <c r="CI29" s="1395">
        <f t="shared" si="108"/>
        <v>14.646873928848736</v>
      </c>
      <c r="CJ29" s="1395">
        <f t="shared" si="108"/>
        <v>14.657000741900452</v>
      </c>
      <c r="CK29" s="1395">
        <f t="shared" si="108"/>
        <v>14.667134556606111</v>
      </c>
      <c r="CL29" s="1395">
        <f t="shared" si="108"/>
        <v>14.670569469948116</v>
      </c>
      <c r="CM29" s="1395">
        <f t="shared" si="108"/>
        <v>14.674005187716483</v>
      </c>
      <c r="CN29" s="1395">
        <f t="shared" si="108"/>
        <v>14.6774417100996</v>
      </c>
      <c r="CO29" s="1395">
        <f t="shared" si="108"/>
        <v>14.6808790372859</v>
      </c>
      <c r="CP29" s="1395">
        <f t="shared" si="108"/>
        <v>14.684317169463862</v>
      </c>
      <c r="CQ29" s="1395">
        <f t="shared" si="108"/>
        <v>14.689527988881515</v>
      </c>
      <c r="CR29" s="1395">
        <f t="shared" si="108"/>
        <v>14.69474065739019</v>
      </c>
      <c r="CS29" s="1395">
        <f t="shared" si="108"/>
        <v>14.699955175646044</v>
      </c>
      <c r="CT29" s="1395">
        <f t="shared" si="108"/>
        <v>14.705171544305472</v>
      </c>
      <c r="CU29" s="1395">
        <f t="shared" si="108"/>
        <v>14.710389764025104</v>
      </c>
      <c r="CV29" s="1395">
        <f t="shared" si="108"/>
        <v>14.718420626266095</v>
      </c>
      <c r="CW29" s="1395">
        <f t="shared" si="108"/>
        <v>14.726455872806168</v>
      </c>
      <c r="CX29" s="1395">
        <f t="shared" si="108"/>
        <v>14.734495506038849</v>
      </c>
      <c r="CY29" s="1395">
        <f t="shared" si="108"/>
        <v>14.74253952835897</v>
      </c>
      <c r="CZ29" s="1395">
        <f t="shared" si="108"/>
        <v>14.750587942162673</v>
      </c>
    </row>
    <row r="30" spans="1:104" ht="13" x14ac:dyDescent="0.3">
      <c r="A30" s="962" t="str">
        <f>'HyARC Physical Property Data'!A85</f>
        <v>Woody Biomass</v>
      </c>
      <c r="B30" s="260">
        <v>2005</v>
      </c>
      <c r="C30" s="873">
        <f>VLOOKUP(ref_year,DeflatorTable,2,FALSE)/VLOOKUP(B30,DeflatorTable,2,FALSE)</f>
        <v>1.2112501494873942</v>
      </c>
      <c r="D30" s="1257" t="str">
        <f>+'HyARC Physical Property Data'!$H$85</f>
        <v>kg</v>
      </c>
      <c r="E30" s="900" t="s">
        <v>1051</v>
      </c>
      <c r="F30" s="260">
        <f>'HyARC Physical Property Data'!$E$45</f>
        <v>19.551069237418005</v>
      </c>
      <c r="G30" s="260">
        <f>'HyARC Physical Property Data'!$I$45</f>
        <v>20.588656379262464</v>
      </c>
      <c r="H30" s="1067">
        <v>1.3438238843289665</v>
      </c>
      <c r="I30" s="1067">
        <v>1.3438238843289665</v>
      </c>
      <c r="J30" s="1067">
        <v>1.3438238843289665</v>
      </c>
      <c r="K30" s="1067">
        <v>1.3438238843289665</v>
      </c>
      <c r="L30" s="1067">
        <v>1.3438238843289665</v>
      </c>
      <c r="M30" s="1067">
        <v>1.3438238843289665</v>
      </c>
      <c r="N30" s="963">
        <f>1.27*($C$30)</f>
        <v>1.5382876898489906</v>
      </c>
      <c r="O30" s="963">
        <f>1.27*($C$30)</f>
        <v>1.5382876898489906</v>
      </c>
      <c r="P30" s="963">
        <f>1.28*($C$30)</f>
        <v>1.5504001913438645</v>
      </c>
      <c r="Q30" s="963">
        <f>1.32*($C$30)</f>
        <v>1.5988501973233604</v>
      </c>
      <c r="R30" s="963">
        <f>1.32*($C$30)</f>
        <v>1.5988501973233604</v>
      </c>
      <c r="S30" s="963">
        <f>1.34*($C$30)</f>
        <v>1.6230752003131084</v>
      </c>
      <c r="T30" s="963">
        <f>1.34*($C$30)</f>
        <v>1.6230752003131084</v>
      </c>
      <c r="U30" s="963">
        <f>1.36*($C$30)</f>
        <v>1.6473002033028561</v>
      </c>
      <c r="V30" s="963">
        <f>1.36*($C$30)</f>
        <v>1.6473002033028561</v>
      </c>
      <c r="W30" s="963">
        <f>1.38*($C$30)</f>
        <v>1.6715252062926038</v>
      </c>
      <c r="X30" s="963">
        <f>1.4*($C$30)</f>
        <v>1.6957502092823518</v>
      </c>
      <c r="Y30" s="963">
        <f>1.46*($C$30)</f>
        <v>1.7684252182515954</v>
      </c>
      <c r="Z30" s="963">
        <f>1.48*($C$30)</f>
        <v>1.7926502212413433</v>
      </c>
      <c r="AA30" s="963">
        <f>1.48*($C$30)</f>
        <v>1.7926502212413433</v>
      </c>
      <c r="AB30" s="963">
        <f>1.51*($C$30)</f>
        <v>1.8289877257259652</v>
      </c>
      <c r="AC30" s="963">
        <f>1.52*($C$30)</f>
        <v>1.8411002272208392</v>
      </c>
      <c r="AD30" s="963">
        <f>1.62*($C$30)</f>
        <v>1.9622252421695787</v>
      </c>
      <c r="AE30" s="963">
        <f>1.72*($C$30)</f>
        <v>2.083350257118318</v>
      </c>
      <c r="AF30" s="963">
        <f>1.82*($C$30)</f>
        <v>2.2044752720670573</v>
      </c>
      <c r="AG30" s="963">
        <f>1.91*($C$30)</f>
        <v>2.3134877855209228</v>
      </c>
      <c r="AH30" s="963">
        <f>2.01*($C$30)</f>
        <v>2.4346128004696621</v>
      </c>
      <c r="AI30" s="963">
        <f>2.11*($C$30)</f>
        <v>2.5557378154184014</v>
      </c>
      <c r="AJ30" s="963">
        <f>2.2*($C$30)</f>
        <v>2.6647503288722674</v>
      </c>
      <c r="AK30" s="963">
        <f>2.3*($C$30)</f>
        <v>2.7858753438210062</v>
      </c>
      <c r="AL30" s="963">
        <f>2.4*($C$30)</f>
        <v>2.9070003587697459</v>
      </c>
      <c r="AM30" s="963">
        <f>2.5*($C$30)</f>
        <v>3.0281253737184857</v>
      </c>
      <c r="AN30" s="963">
        <f>2.57*($C$30)</f>
        <v>3.1129128841826028</v>
      </c>
      <c r="AO30" s="963">
        <f>2.64*($C$30)</f>
        <v>3.1977003946467208</v>
      </c>
      <c r="AP30" s="963">
        <f>2.71*($C$30)</f>
        <v>3.282487905110838</v>
      </c>
      <c r="AQ30" s="963">
        <f>2.78*($C$30)</f>
        <v>3.3672754155749556</v>
      </c>
      <c r="AR30" s="963">
        <f>2.85*($C$30)</f>
        <v>3.4520629260390736</v>
      </c>
      <c r="AS30" s="963">
        <f>2.92*($C$30)</f>
        <v>3.5368504365031908</v>
      </c>
      <c r="AT30" s="963">
        <f>2.99*($C$30)</f>
        <v>3.6216379469673088</v>
      </c>
      <c r="AU30" s="963">
        <f>3.07*($C$30)</f>
        <v>3.7185379589263001</v>
      </c>
      <c r="AV30" s="963">
        <f>3.14*($C$30)</f>
        <v>3.8033254693904177</v>
      </c>
      <c r="AW30" s="963">
        <f>3.21*($C$30)</f>
        <v>3.8881129798545353</v>
      </c>
      <c r="AX30" s="963">
        <f>3.28*($C$30)</f>
        <v>3.9729004903186529</v>
      </c>
      <c r="AY30" s="963">
        <f>3.35*($C$30)</f>
        <v>4.0576880007827709</v>
      </c>
      <c r="AZ30" s="963">
        <f>3.42*($C$30)</f>
        <v>4.1424755112468876</v>
      </c>
      <c r="BA30" s="963">
        <f>3.49*($C$30)</f>
        <v>4.2272630217110061</v>
      </c>
      <c r="BB30" s="963">
        <f>3.56*($C$30)</f>
        <v>4.3120505321751237</v>
      </c>
      <c r="BC30" s="963">
        <f>3.64*($C$30)</f>
        <v>4.4089505441341146</v>
      </c>
      <c r="BD30" s="963">
        <f>3.71*($C$30)</f>
        <v>4.4937380545982322</v>
      </c>
      <c r="BE30" s="963">
        <f>3.78*($C$30)</f>
        <v>4.5785255650623498</v>
      </c>
      <c r="BF30" s="963">
        <f>3.85*($C$30)</f>
        <v>4.6633130755264673</v>
      </c>
      <c r="BG30" s="963">
        <f>3.92*($C$30)</f>
        <v>4.7481005859905849</v>
      </c>
      <c r="BH30" s="963">
        <f>3.99*($C$30)</f>
        <v>4.8328880964547034</v>
      </c>
      <c r="BI30" s="963">
        <f>4.06*($C$30)</f>
        <v>4.9176756069188201</v>
      </c>
      <c r="BJ30" s="963">
        <f>4.14*($C$30)</f>
        <v>5.0145756188778119</v>
      </c>
      <c r="BK30" s="963">
        <f>4.21*($C$30)</f>
        <v>5.0993631293419295</v>
      </c>
      <c r="BL30" s="963">
        <f>4.28*($C$30)</f>
        <v>5.1841506398060471</v>
      </c>
      <c r="BM30" s="963">
        <f>4.35*($C$30)</f>
        <v>5.2689381502701647</v>
      </c>
      <c r="BN30" s="963">
        <f>4.42*($C$30)</f>
        <v>5.3537256607342822</v>
      </c>
      <c r="BO30" s="963">
        <f>4.49*($C$30)</f>
        <v>5.4385131711983998</v>
      </c>
      <c r="BP30" s="963">
        <f>4.56*($C$30)</f>
        <v>5.5233006816625174</v>
      </c>
      <c r="BQ30" s="963">
        <f>4.63*($C$30)</f>
        <v>5.608088192126635</v>
      </c>
      <c r="BR30" s="963">
        <f>4.71*($C$30)</f>
        <v>5.7049882040856268</v>
      </c>
      <c r="BS30" s="963">
        <f>4.78*($C$30)</f>
        <v>5.7897757145497444</v>
      </c>
      <c r="BT30" s="963">
        <f>4.85*($C$30)</f>
        <v>5.8745632250138611</v>
      </c>
      <c r="BU30" s="963">
        <f>4.92*($C$30)</f>
        <v>5.9593507354779796</v>
      </c>
      <c r="BV30" s="964">
        <f>4.99*($C$30)</f>
        <v>6.0441382459420971</v>
      </c>
      <c r="BW30" s="1395">
        <f>+BV30*BW$137/BV$137</f>
        <v>6.0586659764672328</v>
      </c>
      <c r="BX30" s="1395">
        <f t="shared" ref="BX30:CZ30" si="109">+BW30*BX$137/BW$137</f>
        <v>6.0732286259412112</v>
      </c>
      <c r="BY30" s="1395">
        <f t="shared" si="109"/>
        <v>6.0878262782954495</v>
      </c>
      <c r="BZ30" s="1395">
        <f t="shared" si="109"/>
        <v>6.1024590176630999</v>
      </c>
      <c r="CA30" s="1395">
        <f t="shared" si="109"/>
        <v>6.1171269283795393</v>
      </c>
      <c r="CB30" s="1395">
        <f t="shared" si="109"/>
        <v>6.1299667153690152</v>
      </c>
      <c r="CC30" s="1395">
        <f t="shared" si="109"/>
        <v>6.1428334529403346</v>
      </c>
      <c r="CD30" s="1395">
        <f t="shared" si="109"/>
        <v>6.155727197662495</v>
      </c>
      <c r="CE30" s="1395">
        <f t="shared" si="109"/>
        <v>6.1686480062232301</v>
      </c>
      <c r="CF30" s="1395">
        <f t="shared" si="109"/>
        <v>6.18159593542926</v>
      </c>
      <c r="CG30" s="1395">
        <f t="shared" si="109"/>
        <v>6.197524392005751</v>
      </c>
      <c r="CH30" s="1395">
        <f t="shared" si="109"/>
        <v>6.2134938923080965</v>
      </c>
      <c r="CI30" s="1395">
        <f t="shared" si="109"/>
        <v>6.229504542095909</v>
      </c>
      <c r="CJ30" s="1395">
        <f t="shared" si="109"/>
        <v>6.245556447401321</v>
      </c>
      <c r="CK30" s="1395">
        <f t="shared" si="109"/>
        <v>6.2616497145296828</v>
      </c>
      <c r="CL30" s="1395">
        <f t="shared" si="109"/>
        <v>6.2750522655841658</v>
      </c>
      <c r="CM30" s="1395">
        <f t="shared" si="109"/>
        <v>6.2884835037072264</v>
      </c>
      <c r="CN30" s="1395">
        <f t="shared" si="109"/>
        <v>6.3019434903011975</v>
      </c>
      <c r="CO30" s="1395">
        <f t="shared" si="109"/>
        <v>6.3154322868998385</v>
      </c>
      <c r="CP30" s="1395">
        <f t="shared" si="109"/>
        <v>6.3289499551686168</v>
      </c>
      <c r="CQ30" s="1395">
        <f t="shared" si="109"/>
        <v>6.3413225489579119</v>
      </c>
      <c r="CR30" s="1395">
        <f t="shared" si="109"/>
        <v>6.3537193301840116</v>
      </c>
      <c r="CS30" s="1395">
        <f t="shared" si="109"/>
        <v>6.3661403461314299</v>
      </c>
      <c r="CT30" s="1395">
        <f t="shared" si="109"/>
        <v>6.3785856441771198</v>
      </c>
      <c r="CU30" s="1395">
        <f t="shared" si="109"/>
        <v>6.3910552717906537</v>
      </c>
      <c r="CV30" s="1395">
        <f t="shared" si="109"/>
        <v>6.4057772391562917</v>
      </c>
      <c r="CW30" s="1395">
        <f t="shared" si="109"/>
        <v>6.4205331189689208</v>
      </c>
      <c r="CX30" s="1395">
        <f t="shared" si="109"/>
        <v>6.4353229893467718</v>
      </c>
      <c r="CY30" s="1395">
        <f t="shared" si="109"/>
        <v>6.4501469285880244</v>
      </c>
      <c r="CZ30" s="1395">
        <f t="shared" si="109"/>
        <v>6.4650050151712186</v>
      </c>
    </row>
    <row r="31" spans="1:104" ht="13" x14ac:dyDescent="0.3">
      <c r="A31" s="962" t="str">
        <f>'HyARC Physical Property Data'!$A$87</f>
        <v>Woody Biomass MYPP</v>
      </c>
      <c r="B31" s="260">
        <v>2007</v>
      </c>
      <c r="C31" s="873">
        <f>VLOOKUP(ref_year,DeflatorTable,2,FALSE)/VLOOKUP(B31,DeflatorTable,2,FALSE)</f>
        <v>1.1446359956438654</v>
      </c>
      <c r="D31" s="1257" t="str">
        <f>+'HyARC Physical Property Data'!$H$87</f>
        <v>kg</v>
      </c>
      <c r="E31" s="900" t="s">
        <v>1051</v>
      </c>
      <c r="F31" s="260">
        <v>18.608000000000001</v>
      </c>
      <c r="G31" s="260"/>
      <c r="H31" s="1066">
        <v>4.4443250214961303</v>
      </c>
      <c r="I31" s="1066">
        <v>4.4443250214961303</v>
      </c>
      <c r="J31" s="1066">
        <v>4.4443250214961303</v>
      </c>
      <c r="K31" s="1066">
        <v>4.4443250214961303</v>
      </c>
      <c r="L31" s="1066">
        <v>4.4443250214961303</v>
      </c>
      <c r="M31" s="1066">
        <v>4.4443250214961303</v>
      </c>
      <c r="N31" s="260">
        <f>4.44432502149613*$C$31</f>
        <v>5.0871343959451663</v>
      </c>
      <c r="O31" s="963">
        <f t="shared" ref="O31:T31" si="110">N31-($N$31-$U$31)/7</f>
        <v>4.9664808197552768</v>
      </c>
      <c r="P31" s="963">
        <f t="shared" si="110"/>
        <v>4.8458272435653873</v>
      </c>
      <c r="Q31" s="963">
        <f t="shared" si="110"/>
        <v>4.7251736673754978</v>
      </c>
      <c r="R31" s="963">
        <f t="shared" si="110"/>
        <v>4.6045200911856083</v>
      </c>
      <c r="S31" s="963">
        <f t="shared" si="110"/>
        <v>4.4838665149957189</v>
      </c>
      <c r="T31" s="963">
        <f t="shared" si="110"/>
        <v>4.3632129388058294</v>
      </c>
      <c r="U31" s="963">
        <f>3.70647033533964*$C$31</f>
        <v>4.2425593626159408</v>
      </c>
      <c r="V31" s="963">
        <f t="shared" ref="V31:BV31" si="111">3.70647033533964*$C$31</f>
        <v>4.2425593626159408</v>
      </c>
      <c r="W31" s="963">
        <f t="shared" si="111"/>
        <v>4.2425593626159408</v>
      </c>
      <c r="X31" s="963">
        <f t="shared" si="111"/>
        <v>4.2425593626159408</v>
      </c>
      <c r="Y31" s="963">
        <f t="shared" si="111"/>
        <v>4.2425593626159408</v>
      </c>
      <c r="Z31" s="963">
        <f t="shared" si="111"/>
        <v>4.2425593626159408</v>
      </c>
      <c r="AA31" s="963">
        <f t="shared" si="111"/>
        <v>4.2425593626159408</v>
      </c>
      <c r="AB31" s="963">
        <f t="shared" si="111"/>
        <v>4.2425593626159408</v>
      </c>
      <c r="AC31" s="963">
        <f t="shared" si="111"/>
        <v>4.2425593626159408</v>
      </c>
      <c r="AD31" s="963">
        <f t="shared" si="111"/>
        <v>4.2425593626159408</v>
      </c>
      <c r="AE31" s="963">
        <f t="shared" si="111"/>
        <v>4.2425593626159408</v>
      </c>
      <c r="AF31" s="963">
        <f t="shared" si="111"/>
        <v>4.2425593626159408</v>
      </c>
      <c r="AG31" s="963">
        <f t="shared" si="111"/>
        <v>4.2425593626159408</v>
      </c>
      <c r="AH31" s="963">
        <f t="shared" si="111"/>
        <v>4.2425593626159408</v>
      </c>
      <c r="AI31" s="963">
        <f t="shared" si="111"/>
        <v>4.2425593626159408</v>
      </c>
      <c r="AJ31" s="963">
        <f t="shared" si="111"/>
        <v>4.2425593626159408</v>
      </c>
      <c r="AK31" s="963">
        <f t="shared" si="111"/>
        <v>4.2425593626159408</v>
      </c>
      <c r="AL31" s="963">
        <f t="shared" si="111"/>
        <v>4.2425593626159408</v>
      </c>
      <c r="AM31" s="963">
        <f t="shared" si="111"/>
        <v>4.2425593626159408</v>
      </c>
      <c r="AN31" s="963">
        <f t="shared" si="111"/>
        <v>4.2425593626159408</v>
      </c>
      <c r="AO31" s="963">
        <f t="shared" si="111"/>
        <v>4.2425593626159408</v>
      </c>
      <c r="AP31" s="963">
        <f t="shared" si="111"/>
        <v>4.2425593626159408</v>
      </c>
      <c r="AQ31" s="963">
        <f t="shared" si="111"/>
        <v>4.2425593626159408</v>
      </c>
      <c r="AR31" s="963">
        <f t="shared" si="111"/>
        <v>4.2425593626159408</v>
      </c>
      <c r="AS31" s="963">
        <f t="shared" si="111"/>
        <v>4.2425593626159408</v>
      </c>
      <c r="AT31" s="963">
        <f t="shared" si="111"/>
        <v>4.2425593626159408</v>
      </c>
      <c r="AU31" s="963">
        <f t="shared" si="111"/>
        <v>4.2425593626159408</v>
      </c>
      <c r="AV31" s="963">
        <f t="shared" si="111"/>
        <v>4.2425593626159408</v>
      </c>
      <c r="AW31" s="963">
        <f t="shared" si="111"/>
        <v>4.2425593626159408</v>
      </c>
      <c r="AX31" s="963">
        <f t="shared" si="111"/>
        <v>4.2425593626159408</v>
      </c>
      <c r="AY31" s="963">
        <f t="shared" si="111"/>
        <v>4.2425593626159408</v>
      </c>
      <c r="AZ31" s="963">
        <f t="shared" si="111"/>
        <v>4.2425593626159408</v>
      </c>
      <c r="BA31" s="963">
        <f t="shared" si="111"/>
        <v>4.2425593626159408</v>
      </c>
      <c r="BB31" s="963">
        <f t="shared" si="111"/>
        <v>4.2425593626159408</v>
      </c>
      <c r="BC31" s="963">
        <f t="shared" si="111"/>
        <v>4.2425593626159408</v>
      </c>
      <c r="BD31" s="963">
        <f t="shared" si="111"/>
        <v>4.2425593626159408</v>
      </c>
      <c r="BE31" s="963">
        <f t="shared" si="111"/>
        <v>4.2425593626159408</v>
      </c>
      <c r="BF31" s="963">
        <f t="shared" si="111"/>
        <v>4.2425593626159408</v>
      </c>
      <c r="BG31" s="963">
        <f t="shared" si="111"/>
        <v>4.2425593626159408</v>
      </c>
      <c r="BH31" s="963">
        <f t="shared" si="111"/>
        <v>4.2425593626159408</v>
      </c>
      <c r="BI31" s="963">
        <f t="shared" si="111"/>
        <v>4.2425593626159408</v>
      </c>
      <c r="BJ31" s="963">
        <f t="shared" si="111"/>
        <v>4.2425593626159408</v>
      </c>
      <c r="BK31" s="963">
        <f t="shared" si="111"/>
        <v>4.2425593626159408</v>
      </c>
      <c r="BL31" s="963">
        <f t="shared" si="111"/>
        <v>4.2425593626159408</v>
      </c>
      <c r="BM31" s="963">
        <f t="shared" si="111"/>
        <v>4.2425593626159408</v>
      </c>
      <c r="BN31" s="963">
        <f t="shared" si="111"/>
        <v>4.2425593626159408</v>
      </c>
      <c r="BO31" s="963">
        <f t="shared" si="111"/>
        <v>4.2425593626159408</v>
      </c>
      <c r="BP31" s="963">
        <f t="shared" si="111"/>
        <v>4.2425593626159408</v>
      </c>
      <c r="BQ31" s="963">
        <f t="shared" si="111"/>
        <v>4.2425593626159408</v>
      </c>
      <c r="BR31" s="963">
        <f t="shared" si="111"/>
        <v>4.2425593626159408</v>
      </c>
      <c r="BS31" s="963">
        <f t="shared" si="111"/>
        <v>4.2425593626159408</v>
      </c>
      <c r="BT31" s="963">
        <f t="shared" si="111"/>
        <v>4.2425593626159408</v>
      </c>
      <c r="BU31" s="963">
        <f t="shared" si="111"/>
        <v>4.2425593626159408</v>
      </c>
      <c r="BV31" s="963">
        <f t="shared" si="111"/>
        <v>4.2425593626159408</v>
      </c>
      <c r="BW31" s="1395">
        <f>+BV31*BW$137/BV$137</f>
        <v>4.2527568062628252</v>
      </c>
      <c r="BX31" s="1395">
        <f t="shared" ref="BX31:CZ31" si="112">+BW31*BX$137/BW$137</f>
        <v>4.2629787605524712</v>
      </c>
      <c r="BY31" s="1395">
        <f t="shared" si="112"/>
        <v>4.2732252843988219</v>
      </c>
      <c r="BZ31" s="1395">
        <f t="shared" si="112"/>
        <v>4.2834964368574244</v>
      </c>
      <c r="CA31" s="1395">
        <f t="shared" si="112"/>
        <v>4.2937922771257746</v>
      </c>
      <c r="CB31" s="1395">
        <f t="shared" si="112"/>
        <v>4.302804903291757</v>
      </c>
      <c r="CC31" s="1395">
        <f t="shared" si="112"/>
        <v>4.3118364468680763</v>
      </c>
      <c r="CD31" s="1395">
        <f t="shared" si="112"/>
        <v>4.3208869475621841</v>
      </c>
      <c r="CE31" s="1395">
        <f t="shared" si="112"/>
        <v>4.3299564451648767</v>
      </c>
      <c r="CF31" s="1395">
        <f t="shared" si="112"/>
        <v>4.3390449795504713</v>
      </c>
      <c r="CG31" s="1395">
        <f t="shared" si="112"/>
        <v>4.3502256342328796</v>
      </c>
      <c r="CH31" s="1395">
        <f t="shared" si="112"/>
        <v>4.361435098720146</v>
      </c>
      <c r="CI31" s="1395">
        <f t="shared" si="112"/>
        <v>4.3726734472480695</v>
      </c>
      <c r="CJ31" s="1395">
        <f t="shared" si="112"/>
        <v>4.3839407542437394</v>
      </c>
      <c r="CK31" s="1395">
        <f t="shared" si="112"/>
        <v>4.3952370943260251</v>
      </c>
      <c r="CL31" s="1395">
        <f t="shared" si="112"/>
        <v>4.4046447412304142</v>
      </c>
      <c r="CM31" s="1395">
        <f t="shared" si="112"/>
        <v>4.4140725244365262</v>
      </c>
      <c r="CN31" s="1395">
        <f t="shared" si="112"/>
        <v>4.4235204870444758</v>
      </c>
      <c r="CO31" s="1395">
        <f t="shared" si="112"/>
        <v>4.4329886722466272</v>
      </c>
      <c r="CP31" s="1395">
        <f t="shared" si="112"/>
        <v>4.4424771233277953</v>
      </c>
      <c r="CQ31" s="1395">
        <f t="shared" si="112"/>
        <v>4.4511618127714661</v>
      </c>
      <c r="CR31" s="1395">
        <f t="shared" si="112"/>
        <v>4.4598634800922632</v>
      </c>
      <c r="CS31" s="1395">
        <f t="shared" si="112"/>
        <v>4.4685821584805847</v>
      </c>
      <c r="CT31" s="1395">
        <f t="shared" si="112"/>
        <v>4.4773178811917154</v>
      </c>
      <c r="CU31" s="1395">
        <f t="shared" si="112"/>
        <v>4.486070681545951</v>
      </c>
      <c r="CV31" s="1395">
        <f t="shared" si="112"/>
        <v>4.4964044657748525</v>
      </c>
      <c r="CW31" s="1395">
        <f t="shared" si="112"/>
        <v>4.5067620541531026</v>
      </c>
      <c r="CX31" s="1395">
        <f t="shared" si="112"/>
        <v>4.5171435015141972</v>
      </c>
      <c r="CY31" s="1395">
        <f t="shared" si="112"/>
        <v>4.5275488628179446</v>
      </c>
      <c r="CZ31" s="1395">
        <f t="shared" si="112"/>
        <v>4.537978193150753</v>
      </c>
    </row>
    <row r="32" spans="1:104" ht="13" x14ac:dyDescent="0.3">
      <c r="A32" s="968" t="str">
        <f>'HyARC Physical Property Data'!A79</f>
        <v>Electric Utility Steam Coal</v>
      </c>
      <c r="B32" s="260">
        <v>2011</v>
      </c>
      <c r="C32" s="873">
        <f>VLOOKUP(ref_year,DeflatorTable,2,FALSE)/VLOOKUP(B32,DeflatorTable,2,FALSE)</f>
        <v>1.0784554773635862</v>
      </c>
      <c r="D32" s="1257" t="str">
        <f>+'HyARC Physical Property Data'!$H$79</f>
        <v>kg</v>
      </c>
      <c r="E32" s="900" t="s">
        <v>1051</v>
      </c>
      <c r="F32" s="260">
        <f>'HyARC Physical Property Data'!E42</f>
        <v>22.7322030001394</v>
      </c>
      <c r="G32" s="260">
        <f>'HyARC Physical Property Data'!I42</f>
        <v>23.967615189707661</v>
      </c>
      <c r="H32" s="1066">
        <v>1.7344499599167666</v>
      </c>
      <c r="I32" s="1066">
        <v>1.7344499599167666</v>
      </c>
      <c r="J32" s="1066">
        <v>1.7344499599167666</v>
      </c>
      <c r="K32" s="1066">
        <v>1.7788973636542149</v>
      </c>
      <c r="L32" s="1066">
        <v>1.9298772179141501</v>
      </c>
      <c r="M32" s="1066">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37">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37">
        <f>('AEO Data'!$C$28*BB32)</f>
        <v>3.6036422854995251</v>
      </c>
      <c r="BR32" s="260">
        <f>(($BV$32-$BQ$32)/5+BQ32)</f>
        <v>3.6151952056451568</v>
      </c>
      <c r="BS32" s="260">
        <f>(($BV$32-$BQ$32)/5+BR32)</f>
        <v>3.6267481257907885</v>
      </c>
      <c r="BT32" s="260">
        <f>(($BV$32-$BQ$32)/5+BS32)</f>
        <v>3.6383010459364202</v>
      </c>
      <c r="BU32" s="260">
        <f>(($BV$32-$BQ$32)/5+BT32)</f>
        <v>3.6498539660820519</v>
      </c>
      <c r="BV32" s="961">
        <f>('AEO Data'!$D$28*BQ32)</f>
        <v>3.6614068862276832</v>
      </c>
      <c r="BW32" s="1395">
        <f>+BV32*BW$138/BV$138</f>
        <v>3.6737859390461725</v>
      </c>
      <c r="BX32" s="1395">
        <f t="shared" ref="BX32:CZ32" si="116">+BW32*BX$138/BW$138</f>
        <v>3.6862068448882255</v>
      </c>
      <c r="BY32" s="1395">
        <f t="shared" si="116"/>
        <v>3.6986697452570407</v>
      </c>
      <c r="BZ32" s="1395">
        <f t="shared" si="116"/>
        <v>3.7111747821342336</v>
      </c>
      <c r="CA32" s="1395">
        <f t="shared" si="116"/>
        <v>3.7237220979814545</v>
      </c>
      <c r="CB32" s="1395">
        <f t="shared" si="116"/>
        <v>3.7343836989714818</v>
      </c>
      <c r="CC32" s="1395">
        <f t="shared" si="116"/>
        <v>3.7450758257990131</v>
      </c>
      <c r="CD32" s="1395">
        <f t="shared" si="116"/>
        <v>3.7557985658643127</v>
      </c>
      <c r="CE32" s="1395">
        <f t="shared" si="116"/>
        <v>3.766552006817887</v>
      </c>
      <c r="CF32" s="1395">
        <f t="shared" si="116"/>
        <v>3.7773362365611991</v>
      </c>
      <c r="CG32" s="1395">
        <f t="shared" si="116"/>
        <v>3.7855700072018039</v>
      </c>
      <c r="CH32" s="1395">
        <f t="shared" si="116"/>
        <v>3.7938217256698499</v>
      </c>
      <c r="CI32" s="1395">
        <f t="shared" si="116"/>
        <v>3.8020914310876934</v>
      </c>
      <c r="CJ32" s="1395">
        <f t="shared" si="116"/>
        <v>3.8103791626629699</v>
      </c>
      <c r="CK32" s="1395">
        <f t="shared" si="116"/>
        <v>3.818684959688778</v>
      </c>
      <c r="CL32" s="1395">
        <f t="shared" si="116"/>
        <v>3.8243155975254672</v>
      </c>
      <c r="CM32" s="1395">
        <f t="shared" si="116"/>
        <v>3.8299545377182778</v>
      </c>
      <c r="CN32" s="1395">
        <f t="shared" si="116"/>
        <v>3.8356017925090047</v>
      </c>
      <c r="CO32" s="1395">
        <f t="shared" si="116"/>
        <v>3.841257374157494</v>
      </c>
      <c r="CP32" s="1395">
        <f t="shared" si="116"/>
        <v>3.846921294941668</v>
      </c>
      <c r="CQ32" s="1395">
        <f t="shared" si="116"/>
        <v>3.8488180534393406</v>
      </c>
      <c r="CR32" s="1395">
        <f t="shared" si="116"/>
        <v>3.8507157471505309</v>
      </c>
      <c r="CS32" s="1395">
        <f t="shared" si="116"/>
        <v>3.852614376536355</v>
      </c>
      <c r="CT32" s="1395">
        <f t="shared" si="116"/>
        <v>3.8545139420581549</v>
      </c>
      <c r="CU32" s="1395">
        <f t="shared" si="116"/>
        <v>3.8564144441775015</v>
      </c>
      <c r="CV32" s="1395">
        <f t="shared" si="116"/>
        <v>3.853683012772128</v>
      </c>
      <c r="CW32" s="1395">
        <f t="shared" si="116"/>
        <v>3.8509535159922028</v>
      </c>
      <c r="CX32" s="1395">
        <f t="shared" si="116"/>
        <v>3.8482259524674642</v>
      </c>
      <c r="CY32" s="1395">
        <f t="shared" si="116"/>
        <v>3.8455003208286209</v>
      </c>
      <c r="CZ32" s="1395">
        <f t="shared" si="116"/>
        <v>3.8427766197073518</v>
      </c>
    </row>
    <row r="33" spans="1:106" ht="13" x14ac:dyDescent="0.3">
      <c r="A33" s="962" t="str">
        <f>'HyARC Physical Property Data'!A76</f>
        <v>Commercial Electricity</v>
      </c>
      <c r="B33" s="260">
        <v>2011</v>
      </c>
      <c r="C33" s="873">
        <f t="shared" si="99"/>
        <v>1.0784554773635862</v>
      </c>
      <c r="D33" s="1257" t="str">
        <f>'HyARC Physical Property Data'!$H$76</f>
        <v>kWh</v>
      </c>
      <c r="E33" s="873" t="s">
        <v>1070</v>
      </c>
      <c r="F33" s="873"/>
      <c r="G33" s="873"/>
      <c r="H33" s="1066">
        <v>26.896922396257633</v>
      </c>
      <c r="I33" s="1066">
        <v>26.896922396257633</v>
      </c>
      <c r="J33" s="1066">
        <v>26.896922396257633</v>
      </c>
      <c r="K33" s="1066">
        <v>26.568469730033652</v>
      </c>
      <c r="L33" s="1066">
        <v>27.542479456318485</v>
      </c>
      <c r="M33" s="1066">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29.116216623080415</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37">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37">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61">
        <f>'AEO Data'!$D$33*BQ33</f>
        <v>29.720041181041928</v>
      </c>
      <c r="BW33" s="1395">
        <f>+BV33*BW$139/BV$139</f>
        <v>29.706955334848292</v>
      </c>
      <c r="BX33" s="1395">
        <f t="shared" ref="BX33:CZ33" si="121">+BW33*BX$139/BW$139</f>
        <v>29.693875250402076</v>
      </c>
      <c r="BY33" s="1395">
        <f t="shared" si="121"/>
        <v>29.680800925166359</v>
      </c>
      <c r="BZ33" s="1395">
        <f t="shared" si="121"/>
        <v>29.667732356605345</v>
      </c>
      <c r="CA33" s="1395">
        <f t="shared" si="121"/>
        <v>29.654669542184347</v>
      </c>
      <c r="CB33" s="1395">
        <f t="shared" si="121"/>
        <v>29.630916614985676</v>
      </c>
      <c r="CC33" s="1395">
        <f t="shared" si="121"/>
        <v>29.607182713510749</v>
      </c>
      <c r="CD33" s="1395">
        <f t="shared" si="121"/>
        <v>29.583467822520262</v>
      </c>
      <c r="CE33" s="1395">
        <f t="shared" si="121"/>
        <v>29.559771926787111</v>
      </c>
      <c r="CF33" s="1395">
        <f t="shared" si="121"/>
        <v>29.536095011096396</v>
      </c>
      <c r="CG33" s="1395">
        <f t="shared" si="121"/>
        <v>29.503478732865982</v>
      </c>
      <c r="CH33" s="1395">
        <f t="shared" si="121"/>
        <v>29.470898472315131</v>
      </c>
      <c r="CI33" s="1395">
        <f t="shared" si="121"/>
        <v>29.438354189670047</v>
      </c>
      <c r="CJ33" s="1395">
        <f t="shared" si="121"/>
        <v>29.405845845200851</v>
      </c>
      <c r="CK33" s="1395">
        <f t="shared" si="121"/>
        <v>29.373373399221538</v>
      </c>
      <c r="CL33" s="1395">
        <f t="shared" si="121"/>
        <v>29.33797049714088</v>
      </c>
      <c r="CM33" s="1395">
        <f t="shared" si="121"/>
        <v>29.302610265183901</v>
      </c>
      <c r="CN33" s="1395">
        <f t="shared" si="121"/>
        <v>29.267292651921498</v>
      </c>
      <c r="CO33" s="1395">
        <f t="shared" si="121"/>
        <v>29.232017605986552</v>
      </c>
      <c r="CP33" s="1395">
        <f t="shared" si="121"/>
        <v>29.196785076073859</v>
      </c>
      <c r="CQ33" s="1395">
        <f t="shared" si="121"/>
        <v>29.155976606392862</v>
      </c>
      <c r="CR33" s="1395">
        <f t="shared" si="121"/>
        <v>29.115225174882106</v>
      </c>
      <c r="CS33" s="1395">
        <f t="shared" si="121"/>
        <v>29.074530701819103</v>
      </c>
      <c r="CT33" s="1395">
        <f t="shared" si="121"/>
        <v>29.033893107592792</v>
      </c>
      <c r="CU33" s="1395">
        <f t="shared" si="121"/>
        <v>28.993312312703377</v>
      </c>
      <c r="CV33" s="1395">
        <f t="shared" si="121"/>
        <v>28.95369823223389</v>
      </c>
      <c r="CW33" s="1395">
        <f t="shared" si="121"/>
        <v>28.914138277190098</v>
      </c>
      <c r="CX33" s="1395">
        <f t="shared" si="121"/>
        <v>28.874632373619477</v>
      </c>
      <c r="CY33" s="1395">
        <f t="shared" si="121"/>
        <v>28.835180447670528</v>
      </c>
      <c r="CZ33" s="1395">
        <f t="shared" si="121"/>
        <v>28.795782425592659</v>
      </c>
    </row>
    <row r="34" spans="1:106" ht="13" x14ac:dyDescent="0.3">
      <c r="A34" s="962" t="str">
        <f>'HyARC Physical Property Data'!A77</f>
        <v>Industrial Electricity</v>
      </c>
      <c r="B34" s="260">
        <v>2011</v>
      </c>
      <c r="C34" s="873">
        <f t="shared" si="99"/>
        <v>1.0784554773635862</v>
      </c>
      <c r="D34" s="1245" t="str">
        <f>'HyARC Physical Property Data'!$H$77</f>
        <v>kWh</v>
      </c>
      <c r="E34" s="873" t="s">
        <v>1070</v>
      </c>
      <c r="F34" s="873"/>
      <c r="G34" s="873"/>
      <c r="H34" s="1066">
        <v>17.44160584363896</v>
      </c>
      <c r="I34" s="1066">
        <v>17.44160584363896</v>
      </c>
      <c r="J34" s="1066">
        <v>17.44160584363896</v>
      </c>
      <c r="K34" s="1066">
        <v>17.651840860809763</v>
      </c>
      <c r="L34" s="1066">
        <v>19.274322003549859</v>
      </c>
      <c r="M34" s="1066">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37">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37">
        <f>'AEO Data'!$C$33*BB34</f>
        <v>20.908579364602893</v>
      </c>
      <c r="BR34" s="260">
        <f t="shared" si="120"/>
        <v>20.894500568115706</v>
      </c>
      <c r="BS34" s="260">
        <f t="shared" si="120"/>
        <v>20.880421771628519</v>
      </c>
      <c r="BT34" s="260">
        <f t="shared" si="120"/>
        <v>20.866342975141333</v>
      </c>
      <c r="BU34" s="260">
        <f t="shared" si="120"/>
        <v>20.852264178654146</v>
      </c>
      <c r="BV34" s="961">
        <f>'AEO Data'!$D$33*BQ34</f>
        <v>20.838185382166952</v>
      </c>
      <c r="BW34" s="1395">
        <f>+BV34*BW$140/BV$140</f>
        <v>20.844481841022439</v>
      </c>
      <c r="BX34" s="1395">
        <f t="shared" ref="BX34:CZ34" si="125">+BW34*BX$140/BW$140</f>
        <v>20.850780202413748</v>
      </c>
      <c r="BY34" s="1395">
        <f t="shared" si="125"/>
        <v>20.857080466915747</v>
      </c>
      <c r="BZ34" s="1395">
        <f t="shared" si="125"/>
        <v>20.863382635103481</v>
      </c>
      <c r="CA34" s="1395">
        <f t="shared" si="125"/>
        <v>20.869686707552159</v>
      </c>
      <c r="CB34" s="1395">
        <f t="shared" si="125"/>
        <v>20.867326506359717</v>
      </c>
      <c r="CC34" s="1395">
        <f t="shared" si="125"/>
        <v>20.864966572087891</v>
      </c>
      <c r="CD34" s="1395">
        <f t="shared" si="125"/>
        <v>20.862606904706492</v>
      </c>
      <c r="CE34" s="1395">
        <f t="shared" si="125"/>
        <v>20.860247504185345</v>
      </c>
      <c r="CF34" s="1395">
        <f t="shared" si="125"/>
        <v>20.857888370494265</v>
      </c>
      <c r="CG34" s="1395">
        <f t="shared" si="125"/>
        <v>20.848427047697971</v>
      </c>
      <c r="CH34" s="1395">
        <f t="shared" si="125"/>
        <v>20.838970016641447</v>
      </c>
      <c r="CI34" s="1395">
        <f t="shared" si="125"/>
        <v>20.829517275377921</v>
      </c>
      <c r="CJ34" s="1395">
        <f t="shared" si="125"/>
        <v>20.82006882196151</v>
      </c>
      <c r="CK34" s="1395">
        <f t="shared" si="125"/>
        <v>20.810624654447203</v>
      </c>
      <c r="CL34" s="1395">
        <f t="shared" si="125"/>
        <v>20.799038600799683</v>
      </c>
      <c r="CM34" s="1395">
        <f t="shared" si="125"/>
        <v>20.787458997541872</v>
      </c>
      <c r="CN34" s="1395">
        <f t="shared" si="125"/>
        <v>20.775885841082598</v>
      </c>
      <c r="CO34" s="1395">
        <f t="shared" si="125"/>
        <v>20.764319127832685</v>
      </c>
      <c r="CP34" s="1395">
        <f t="shared" si="125"/>
        <v>20.752758854204956</v>
      </c>
      <c r="CQ34" s="1395">
        <f t="shared" si="125"/>
        <v>20.736920704111466</v>
      </c>
      <c r="CR34" s="1395">
        <f t="shared" si="125"/>
        <v>20.721094641422845</v>
      </c>
      <c r="CS34" s="1395">
        <f t="shared" si="125"/>
        <v>20.705280656914191</v>
      </c>
      <c r="CT34" s="1395">
        <f t="shared" si="125"/>
        <v>20.689478741367644</v>
      </c>
      <c r="CU34" s="1395">
        <f t="shared" si="125"/>
        <v>20.673688885572378</v>
      </c>
      <c r="CV34" s="1395">
        <f t="shared" si="125"/>
        <v>20.658843427163145</v>
      </c>
      <c r="CW34" s="1395">
        <f t="shared" si="125"/>
        <v>20.644008629049544</v>
      </c>
      <c r="CX34" s="1395">
        <f t="shared" si="125"/>
        <v>20.629184483576587</v>
      </c>
      <c r="CY34" s="1395">
        <f t="shared" si="125"/>
        <v>20.614370983094769</v>
      </c>
      <c r="CZ34" s="1395">
        <f t="shared" si="125"/>
        <v>20.59956811996009</v>
      </c>
    </row>
    <row r="35" spans="1:106" ht="13.5" thickBot="1" x14ac:dyDescent="0.35">
      <c r="A35" s="965" t="str">
        <f>'HyARC Physical Property Data'!A78</f>
        <v>Residential Electricity</v>
      </c>
      <c r="B35" s="879">
        <v>2011</v>
      </c>
      <c r="C35" s="880">
        <f t="shared" si="99"/>
        <v>1.0784554773635862</v>
      </c>
      <c r="D35" s="1246" t="str">
        <f>'HyARC Physical Property Data'!$H$78</f>
        <v>kWh</v>
      </c>
      <c r="E35" s="880" t="s">
        <v>1070</v>
      </c>
      <c r="F35" s="879"/>
      <c r="G35" s="879"/>
      <c r="H35" s="1068">
        <v>29.579885763014694</v>
      </c>
      <c r="I35" s="1068">
        <v>29.579885763014694</v>
      </c>
      <c r="J35" s="1068">
        <v>29.579885763014694</v>
      </c>
      <c r="K35" s="1068">
        <v>29.556357578078675</v>
      </c>
      <c r="L35" s="1068">
        <v>30.116416605727963</v>
      </c>
      <c r="M35" s="1068">
        <v>29.134443020933652</v>
      </c>
      <c r="N35" s="879">
        <f t="shared" ref="N35:AR35" si="126">(N53/(mmBTU_to_GJ))*($C35)</f>
        <v>35.290357875264071</v>
      </c>
      <c r="O35" s="879">
        <f t="shared" si="126"/>
        <v>35.099254542442559</v>
      </c>
      <c r="P35" s="879">
        <f t="shared" si="126"/>
        <v>34.006324250330664</v>
      </c>
      <c r="Q35" s="879">
        <f t="shared" si="126"/>
        <v>33.273068571129983</v>
      </c>
      <c r="R35" s="879">
        <f t="shared" si="126"/>
        <v>33.741332917168577</v>
      </c>
      <c r="S35" s="879">
        <f t="shared" si="126"/>
        <v>33.797427935481679</v>
      </c>
      <c r="T35" s="879">
        <f t="shared" si="126"/>
        <v>34.324839686615753</v>
      </c>
      <c r="U35" s="879">
        <f t="shared" si="126"/>
        <v>34.578308413009267</v>
      </c>
      <c r="V35" s="879">
        <f t="shared" si="126"/>
        <v>34.586867567238613</v>
      </c>
      <c r="W35" s="879">
        <f t="shared" si="126"/>
        <v>34.390554936680012</v>
      </c>
      <c r="X35" s="879">
        <f t="shared" si="126"/>
        <v>34.362805408349665</v>
      </c>
      <c r="Y35" s="879">
        <f t="shared" si="126"/>
        <v>34.407138617447096</v>
      </c>
      <c r="Z35" s="879">
        <f t="shared" si="126"/>
        <v>34.440296778887124</v>
      </c>
      <c r="AA35" s="879">
        <f t="shared" si="126"/>
        <v>34.452805840191871</v>
      </c>
      <c r="AB35" s="879">
        <f t="shared" si="126"/>
        <v>34.592323223051601</v>
      </c>
      <c r="AC35" s="879">
        <f t="shared" si="126"/>
        <v>34.714384960668241</v>
      </c>
      <c r="AD35" s="879">
        <f t="shared" si="126"/>
        <v>34.884790126185806</v>
      </c>
      <c r="AE35" s="879">
        <f t="shared" si="126"/>
        <v>35.027523453056702</v>
      </c>
      <c r="AF35" s="879">
        <f t="shared" si="126"/>
        <v>35.17875868912688</v>
      </c>
      <c r="AG35" s="879">
        <f t="shared" si="126"/>
        <v>35.278238284610403</v>
      </c>
      <c r="AH35" s="879">
        <f t="shared" si="126"/>
        <v>35.329988814033648</v>
      </c>
      <c r="AI35" s="879">
        <f t="shared" si="126"/>
        <v>35.457572652587459</v>
      </c>
      <c r="AJ35" s="879">
        <f t="shared" si="126"/>
        <v>35.581268940259363</v>
      </c>
      <c r="AK35" s="879">
        <f t="shared" si="126"/>
        <v>35.700168912196872</v>
      </c>
      <c r="AL35" s="879">
        <f t="shared" si="126"/>
        <v>35.86250559517147</v>
      </c>
      <c r="AM35" s="879">
        <f t="shared" si="126"/>
        <v>36.208798160069257</v>
      </c>
      <c r="AN35" s="879">
        <f t="shared" si="126"/>
        <v>36.632705785658793</v>
      </c>
      <c r="AO35" s="879">
        <f t="shared" si="126"/>
        <v>36.980264896847054</v>
      </c>
      <c r="AP35" s="879">
        <f t="shared" si="126"/>
        <v>37.31435507024409</v>
      </c>
      <c r="AQ35" s="879">
        <f t="shared" si="126"/>
        <v>37.726607198816652</v>
      </c>
      <c r="AR35" s="879">
        <f t="shared" si="126"/>
        <v>37.92339618980413</v>
      </c>
      <c r="AS35" s="879">
        <f t="shared" ref="AS35:BA35" si="127">($BB35-$AR35)/10+AR35</f>
        <v>37.661673404423048</v>
      </c>
      <c r="AT35" s="879">
        <f t="shared" si="127"/>
        <v>37.399950619041967</v>
      </c>
      <c r="AU35" s="879">
        <f t="shared" si="127"/>
        <v>37.138227833660885</v>
      </c>
      <c r="AV35" s="879">
        <f t="shared" si="127"/>
        <v>36.876505048279803</v>
      </c>
      <c r="AW35" s="879">
        <f t="shared" si="127"/>
        <v>36.614782262898721</v>
      </c>
      <c r="AX35" s="879">
        <f t="shared" si="127"/>
        <v>36.35305947751764</v>
      </c>
      <c r="AY35" s="879">
        <f t="shared" si="127"/>
        <v>36.091336692136558</v>
      </c>
      <c r="AZ35" s="879">
        <f t="shared" si="127"/>
        <v>35.829613906755476</v>
      </c>
      <c r="BA35" s="879">
        <f t="shared" si="127"/>
        <v>35.567891121374394</v>
      </c>
      <c r="BB35" s="966">
        <f>'AEO Data'!$B$33*AM35</f>
        <v>35.306168335993306</v>
      </c>
      <c r="BC35" s="879">
        <f t="shared" ref="BC35:BP35" si="128">($BQ35-$BB35)/15+BB35</f>
        <v>35.326738550364603</v>
      </c>
      <c r="BD35" s="879">
        <f t="shared" si="128"/>
        <v>35.347308764735899</v>
      </c>
      <c r="BE35" s="879">
        <f t="shared" si="128"/>
        <v>35.367878979107196</v>
      </c>
      <c r="BF35" s="879">
        <f t="shared" si="128"/>
        <v>35.388449193478493</v>
      </c>
      <c r="BG35" s="879">
        <f t="shared" si="128"/>
        <v>35.40901940784979</v>
      </c>
      <c r="BH35" s="879">
        <f t="shared" si="128"/>
        <v>35.429589622221087</v>
      </c>
      <c r="BI35" s="879">
        <f t="shared" si="128"/>
        <v>35.450159836592384</v>
      </c>
      <c r="BJ35" s="879">
        <f t="shared" si="128"/>
        <v>35.470730050963681</v>
      </c>
      <c r="BK35" s="879">
        <f t="shared" si="128"/>
        <v>35.491300265334978</v>
      </c>
      <c r="BL35" s="879">
        <f t="shared" si="128"/>
        <v>35.511870479706275</v>
      </c>
      <c r="BM35" s="879">
        <f t="shared" si="128"/>
        <v>35.532440694077572</v>
      </c>
      <c r="BN35" s="879">
        <f t="shared" si="128"/>
        <v>35.553010908448869</v>
      </c>
      <c r="BO35" s="879">
        <f t="shared" si="128"/>
        <v>35.573581122820165</v>
      </c>
      <c r="BP35" s="879">
        <f t="shared" si="128"/>
        <v>35.594151337191462</v>
      </c>
      <c r="BQ35" s="966">
        <f>'AEO Data'!$C$33*BB35</f>
        <v>35.614721551562717</v>
      </c>
      <c r="BR35" s="879">
        <f t="shared" si="120"/>
        <v>35.590740371018178</v>
      </c>
      <c r="BS35" s="879">
        <f t="shared" si="120"/>
        <v>35.56675919047364</v>
      </c>
      <c r="BT35" s="879">
        <f t="shared" si="120"/>
        <v>35.542778009929101</v>
      </c>
      <c r="BU35" s="879">
        <f t="shared" si="120"/>
        <v>35.518796829384563</v>
      </c>
      <c r="BV35" s="967">
        <f>'AEO Data'!$D$33*BQ35</f>
        <v>35.494815648840024</v>
      </c>
      <c r="BW35" s="1395">
        <f>+BV35*BW$141/BV$141</f>
        <v>35.479187147674004</v>
      </c>
      <c r="BX35" s="1395">
        <f t="shared" ref="BX35:CZ35" si="129">+BW35*BX$141/BW$141</f>
        <v>35.463565527795978</v>
      </c>
      <c r="BY35" s="1395">
        <f t="shared" si="129"/>
        <v>35.447950786176087</v>
      </c>
      <c r="BZ35" s="1395">
        <f t="shared" si="129"/>
        <v>35.432342919785803</v>
      </c>
      <c r="CA35" s="1395">
        <f t="shared" si="129"/>
        <v>35.41674192559794</v>
      </c>
      <c r="CB35" s="1395">
        <f t="shared" si="129"/>
        <v>35.388373668404036</v>
      </c>
      <c r="CC35" s="1395">
        <f t="shared" si="129"/>
        <v>35.360028133741132</v>
      </c>
      <c r="CD35" s="1395">
        <f t="shared" si="129"/>
        <v>35.331705303408839</v>
      </c>
      <c r="CE35" s="1395">
        <f t="shared" si="129"/>
        <v>35.303405159221327</v>
      </c>
      <c r="CF35" s="1395">
        <f t="shared" si="129"/>
        <v>35.275127683007355</v>
      </c>
      <c r="CG35" s="1395">
        <f t="shared" si="129"/>
        <v>35.236173874838393</v>
      </c>
      <c r="CH35" s="1395">
        <f t="shared" si="129"/>
        <v>35.197263082790727</v>
      </c>
      <c r="CI35" s="1395">
        <f t="shared" si="129"/>
        <v>35.158395259362273</v>
      </c>
      <c r="CJ35" s="1395">
        <f t="shared" si="129"/>
        <v>35.119570357103413</v>
      </c>
      <c r="CK35" s="1395">
        <f t="shared" si="129"/>
        <v>35.080788328616926</v>
      </c>
      <c r="CL35" s="1395">
        <f t="shared" si="129"/>
        <v>35.03850643960029</v>
      </c>
      <c r="CM35" s="1395">
        <f t="shared" si="129"/>
        <v>34.996275511757105</v>
      </c>
      <c r="CN35" s="1395">
        <f t="shared" si="129"/>
        <v>34.954095483665299</v>
      </c>
      <c r="CO35" s="1395">
        <f t="shared" si="129"/>
        <v>34.911966293976825</v>
      </c>
      <c r="CP35" s="1395">
        <f t="shared" si="129"/>
        <v>34.869887881417597</v>
      </c>
      <c r="CQ35" s="1395">
        <f t="shared" si="129"/>
        <v>34.82115009201096</v>
      </c>
      <c r="CR35" s="1395">
        <f t="shared" si="129"/>
        <v>34.772480423618198</v>
      </c>
      <c r="CS35" s="1395">
        <f t="shared" si="129"/>
        <v>34.723878781026279</v>
      </c>
      <c r="CT35" s="1395">
        <f t="shared" si="129"/>
        <v>34.675345069155263</v>
      </c>
      <c r="CU35" s="1395">
        <f t="shared" si="129"/>
        <v>34.626879193058095</v>
      </c>
      <c r="CV35" s="1395">
        <f t="shared" si="129"/>
        <v>34.579567869537456</v>
      </c>
      <c r="CW35" s="1395">
        <f t="shared" si="129"/>
        <v>34.532321188323188</v>
      </c>
      <c r="CX35" s="1395">
        <f t="shared" si="129"/>
        <v>34.485139061093349</v>
      </c>
      <c r="CY35" s="1395">
        <f t="shared" si="129"/>
        <v>34.438021399646672</v>
      </c>
      <c r="CZ35" s="1395">
        <f t="shared" si="129"/>
        <v>34.39096811590241</v>
      </c>
    </row>
    <row r="36" spans="1:106" ht="13" thickTop="1" x14ac:dyDescent="0.25">
      <c r="A36" s="876"/>
      <c r="B36" s="260"/>
      <c r="C36" s="873"/>
      <c r="D36" s="1247"/>
      <c r="E36" s="873"/>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5">
      <c r="A37" s="876"/>
      <c r="B37" s="260"/>
      <c r="C37" s="873"/>
      <c r="D37" s="1248"/>
      <c r="E37" s="873"/>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 thickBot="1" x14ac:dyDescent="0.3">
      <c r="A38" s="975"/>
      <c r="B38" s="260"/>
      <c r="C38" s="873"/>
      <c r="D38" s="1248"/>
      <c r="E38" s="873"/>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50" customFormat="1" ht="13" x14ac:dyDescent="0.3">
      <c r="A39" s="1046" t="s">
        <v>1107</v>
      </c>
      <c r="B39" s="1047"/>
      <c r="C39" s="1048"/>
      <c r="D39" s="1249"/>
      <c r="E39" s="1048"/>
      <c r="F39" s="1047"/>
      <c r="G39" s="1047"/>
      <c r="H39" s="1047"/>
      <c r="I39" s="1047"/>
      <c r="J39" s="1047"/>
      <c r="K39" s="1047"/>
      <c r="L39" s="1047"/>
      <c r="M39" s="1047"/>
      <c r="N39" s="1047"/>
      <c r="O39" s="1047"/>
      <c r="P39" s="1047"/>
      <c r="Q39" s="1047"/>
      <c r="R39" s="1047"/>
      <c r="S39" s="1047"/>
      <c r="T39" s="1047"/>
      <c r="U39" s="1047"/>
      <c r="V39" s="1047"/>
      <c r="W39" s="1047"/>
      <c r="X39" s="1047"/>
      <c r="Y39" s="1047"/>
      <c r="Z39" s="1047"/>
      <c r="AA39" s="1047"/>
      <c r="AB39" s="1047"/>
      <c r="AC39" s="1047"/>
      <c r="AD39" s="1047"/>
      <c r="AE39" s="1047"/>
      <c r="AF39" s="1047"/>
      <c r="AG39" s="1047"/>
      <c r="AH39" s="1047"/>
      <c r="AI39" s="1047"/>
      <c r="AJ39" s="1047"/>
      <c r="AK39" s="1047"/>
      <c r="AL39" s="1047"/>
      <c r="AM39" s="1047"/>
      <c r="AN39" s="1047"/>
      <c r="AO39" s="1047"/>
      <c r="AP39" s="1047"/>
      <c r="AQ39" s="1047"/>
      <c r="AR39" s="1047"/>
      <c r="AS39" s="1047"/>
      <c r="AT39" s="1047"/>
      <c r="AU39" s="1047"/>
      <c r="AV39" s="1047"/>
      <c r="AW39" s="1047"/>
      <c r="AX39" s="1047"/>
      <c r="AY39" s="1047"/>
      <c r="AZ39" s="1047"/>
      <c r="BA39" s="1047"/>
      <c r="BB39" s="1047"/>
      <c r="BC39" s="1047"/>
      <c r="BD39" s="1047"/>
      <c r="BE39" s="1047"/>
      <c r="BF39" s="1047"/>
      <c r="BG39" s="1047"/>
      <c r="BH39" s="1047"/>
      <c r="BI39" s="1047"/>
      <c r="BJ39" s="1047"/>
      <c r="BK39" s="1047"/>
      <c r="BL39" s="1047"/>
      <c r="BM39" s="1047"/>
      <c r="BN39" s="1047"/>
      <c r="BO39" s="1047"/>
      <c r="BP39" s="1047"/>
      <c r="BQ39" s="1047"/>
      <c r="BR39" s="1047"/>
      <c r="BS39" s="1047"/>
      <c r="BT39" s="1047"/>
      <c r="BU39" s="1047"/>
      <c r="BV39" s="1049"/>
    </row>
    <row r="40" spans="1:106" s="1050" customFormat="1" ht="13" x14ac:dyDescent="0.3">
      <c r="A40" s="1051" t="s">
        <v>1108</v>
      </c>
      <c r="B40" s="1052"/>
      <c r="C40" s="1053"/>
      <c r="D40" s="1250"/>
      <c r="E40" s="1053"/>
      <c r="F40" s="1052"/>
      <c r="G40" s="1052"/>
      <c r="H40" s="1052"/>
      <c r="I40" s="1052"/>
      <c r="J40" s="1052"/>
      <c r="K40" s="1052"/>
      <c r="L40" s="1052"/>
      <c r="M40" s="1052"/>
      <c r="N40" s="1052"/>
      <c r="O40" s="1052"/>
      <c r="P40" s="1052"/>
      <c r="Q40" s="1052"/>
      <c r="R40" s="1052"/>
      <c r="S40" s="1052"/>
      <c r="T40" s="1052"/>
      <c r="U40" s="1052"/>
      <c r="V40" s="1052"/>
      <c r="W40" s="1052"/>
      <c r="X40" s="1052"/>
      <c r="Y40" s="1052"/>
      <c r="Z40" s="1052"/>
      <c r="AA40" s="1052"/>
      <c r="AB40" s="1052"/>
      <c r="AC40" s="1052"/>
      <c r="AD40" s="1052"/>
      <c r="AE40" s="1052"/>
      <c r="AF40" s="1052"/>
      <c r="AG40" s="1052"/>
      <c r="AH40" s="1052"/>
      <c r="AI40" s="1052"/>
      <c r="AJ40" s="1052"/>
      <c r="AK40" s="1052"/>
      <c r="AL40" s="1052"/>
      <c r="AM40" s="1052"/>
      <c r="AN40" s="1052"/>
      <c r="AO40" s="1052"/>
      <c r="AP40" s="1052"/>
      <c r="AQ40" s="1052"/>
      <c r="AR40" s="1052"/>
      <c r="AS40" s="1052"/>
      <c r="AT40" s="1052"/>
      <c r="AU40" s="1052"/>
      <c r="AV40" s="1052"/>
      <c r="AW40" s="1052"/>
      <c r="AX40" s="1052"/>
      <c r="AY40" s="1052"/>
      <c r="AZ40" s="1052"/>
      <c r="BA40" s="1052"/>
      <c r="BB40" s="1052"/>
      <c r="BC40" s="1052"/>
      <c r="BD40" s="1052"/>
      <c r="BE40" s="1052"/>
      <c r="BF40" s="1052"/>
      <c r="BG40" s="1052"/>
      <c r="BH40" s="1052"/>
      <c r="BI40" s="1052"/>
      <c r="BJ40" s="1052"/>
      <c r="BK40" s="1052"/>
      <c r="BL40" s="1052"/>
      <c r="BM40" s="1052"/>
      <c r="BN40" s="1052"/>
      <c r="BO40" s="1052"/>
      <c r="BP40" s="1052"/>
      <c r="BQ40" s="1052"/>
      <c r="BR40" s="1052"/>
      <c r="BS40" s="1052"/>
      <c r="BT40" s="1052"/>
      <c r="BU40" s="1052"/>
      <c r="BV40" s="1054"/>
    </row>
    <row r="41" spans="1:106" s="1050" customFormat="1" x14ac:dyDescent="0.25">
      <c r="A41" s="1055"/>
      <c r="B41" s="1052"/>
      <c r="C41" s="1053"/>
      <c r="D41" s="1250"/>
      <c r="E41" s="1053"/>
      <c r="F41" s="1052"/>
      <c r="G41" s="1052"/>
      <c r="H41" s="1052"/>
      <c r="I41" s="1052"/>
      <c r="J41" s="1052"/>
      <c r="K41" s="1052"/>
      <c r="L41" s="1052"/>
      <c r="M41" s="1052"/>
      <c r="N41" s="1052"/>
      <c r="O41" s="1052"/>
      <c r="P41" s="1052"/>
      <c r="Q41" s="1052"/>
      <c r="R41" s="1052"/>
      <c r="S41" s="1052"/>
      <c r="T41" s="1052"/>
      <c r="U41" s="1052"/>
      <c r="V41" s="1052"/>
      <c r="W41" s="1052"/>
      <c r="X41" s="1052"/>
      <c r="Y41" s="1052"/>
      <c r="Z41" s="1052"/>
      <c r="AA41" s="1052"/>
      <c r="AB41" s="1052"/>
      <c r="AC41" s="1052"/>
      <c r="AD41" s="1052"/>
      <c r="AE41" s="1052"/>
      <c r="AF41" s="1052"/>
      <c r="AG41" s="1052"/>
      <c r="AH41" s="1052"/>
      <c r="AI41" s="1052"/>
      <c r="AJ41" s="1052"/>
      <c r="AK41" s="1052"/>
      <c r="AL41" s="1052"/>
      <c r="AM41" s="1052"/>
      <c r="AN41" s="1052"/>
      <c r="AO41" s="1052"/>
      <c r="AP41" s="1052"/>
      <c r="AQ41" s="1052"/>
      <c r="AR41" s="1052"/>
      <c r="AS41" s="1052"/>
      <c r="AT41" s="1052"/>
      <c r="AU41" s="1052"/>
      <c r="AV41" s="1052"/>
      <c r="AW41" s="1052"/>
      <c r="AX41" s="1052"/>
      <c r="AY41" s="1052"/>
      <c r="AZ41" s="1052"/>
      <c r="BA41" s="1052"/>
      <c r="BB41" s="1052"/>
      <c r="BC41" s="1052"/>
      <c r="BD41" s="1052"/>
      <c r="BE41" s="1052"/>
      <c r="BF41" s="1052"/>
      <c r="BG41" s="1052"/>
      <c r="BH41" s="1052"/>
      <c r="BI41" s="1052"/>
      <c r="BJ41" s="1052"/>
      <c r="BK41" s="1052"/>
      <c r="BL41" s="1052"/>
      <c r="BM41" s="1052"/>
      <c r="BN41" s="1052"/>
      <c r="BO41" s="1052"/>
      <c r="BP41" s="1052"/>
      <c r="BQ41" s="1052"/>
      <c r="BR41" s="1052"/>
      <c r="BS41" s="1052"/>
      <c r="BT41" s="1052"/>
      <c r="BU41" s="1052"/>
      <c r="BV41" s="1054"/>
    </row>
    <row r="42" spans="1:106" s="1050" customFormat="1" x14ac:dyDescent="0.25">
      <c r="A42" s="1055" t="s">
        <v>681</v>
      </c>
      <c r="B42" s="1052"/>
      <c r="C42" s="1053"/>
      <c r="D42" s="1250"/>
      <c r="E42" s="1053"/>
      <c r="F42" s="1052"/>
      <c r="G42" s="1052"/>
      <c r="H42" s="1052"/>
      <c r="I42" s="1052"/>
      <c r="J42" s="1052"/>
      <c r="K42" s="1052"/>
      <c r="L42" s="1052"/>
      <c r="M42" s="1052"/>
      <c r="N42" s="1056">
        <v>11.359373</v>
      </c>
      <c r="O42" s="1056">
        <v>10.802343</v>
      </c>
      <c r="P42" s="1056">
        <v>10.464380999999999</v>
      </c>
      <c r="Q42" s="1056">
        <v>10.477905</v>
      </c>
      <c r="R42" s="1056">
        <v>10.253485</v>
      </c>
      <c r="S42" s="1056">
        <v>10.156079999999999</v>
      </c>
      <c r="T42" s="1056">
        <v>10.662777999999999</v>
      </c>
      <c r="U42" s="1056">
        <v>10.990506</v>
      </c>
      <c r="V42" s="1056">
        <v>11.397518</v>
      </c>
      <c r="W42" s="1056">
        <v>11.624905</v>
      </c>
      <c r="X42" s="1056">
        <v>11.776242999999999</v>
      </c>
      <c r="Y42" s="1056">
        <v>11.960003</v>
      </c>
      <c r="Z42" s="1056">
        <v>12.203179</v>
      </c>
      <c r="AA42" s="1056">
        <v>12.432268000000001</v>
      </c>
      <c r="AB42" s="1056">
        <v>12.584531</v>
      </c>
      <c r="AC42" s="1056">
        <v>12.674325</v>
      </c>
      <c r="AD42" s="1056">
        <v>12.841908</v>
      </c>
      <c r="AE42" s="1056">
        <v>12.933384999999999</v>
      </c>
      <c r="AF42" s="1056">
        <v>13.085578999999999</v>
      </c>
      <c r="AG42" s="1056">
        <v>13.234385</v>
      </c>
      <c r="AH42" s="1056">
        <v>13.368997999999999</v>
      </c>
      <c r="AI42" s="1056">
        <v>13.547089</v>
      </c>
      <c r="AJ42" s="1056">
        <v>13.721807</v>
      </c>
      <c r="AK42" s="1056">
        <v>13.935895</v>
      </c>
      <c r="AL42" s="1056">
        <v>14.248931000000001</v>
      </c>
      <c r="AM42" s="1056">
        <v>14.598827</v>
      </c>
      <c r="AN42" s="1056">
        <v>15.023702999999999</v>
      </c>
      <c r="AO42" s="1056">
        <v>15.415895000000001</v>
      </c>
      <c r="AP42" s="1056">
        <v>15.842275000000001</v>
      </c>
      <c r="AQ42" s="1056">
        <v>16.055761</v>
      </c>
      <c r="AR42" s="1056">
        <v>16.363073</v>
      </c>
      <c r="AS42" s="1052"/>
      <c r="AT42" s="1052"/>
      <c r="AU42" s="1052"/>
      <c r="AV42" s="1052"/>
      <c r="AW42" s="1052"/>
      <c r="AX42" s="1052"/>
      <c r="AY42" s="1052"/>
      <c r="AZ42" s="1052"/>
      <c r="BA42" s="1052"/>
      <c r="BB42" s="1052"/>
      <c r="BC42" s="1052"/>
      <c r="BD42" s="1052"/>
      <c r="BE42" s="1052"/>
      <c r="BF42" s="1052"/>
      <c r="BG42" s="1052"/>
      <c r="BH42" s="1052"/>
      <c r="BI42" s="1052"/>
      <c r="BJ42" s="1052"/>
      <c r="BK42" s="1052"/>
      <c r="BL42" s="1052"/>
      <c r="BM42" s="1052"/>
      <c r="BN42" s="1052"/>
      <c r="BO42" s="1052"/>
      <c r="BP42" s="1052"/>
      <c r="BQ42" s="1052"/>
      <c r="BR42" s="1052"/>
      <c r="BS42" s="1052"/>
      <c r="BT42" s="1052"/>
      <c r="BU42" s="1052"/>
      <c r="BV42" s="1054"/>
    </row>
    <row r="43" spans="1:106" s="1050" customFormat="1" x14ac:dyDescent="0.25">
      <c r="A43" s="1055" t="s">
        <v>1084</v>
      </c>
      <c r="B43" s="1052"/>
      <c r="C43" s="1053"/>
      <c r="D43" s="1250"/>
      <c r="E43" s="1053"/>
      <c r="F43" s="1052"/>
      <c r="G43" s="1052"/>
      <c r="H43" s="1052"/>
      <c r="I43" s="1052"/>
      <c r="J43" s="1052"/>
      <c r="K43" s="1052"/>
      <c r="L43" s="1052"/>
      <c r="M43" s="1052"/>
      <c r="N43" s="1056">
        <v>9.3969749999999994</v>
      </c>
      <c r="O43" s="1056">
        <v>8.8368610000000007</v>
      </c>
      <c r="P43" s="1056">
        <v>8.0727960000000003</v>
      </c>
      <c r="Q43" s="1056">
        <v>8.4627339999999993</v>
      </c>
      <c r="R43" s="1056">
        <v>8.2352620000000005</v>
      </c>
      <c r="S43" s="1056">
        <v>8.1043620000000001</v>
      </c>
      <c r="T43" s="1056">
        <v>8.5610389999999992</v>
      </c>
      <c r="U43" s="1056">
        <v>8.8247909999999994</v>
      </c>
      <c r="V43" s="1056">
        <v>9.1722800000000007</v>
      </c>
      <c r="W43" s="1056">
        <v>9.3508150000000008</v>
      </c>
      <c r="X43" s="1056">
        <v>9.4680210000000002</v>
      </c>
      <c r="Y43" s="1056">
        <v>9.6109419999999997</v>
      </c>
      <c r="Z43" s="1056">
        <v>9.8191819999999996</v>
      </c>
      <c r="AA43" s="1056">
        <v>10.011597999999999</v>
      </c>
      <c r="AB43" s="1056">
        <v>10.133018</v>
      </c>
      <c r="AC43" s="1056">
        <v>10.193654</v>
      </c>
      <c r="AD43" s="1056">
        <v>10.33554</v>
      </c>
      <c r="AE43" s="1056">
        <v>10.388019</v>
      </c>
      <c r="AF43" s="1056">
        <v>10.500005</v>
      </c>
      <c r="AG43" s="1056">
        <v>10.605323</v>
      </c>
      <c r="AH43" s="1056">
        <v>10.697221000000001</v>
      </c>
      <c r="AI43" s="1056">
        <v>10.832411</v>
      </c>
      <c r="AJ43" s="1056">
        <v>10.954602</v>
      </c>
      <c r="AK43" s="1056">
        <v>11.11848</v>
      </c>
      <c r="AL43" s="1056">
        <v>11.383407</v>
      </c>
      <c r="AM43" s="1056">
        <v>11.681657</v>
      </c>
      <c r="AN43" s="1056">
        <v>12.061093</v>
      </c>
      <c r="AO43" s="1056">
        <v>12.401303</v>
      </c>
      <c r="AP43" s="1056">
        <v>12.781521</v>
      </c>
      <c r="AQ43" s="1056">
        <v>12.948893999999999</v>
      </c>
      <c r="AR43" s="1056">
        <v>13.212922000000001</v>
      </c>
      <c r="AS43" s="1052"/>
      <c r="AT43" s="1052"/>
      <c r="AU43" s="1052"/>
      <c r="AV43" s="1052"/>
      <c r="AW43" s="1052"/>
      <c r="AX43" s="1052"/>
      <c r="AY43" s="1052"/>
      <c r="AZ43" s="1052"/>
      <c r="BA43" s="1052"/>
      <c r="BB43" s="1052"/>
      <c r="BC43" s="1052"/>
      <c r="BD43" s="1052"/>
      <c r="BE43" s="1052"/>
      <c r="BF43" s="1052"/>
      <c r="BG43" s="1052"/>
      <c r="BH43" s="1052"/>
      <c r="BI43" s="1052"/>
      <c r="BJ43" s="1052"/>
      <c r="BK43" s="1052"/>
      <c r="BL43" s="1052"/>
      <c r="BM43" s="1052"/>
      <c r="BN43" s="1052"/>
      <c r="BO43" s="1052"/>
      <c r="BP43" s="1052"/>
      <c r="BQ43" s="1052"/>
      <c r="BR43" s="1052"/>
      <c r="BS43" s="1052"/>
      <c r="BT43" s="1052"/>
      <c r="BU43" s="1052"/>
      <c r="BV43" s="1054"/>
    </row>
    <row r="44" spans="1:106" s="1050" customFormat="1" x14ac:dyDescent="0.25">
      <c r="A44" s="1055" t="s">
        <v>283</v>
      </c>
      <c r="B44" s="1052"/>
      <c r="C44" s="1053"/>
      <c r="D44" s="1250"/>
      <c r="E44" s="1053"/>
      <c r="F44" s="1052"/>
      <c r="G44" s="1052"/>
      <c r="H44" s="1052"/>
      <c r="I44" s="1052"/>
      <c r="J44" s="1052"/>
      <c r="K44" s="1052"/>
      <c r="L44" s="1052"/>
      <c r="M44" s="1052"/>
      <c r="N44" s="1056">
        <v>5.4839599999999997</v>
      </c>
      <c r="O44" s="1056">
        <v>4.8898130000000002</v>
      </c>
      <c r="P44" s="1056">
        <v>3.7596859999999999</v>
      </c>
      <c r="Q44" s="1056">
        <v>4.3339879999999997</v>
      </c>
      <c r="R44" s="1056">
        <v>4.3750520000000002</v>
      </c>
      <c r="S44" s="1056">
        <v>4.4225349999999999</v>
      </c>
      <c r="T44" s="1056">
        <v>4.8660360000000003</v>
      </c>
      <c r="U44" s="1056">
        <v>5.0679410000000003</v>
      </c>
      <c r="V44" s="1056">
        <v>5.3212570000000001</v>
      </c>
      <c r="W44" s="1056">
        <v>5.4497980000000004</v>
      </c>
      <c r="X44" s="1056">
        <v>5.5294119999999998</v>
      </c>
      <c r="Y44" s="1056">
        <v>5.6406840000000003</v>
      </c>
      <c r="Z44" s="1056">
        <v>5.8277749999999999</v>
      </c>
      <c r="AA44" s="1056">
        <v>6.0107049999999997</v>
      </c>
      <c r="AB44" s="1056">
        <v>6.1100089999999998</v>
      </c>
      <c r="AC44" s="1056">
        <v>6.1511990000000001</v>
      </c>
      <c r="AD44" s="1056">
        <v>6.2557600000000004</v>
      </c>
      <c r="AE44" s="1056">
        <v>6.2949159999999997</v>
      </c>
      <c r="AF44" s="1056">
        <v>6.396782</v>
      </c>
      <c r="AG44" s="1056">
        <v>6.4862520000000004</v>
      </c>
      <c r="AH44" s="1056">
        <v>6.561483</v>
      </c>
      <c r="AI44" s="1056">
        <v>6.6766310000000004</v>
      </c>
      <c r="AJ44" s="1056">
        <v>6.771134</v>
      </c>
      <c r="AK44" s="1056">
        <v>6.9159920000000001</v>
      </c>
      <c r="AL44" s="1056">
        <v>7.1687539999999998</v>
      </c>
      <c r="AM44" s="1056">
        <v>7.4454149999999997</v>
      </c>
      <c r="AN44" s="1056">
        <v>7.813205</v>
      </c>
      <c r="AO44" s="1056">
        <v>8.1536600000000004</v>
      </c>
      <c r="AP44" s="1056">
        <v>8.4989190000000008</v>
      </c>
      <c r="AQ44" s="1056">
        <v>8.6393810000000002</v>
      </c>
      <c r="AR44" s="1056">
        <v>8.8810929999999999</v>
      </c>
      <c r="AS44" s="1052"/>
      <c r="AT44" s="1052"/>
      <c r="AU44" s="1052"/>
      <c r="AV44" s="1052"/>
      <c r="AW44" s="1052"/>
      <c r="AX44" s="1052"/>
      <c r="AY44" s="1052"/>
      <c r="AZ44" s="1052"/>
      <c r="BA44" s="1052"/>
      <c r="BB44" s="1052"/>
      <c r="BC44" s="1052"/>
      <c r="BD44" s="1052"/>
      <c r="BE44" s="1052"/>
      <c r="BF44" s="1052"/>
      <c r="BG44" s="1052"/>
      <c r="BH44" s="1052"/>
      <c r="BI44" s="1052"/>
      <c r="BJ44" s="1052"/>
      <c r="BK44" s="1052"/>
      <c r="BL44" s="1052"/>
      <c r="BM44" s="1052"/>
      <c r="BN44" s="1052"/>
      <c r="BO44" s="1052"/>
      <c r="BP44" s="1052"/>
      <c r="BQ44" s="1052"/>
      <c r="BR44" s="1052"/>
      <c r="BS44" s="1052"/>
      <c r="BT44" s="1052"/>
      <c r="BU44" s="1052"/>
      <c r="BV44" s="1054"/>
    </row>
    <row r="45" spans="1:106" s="1050" customFormat="1" x14ac:dyDescent="0.25">
      <c r="A45" s="1057" t="str">
        <f>'HyARC Physical Property Data'!$A$74</f>
        <v>Electric Utility Natural Gas</v>
      </c>
      <c r="B45" s="1052"/>
      <c r="C45" s="1053"/>
      <c r="D45" s="1250"/>
      <c r="E45" s="1053"/>
      <c r="F45" s="1052"/>
      <c r="G45" s="1052"/>
      <c r="H45" s="1052"/>
      <c r="I45" s="1052"/>
      <c r="J45" s="1052"/>
      <c r="K45" s="1052"/>
      <c r="L45" s="1052"/>
      <c r="M45" s="1052"/>
      <c r="N45" s="1056">
        <v>5.258165</v>
      </c>
      <c r="O45" s="1056">
        <v>4.7747140000000003</v>
      </c>
      <c r="P45" s="1056">
        <v>3.3217560000000002</v>
      </c>
      <c r="Q45" s="1056">
        <v>3.7155300000000002</v>
      </c>
      <c r="R45" s="1056">
        <v>3.758219</v>
      </c>
      <c r="S45" s="1056">
        <v>3.8420709999999998</v>
      </c>
      <c r="T45" s="1056">
        <v>4.2826180000000003</v>
      </c>
      <c r="U45" s="1056">
        <v>4.4486730000000003</v>
      </c>
      <c r="V45" s="1056">
        <v>4.7026110000000001</v>
      </c>
      <c r="W45" s="1056">
        <v>4.8222319999999996</v>
      </c>
      <c r="X45" s="1056">
        <v>4.8967590000000003</v>
      </c>
      <c r="Y45" s="1056">
        <v>5.0074189999999996</v>
      </c>
      <c r="Z45" s="1056">
        <v>5.20235</v>
      </c>
      <c r="AA45" s="1056">
        <v>5.388776</v>
      </c>
      <c r="AB45" s="1056">
        <v>5.5179349999999996</v>
      </c>
      <c r="AC45" s="1056">
        <v>5.5779610000000002</v>
      </c>
      <c r="AD45" s="1056">
        <v>5.7088080000000003</v>
      </c>
      <c r="AE45" s="1056">
        <v>5.7607720000000002</v>
      </c>
      <c r="AF45" s="1056">
        <v>5.8668440000000004</v>
      </c>
      <c r="AG45" s="1056">
        <v>5.9650189999999998</v>
      </c>
      <c r="AH45" s="1056">
        <v>6.0528500000000003</v>
      </c>
      <c r="AI45" s="1056">
        <v>6.1836820000000001</v>
      </c>
      <c r="AJ45" s="1056">
        <v>6.2931780000000002</v>
      </c>
      <c r="AK45" s="1056">
        <v>6.4458729999999997</v>
      </c>
      <c r="AL45" s="1056">
        <v>6.6983480000000002</v>
      </c>
      <c r="AM45" s="1056">
        <v>6.9804459999999997</v>
      </c>
      <c r="AN45" s="1056">
        <v>7.345173</v>
      </c>
      <c r="AO45" s="1056">
        <v>7.6749489999999998</v>
      </c>
      <c r="AP45" s="1056">
        <v>8.0219799999999992</v>
      </c>
      <c r="AQ45" s="1056">
        <v>8.1549879999999995</v>
      </c>
      <c r="AR45" s="1056">
        <v>8.3777830000000009</v>
      </c>
      <c r="AS45" s="1052"/>
      <c r="AT45" s="1052"/>
      <c r="AU45" s="1052"/>
      <c r="AV45" s="1052"/>
      <c r="AW45" s="1052"/>
      <c r="AX45" s="1052"/>
      <c r="AY45" s="1052"/>
      <c r="AZ45" s="1052"/>
      <c r="BA45" s="1052"/>
      <c r="BB45" s="1052"/>
      <c r="BC45" s="1052"/>
      <c r="BD45" s="1052"/>
      <c r="BE45" s="1052"/>
      <c r="BF45" s="1052"/>
      <c r="BG45" s="1052"/>
      <c r="BH45" s="1052"/>
      <c r="BI45" s="1052"/>
      <c r="BJ45" s="1052"/>
      <c r="BK45" s="1052"/>
      <c r="BL45" s="1052"/>
      <c r="BM45" s="1052"/>
      <c r="BN45" s="1052"/>
      <c r="BO45" s="1052"/>
      <c r="BP45" s="1052"/>
      <c r="BQ45" s="1052"/>
      <c r="BR45" s="1052"/>
      <c r="BS45" s="1052"/>
      <c r="BT45" s="1052"/>
      <c r="BU45" s="1052"/>
      <c r="BV45" s="1054"/>
    </row>
    <row r="46" spans="1:106" s="1050" customFormat="1" x14ac:dyDescent="0.25">
      <c r="A46" s="1055" t="str">
        <f>'HyARC Physical Property Data'!$A$85</f>
        <v>Woody Biomass</v>
      </c>
      <c r="B46" s="1052"/>
      <c r="C46" s="1053"/>
      <c r="D46" s="1250"/>
      <c r="E46" s="1053"/>
      <c r="F46" s="1052"/>
      <c r="G46" s="1052"/>
      <c r="H46" s="1052"/>
      <c r="I46" s="1052"/>
      <c r="J46" s="1052"/>
      <c r="K46" s="1052"/>
      <c r="L46" s="1052"/>
      <c r="M46" s="1052"/>
      <c r="N46" s="1056"/>
      <c r="O46" s="1056"/>
      <c r="P46" s="1056"/>
      <c r="Q46" s="1056"/>
      <c r="R46" s="1056"/>
      <c r="S46" s="1056"/>
      <c r="T46" s="1056"/>
      <c r="U46" s="1056"/>
      <c r="V46" s="1056"/>
      <c r="W46" s="1056"/>
      <c r="X46" s="1056"/>
      <c r="Y46" s="1056"/>
      <c r="Z46" s="1056"/>
      <c r="AA46" s="1056"/>
      <c r="AB46" s="1056"/>
      <c r="AC46" s="1056"/>
      <c r="AD46" s="1056"/>
      <c r="AE46" s="1056"/>
      <c r="AF46" s="1056"/>
      <c r="AG46" s="1056"/>
      <c r="AH46" s="1056"/>
      <c r="AI46" s="1056"/>
      <c r="AJ46" s="1056"/>
      <c r="AK46" s="1056"/>
      <c r="AL46" s="1056"/>
      <c r="AM46" s="1056"/>
      <c r="AN46" s="1056"/>
      <c r="AO46" s="1056"/>
      <c r="AP46" s="1056"/>
      <c r="AQ46" s="1056"/>
      <c r="AR46" s="1056"/>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2"/>
      <c r="BN46" s="1052"/>
      <c r="BO46" s="1052"/>
      <c r="BP46" s="1052"/>
      <c r="BQ46" s="1052"/>
      <c r="BR46" s="1052"/>
      <c r="BS46" s="1052"/>
      <c r="BT46" s="1052"/>
      <c r="BU46" s="1052"/>
      <c r="BV46" s="1054"/>
    </row>
    <row r="47" spans="1:106" s="1050" customFormat="1" x14ac:dyDescent="0.25">
      <c r="A47" s="1055" t="s">
        <v>1109</v>
      </c>
      <c r="B47" s="1052"/>
      <c r="C47" s="1053"/>
      <c r="D47" s="1250"/>
      <c r="E47" s="1053"/>
      <c r="F47" s="1052"/>
      <c r="G47" s="1052"/>
      <c r="H47" s="1052"/>
      <c r="I47" s="1052"/>
      <c r="J47" s="1052"/>
      <c r="K47" s="1052"/>
      <c r="L47" s="1052"/>
      <c r="M47" s="1052"/>
      <c r="N47" s="1056">
        <v>13.6</v>
      </c>
      <c r="O47" s="1056">
        <v>13.6</v>
      </c>
      <c r="P47" s="1056">
        <v>13.6</v>
      </c>
      <c r="Q47" s="1056">
        <v>13.6</v>
      </c>
      <c r="R47" s="1056">
        <v>13.6</v>
      </c>
      <c r="S47" s="1056">
        <v>13.6</v>
      </c>
      <c r="T47" s="1056">
        <v>13.6</v>
      </c>
      <c r="U47" s="1056">
        <v>14.11</v>
      </c>
      <c r="V47" s="1056">
        <v>14.11</v>
      </c>
      <c r="W47" s="1056">
        <v>14.11</v>
      </c>
      <c r="X47" s="1056">
        <v>14.11</v>
      </c>
      <c r="Y47" s="1056">
        <v>14.11</v>
      </c>
      <c r="Z47" s="1056">
        <v>14.11</v>
      </c>
      <c r="AA47" s="1056">
        <v>14.11</v>
      </c>
      <c r="AB47" s="1056">
        <v>14.11</v>
      </c>
      <c r="AC47" s="1056">
        <v>14.11</v>
      </c>
      <c r="AD47" s="1056">
        <v>14.11</v>
      </c>
      <c r="AE47" s="1056">
        <v>14.11</v>
      </c>
      <c r="AF47" s="1056">
        <v>14.11</v>
      </c>
      <c r="AG47" s="1056">
        <v>14.11</v>
      </c>
      <c r="AH47" s="1056">
        <v>14.11</v>
      </c>
      <c r="AI47" s="1056">
        <v>14.11</v>
      </c>
      <c r="AJ47" s="1056">
        <v>14.11</v>
      </c>
      <c r="AK47" s="1056">
        <v>14.11</v>
      </c>
      <c r="AL47" s="1056">
        <v>14.11</v>
      </c>
      <c r="AM47" s="1056">
        <v>14.11</v>
      </c>
      <c r="AN47" s="1056">
        <v>14.11</v>
      </c>
      <c r="AO47" s="1056">
        <v>14.11</v>
      </c>
      <c r="AP47" s="1056">
        <v>14.11</v>
      </c>
      <c r="AQ47" s="1056">
        <v>14.11</v>
      </c>
      <c r="AR47" s="1056">
        <v>14.11</v>
      </c>
      <c r="AS47" s="1056">
        <v>14.11</v>
      </c>
      <c r="AT47" s="1056">
        <v>14.11</v>
      </c>
      <c r="AU47" s="1056">
        <v>14.11</v>
      </c>
      <c r="AV47" s="1056">
        <v>14.11</v>
      </c>
      <c r="AW47" s="1056">
        <v>14.11</v>
      </c>
      <c r="AX47" s="1056">
        <v>14.11</v>
      </c>
      <c r="AY47" s="1056">
        <v>14.11</v>
      </c>
      <c r="AZ47" s="1056">
        <v>14.11</v>
      </c>
      <c r="BA47" s="1056">
        <v>14.11</v>
      </c>
      <c r="BB47" s="1056">
        <v>14.11</v>
      </c>
      <c r="BC47" s="1056">
        <v>14.11</v>
      </c>
      <c r="BD47" s="1056">
        <v>14.11</v>
      </c>
      <c r="BE47" s="1056">
        <v>14.11</v>
      </c>
      <c r="BF47" s="1056">
        <v>14.11</v>
      </c>
      <c r="BG47" s="1056">
        <v>14.11</v>
      </c>
      <c r="BH47" s="1056">
        <v>14.11</v>
      </c>
      <c r="BI47" s="1056">
        <v>14.11</v>
      </c>
      <c r="BJ47" s="1056">
        <v>14.11</v>
      </c>
      <c r="BK47" s="1056">
        <v>14.11</v>
      </c>
      <c r="BL47" s="1056">
        <v>14.11</v>
      </c>
      <c r="BM47" s="1056">
        <v>14.11</v>
      </c>
      <c r="BN47" s="1056">
        <v>14.11</v>
      </c>
      <c r="BO47" s="1056">
        <v>14.11</v>
      </c>
      <c r="BP47" s="1056">
        <v>14.11</v>
      </c>
      <c r="BQ47" s="1056">
        <v>14.11</v>
      </c>
      <c r="BR47" s="1056">
        <v>14.11</v>
      </c>
      <c r="BS47" s="1056">
        <v>14.11</v>
      </c>
      <c r="BT47" s="1056">
        <v>14.11</v>
      </c>
      <c r="BU47" s="1056">
        <v>14.11</v>
      </c>
      <c r="BV47" s="1058">
        <v>14.11</v>
      </c>
    </row>
    <row r="48" spans="1:106" s="1050" customFormat="1" x14ac:dyDescent="0.25">
      <c r="A48" s="1055" t="s">
        <v>311</v>
      </c>
      <c r="B48" s="1052"/>
      <c r="C48" s="1053"/>
      <c r="D48" s="1250"/>
      <c r="E48" s="1053"/>
      <c r="F48" s="1052"/>
      <c r="G48" s="1052"/>
      <c r="H48" s="1052"/>
      <c r="I48" s="1052"/>
      <c r="J48" s="1052"/>
      <c r="K48" s="1052"/>
      <c r="L48" s="1052"/>
      <c r="M48" s="1052"/>
      <c r="N48" s="1056">
        <v>23.6</v>
      </c>
      <c r="O48" s="1056">
        <v>23.6</v>
      </c>
      <c r="P48" s="1056">
        <v>23.6</v>
      </c>
      <c r="Q48" s="1056">
        <v>23.6</v>
      </c>
      <c r="R48" s="1056">
        <v>23.6</v>
      </c>
      <c r="S48" s="1056">
        <v>23.6</v>
      </c>
      <c r="T48" s="1056">
        <v>23.6</v>
      </c>
      <c r="U48" s="1056">
        <v>23.6</v>
      </c>
      <c r="V48" s="1056">
        <v>23.6</v>
      </c>
      <c r="W48" s="1056">
        <v>23.6</v>
      </c>
      <c r="X48" s="1056">
        <v>23.6</v>
      </c>
      <c r="Y48" s="1056">
        <v>23.6</v>
      </c>
      <c r="Z48" s="1056">
        <v>23.6</v>
      </c>
      <c r="AA48" s="1056">
        <v>23.6</v>
      </c>
      <c r="AB48" s="1056">
        <v>23.6</v>
      </c>
      <c r="AC48" s="1056">
        <v>23.6</v>
      </c>
      <c r="AD48" s="1056">
        <v>23.6</v>
      </c>
      <c r="AE48" s="1056">
        <v>23.6</v>
      </c>
      <c r="AF48" s="1056">
        <v>23.6</v>
      </c>
      <c r="AG48" s="1056">
        <v>23.6</v>
      </c>
      <c r="AH48" s="1056">
        <v>23.6</v>
      </c>
      <c r="AI48" s="1056">
        <v>23.6</v>
      </c>
      <c r="AJ48" s="1056">
        <v>23.6</v>
      </c>
      <c r="AK48" s="1056">
        <v>23.6</v>
      </c>
      <c r="AL48" s="1056">
        <v>23.6</v>
      </c>
      <c r="AM48" s="1056">
        <v>23.6</v>
      </c>
      <c r="AN48" s="1056">
        <v>23.6</v>
      </c>
      <c r="AO48" s="1056">
        <v>23.6</v>
      </c>
      <c r="AP48" s="1056">
        <v>23.6</v>
      </c>
      <c r="AQ48" s="1056">
        <v>23.6</v>
      </c>
      <c r="AR48" s="1056">
        <v>23.6</v>
      </c>
      <c r="AS48" s="1056">
        <v>23.6</v>
      </c>
      <c r="AT48" s="1056">
        <v>23.6</v>
      </c>
      <c r="AU48" s="1056">
        <v>23.6</v>
      </c>
      <c r="AV48" s="1056">
        <v>23.6</v>
      </c>
      <c r="AW48" s="1056">
        <v>23.6</v>
      </c>
      <c r="AX48" s="1056">
        <v>23.6</v>
      </c>
      <c r="AY48" s="1056">
        <v>23.6</v>
      </c>
      <c r="AZ48" s="1056">
        <v>23.6</v>
      </c>
      <c r="BA48" s="1056">
        <v>23.6</v>
      </c>
      <c r="BB48" s="1056">
        <v>23.6</v>
      </c>
      <c r="BC48" s="1056">
        <v>23.6</v>
      </c>
      <c r="BD48" s="1056">
        <v>23.6</v>
      </c>
      <c r="BE48" s="1056">
        <v>23.6</v>
      </c>
      <c r="BF48" s="1056">
        <v>23.6</v>
      </c>
      <c r="BG48" s="1056">
        <v>23.6</v>
      </c>
      <c r="BH48" s="1056">
        <v>23.6</v>
      </c>
      <c r="BI48" s="1056">
        <v>23.6</v>
      </c>
      <c r="BJ48" s="1056">
        <v>23.6</v>
      </c>
      <c r="BK48" s="1056">
        <v>23.6</v>
      </c>
      <c r="BL48" s="1056">
        <v>23.6</v>
      </c>
      <c r="BM48" s="1056">
        <v>23.6</v>
      </c>
      <c r="BN48" s="1056">
        <v>23.6</v>
      </c>
      <c r="BO48" s="1056">
        <v>23.6</v>
      </c>
      <c r="BP48" s="1056">
        <v>23.6</v>
      </c>
      <c r="BQ48" s="1056">
        <v>23.6</v>
      </c>
      <c r="BR48" s="1056">
        <v>23.6</v>
      </c>
      <c r="BS48" s="1056">
        <v>23.6</v>
      </c>
      <c r="BT48" s="1056">
        <v>23.6</v>
      </c>
      <c r="BU48" s="1056">
        <v>23.6</v>
      </c>
      <c r="BV48" s="1058">
        <v>23.6</v>
      </c>
    </row>
    <row r="49" spans="1:104" s="1050" customFormat="1" x14ac:dyDescent="0.25">
      <c r="A49" s="1057" t="s">
        <v>1110</v>
      </c>
      <c r="B49" s="1052"/>
      <c r="C49" s="1053"/>
      <c r="D49" s="1250"/>
      <c r="E49" s="1053"/>
      <c r="F49" s="1052"/>
      <c r="G49" s="1052"/>
      <c r="H49" s="1052"/>
      <c r="I49" s="1052"/>
      <c r="J49" s="1052"/>
      <c r="K49" s="1052"/>
      <c r="L49" s="1052"/>
      <c r="M49" s="1052"/>
      <c r="N49" s="1056">
        <v>25.561684</v>
      </c>
      <c r="O49" s="1056">
        <v>25.303816000000001</v>
      </c>
      <c r="P49" s="1056">
        <v>33.642014000000003</v>
      </c>
      <c r="Q49" s="1056">
        <v>31.120284999999999</v>
      </c>
      <c r="R49" s="1056">
        <v>24.805427999999999</v>
      </c>
      <c r="S49" s="1056">
        <v>24.941547</v>
      </c>
      <c r="T49" s="1056">
        <v>24.510408000000002</v>
      </c>
      <c r="U49" s="1056">
        <v>24.773121</v>
      </c>
      <c r="V49" s="1056">
        <v>25.840997999999999</v>
      </c>
      <c r="W49" s="1056">
        <v>26.808551999999999</v>
      </c>
      <c r="X49" s="1056">
        <v>29.644617</v>
      </c>
      <c r="Y49" s="1056">
        <v>29.383793000000001</v>
      </c>
      <c r="Z49" s="1056">
        <v>28.224442</v>
      </c>
      <c r="AA49" s="1056">
        <v>28.253482999999999</v>
      </c>
      <c r="AB49" s="1056">
        <v>27.145426</v>
      </c>
      <c r="AC49" s="1056">
        <v>27.272445999999999</v>
      </c>
      <c r="AD49" s="1056">
        <v>27.519344</v>
      </c>
      <c r="AE49" s="1056">
        <v>26.363682000000001</v>
      </c>
      <c r="AF49" s="1056">
        <v>26.241467</v>
      </c>
      <c r="AG49" s="1056">
        <v>26.599018000000001</v>
      </c>
      <c r="AH49" s="1056">
        <v>26.941008</v>
      </c>
      <c r="AI49" s="1056">
        <v>27.294556</v>
      </c>
      <c r="AJ49" s="1056">
        <v>27.667862</v>
      </c>
      <c r="AK49" s="1056">
        <v>28.194492</v>
      </c>
      <c r="AL49" s="1056">
        <v>28.632065000000001</v>
      </c>
      <c r="AM49" s="1056">
        <v>29.186733</v>
      </c>
      <c r="AN49" s="1056">
        <v>29.790071000000001</v>
      </c>
      <c r="AO49" s="1056">
        <v>30.397635000000001</v>
      </c>
      <c r="AP49" s="1056">
        <v>30.990224999999999</v>
      </c>
      <c r="AQ49" s="1056">
        <v>31.671036000000001</v>
      </c>
      <c r="AR49" s="1056">
        <v>30.576360999999999</v>
      </c>
      <c r="AS49" s="1052"/>
      <c r="AT49" s="1052"/>
      <c r="AU49" s="1052"/>
      <c r="AV49" s="1052"/>
      <c r="AW49" s="1052"/>
      <c r="AX49" s="1052"/>
      <c r="AY49" s="1052"/>
      <c r="AZ49" s="1052"/>
      <c r="BA49" s="1052"/>
      <c r="BB49" s="1052"/>
      <c r="BC49" s="1052"/>
      <c r="BD49" s="1052"/>
      <c r="BE49" s="1052"/>
      <c r="BF49" s="1052"/>
      <c r="BG49" s="1052"/>
      <c r="BH49" s="1052"/>
      <c r="BI49" s="1052"/>
      <c r="BJ49" s="1052"/>
      <c r="BK49" s="1052"/>
      <c r="BL49" s="1052"/>
      <c r="BM49" s="1052"/>
      <c r="BN49" s="1052"/>
      <c r="BO49" s="1052"/>
      <c r="BP49" s="1052"/>
      <c r="BQ49" s="1052"/>
      <c r="BR49" s="1052"/>
      <c r="BS49" s="1052"/>
      <c r="BT49" s="1052"/>
      <c r="BU49" s="1052"/>
      <c r="BV49" s="1054"/>
    </row>
    <row r="50" spans="1:104" s="1050" customFormat="1" x14ac:dyDescent="0.25">
      <c r="A50" s="1055" t="s">
        <v>1086</v>
      </c>
      <c r="B50" s="1052"/>
      <c r="C50" s="1053"/>
      <c r="D50" s="1250"/>
      <c r="E50" s="1053"/>
      <c r="F50" s="1052"/>
      <c r="G50" s="1052"/>
      <c r="H50" s="1052"/>
      <c r="I50" s="1052"/>
      <c r="J50" s="1052"/>
      <c r="K50" s="1052"/>
      <c r="L50" s="1052"/>
      <c r="M50" s="1052"/>
      <c r="N50" s="1056">
        <v>2.2979889999999998</v>
      </c>
      <c r="O50" s="1056">
        <v>2.38</v>
      </c>
      <c r="P50" s="1056">
        <v>2.4052739999999999</v>
      </c>
      <c r="Q50" s="1056">
        <v>2.3369110000000002</v>
      </c>
      <c r="R50" s="1056">
        <v>2.3950149999999999</v>
      </c>
      <c r="S50" s="1056">
        <v>2.3961070000000002</v>
      </c>
      <c r="T50" s="1056">
        <v>2.4583050000000002</v>
      </c>
      <c r="U50" s="1056">
        <v>2.472283</v>
      </c>
      <c r="V50" s="1056">
        <v>2.4802620000000002</v>
      </c>
      <c r="W50" s="1056">
        <v>2.4838239999999998</v>
      </c>
      <c r="X50" s="1056">
        <v>2.516057</v>
      </c>
      <c r="Y50" s="1056">
        <v>2.5464560000000001</v>
      </c>
      <c r="Z50" s="1056">
        <v>2.591459</v>
      </c>
      <c r="AA50" s="1056">
        <v>2.6280779999999999</v>
      </c>
      <c r="AB50" s="1056">
        <v>2.6593969999999998</v>
      </c>
      <c r="AC50" s="1056">
        <v>2.691643</v>
      </c>
      <c r="AD50" s="1056">
        <v>2.7285810000000001</v>
      </c>
      <c r="AE50" s="1056">
        <v>2.7618779999999998</v>
      </c>
      <c r="AF50" s="1056">
        <v>2.7919909999999999</v>
      </c>
      <c r="AG50" s="1056">
        <v>2.8282630000000002</v>
      </c>
      <c r="AH50" s="1056">
        <v>2.8670900000000001</v>
      </c>
      <c r="AI50" s="1056">
        <v>2.8969999999999998</v>
      </c>
      <c r="AJ50" s="1056">
        <v>2.9238430000000002</v>
      </c>
      <c r="AK50" s="1056">
        <v>2.954224</v>
      </c>
      <c r="AL50" s="1056">
        <v>2.98759</v>
      </c>
      <c r="AM50" s="1056">
        <v>3.030205</v>
      </c>
      <c r="AN50" s="1056">
        <v>3.0670109999999999</v>
      </c>
      <c r="AO50" s="1056">
        <v>3.1012659999999999</v>
      </c>
      <c r="AP50" s="1056">
        <v>3.134995</v>
      </c>
      <c r="AQ50" s="1056">
        <v>3.169994</v>
      </c>
      <c r="AR50" s="1056">
        <v>3.2015440000000002</v>
      </c>
      <c r="AS50" s="1052"/>
      <c r="AT50" s="1052"/>
      <c r="AU50" s="1052"/>
      <c r="AV50" s="1052"/>
      <c r="AW50" s="1052"/>
      <c r="AX50" s="1052"/>
      <c r="AY50" s="1052"/>
      <c r="AZ50" s="1052"/>
      <c r="BA50" s="1052"/>
      <c r="BB50" s="1052"/>
      <c r="BC50" s="1052"/>
      <c r="BD50" s="1052"/>
      <c r="BE50" s="1052"/>
      <c r="BF50" s="1052"/>
      <c r="BG50" s="1052"/>
      <c r="BH50" s="1052"/>
      <c r="BI50" s="1052"/>
      <c r="BJ50" s="1052"/>
      <c r="BK50" s="1052"/>
      <c r="BL50" s="1052"/>
      <c r="BM50" s="1052"/>
      <c r="BN50" s="1052"/>
      <c r="BO50" s="1052"/>
      <c r="BP50" s="1052"/>
      <c r="BQ50" s="1052"/>
      <c r="BR50" s="1052"/>
      <c r="BS50" s="1052"/>
      <c r="BT50" s="1052"/>
      <c r="BU50" s="1052"/>
      <c r="BV50" s="1054"/>
    </row>
    <row r="51" spans="1:104" s="1050" customFormat="1" x14ac:dyDescent="0.25">
      <c r="A51" s="1055" t="s">
        <v>683</v>
      </c>
      <c r="B51" s="1052"/>
      <c r="C51" s="1053"/>
      <c r="D51" s="1250"/>
      <c r="E51" s="1053"/>
      <c r="F51" s="1052"/>
      <c r="G51" s="1052"/>
      <c r="H51" s="1052"/>
      <c r="I51" s="1052"/>
      <c r="J51" s="1052"/>
      <c r="K51" s="1052"/>
      <c r="L51" s="1052"/>
      <c r="M51" s="1052"/>
      <c r="N51" s="1056">
        <v>30.492578999999999</v>
      </c>
      <c r="O51" s="1056">
        <v>29.980651999999999</v>
      </c>
      <c r="P51" s="1056">
        <v>28.463469</v>
      </c>
      <c r="Q51" s="1056">
        <v>27.770492999999998</v>
      </c>
      <c r="R51" s="1056">
        <v>27.844252000000001</v>
      </c>
      <c r="S51" s="1056">
        <v>27.733993999999999</v>
      </c>
      <c r="T51" s="1056">
        <v>28.230274000000001</v>
      </c>
      <c r="U51" s="1056">
        <v>28.517765000000001</v>
      </c>
      <c r="V51" s="1056">
        <v>28.644997</v>
      </c>
      <c r="W51" s="1056">
        <v>28.576813000000001</v>
      </c>
      <c r="X51" s="1056">
        <v>28.566559000000002</v>
      </c>
      <c r="Y51" s="1056">
        <v>28.675744999999999</v>
      </c>
      <c r="Z51" s="1056">
        <v>28.66461</v>
      </c>
      <c r="AA51" s="1056">
        <v>28.628443000000001</v>
      </c>
      <c r="AB51" s="1056">
        <v>28.632759</v>
      </c>
      <c r="AC51" s="1056">
        <v>28.485842000000002</v>
      </c>
      <c r="AD51" s="1056">
        <v>28.378672000000002</v>
      </c>
      <c r="AE51" s="1056">
        <v>28.369689999999999</v>
      </c>
      <c r="AF51" s="1056">
        <v>28.482963999999999</v>
      </c>
      <c r="AG51" s="1056">
        <v>28.577332999999999</v>
      </c>
      <c r="AH51" s="1056">
        <v>28.652301999999999</v>
      </c>
      <c r="AI51" s="1056">
        <v>28.781072999999999</v>
      </c>
      <c r="AJ51" s="1056">
        <v>28.912566999999999</v>
      </c>
      <c r="AK51" s="1056">
        <v>29.081726</v>
      </c>
      <c r="AL51" s="1056">
        <v>29.271111999999999</v>
      </c>
      <c r="AM51" s="1056">
        <v>29.658476</v>
      </c>
      <c r="AN51" s="1056">
        <v>30.101704000000002</v>
      </c>
      <c r="AO51" s="1056">
        <v>30.503069</v>
      </c>
      <c r="AP51" s="1056">
        <v>30.944068999999999</v>
      </c>
      <c r="AQ51" s="1056">
        <v>31.476562000000001</v>
      </c>
      <c r="AR51" s="1056">
        <v>31.747146999999998</v>
      </c>
      <c r="AS51" s="1052"/>
      <c r="AT51" s="1052"/>
      <c r="AU51" s="1052"/>
      <c r="AV51" s="1052"/>
      <c r="AW51" s="1052"/>
      <c r="AX51" s="1052"/>
      <c r="AY51" s="1052"/>
      <c r="AZ51" s="1052"/>
      <c r="BA51" s="1052"/>
      <c r="BB51" s="1052"/>
      <c r="BC51" s="1052"/>
      <c r="BD51" s="1052"/>
      <c r="BE51" s="1052"/>
      <c r="BF51" s="1052"/>
      <c r="BG51" s="1052"/>
      <c r="BH51" s="1052"/>
      <c r="BI51" s="1052"/>
      <c r="BJ51" s="1052"/>
      <c r="BK51" s="1052"/>
      <c r="BL51" s="1052"/>
      <c r="BM51" s="1052"/>
      <c r="BN51" s="1052"/>
      <c r="BO51" s="1052"/>
      <c r="BP51" s="1052"/>
      <c r="BQ51" s="1052"/>
      <c r="BR51" s="1052"/>
      <c r="BS51" s="1052"/>
      <c r="BT51" s="1052"/>
      <c r="BU51" s="1052"/>
      <c r="BV51" s="1054"/>
    </row>
    <row r="52" spans="1:104" s="1050" customFormat="1" x14ac:dyDescent="0.25">
      <c r="A52" s="1055" t="s">
        <v>698</v>
      </c>
      <c r="B52" s="1052"/>
      <c r="C52" s="1053"/>
      <c r="D52" s="1250"/>
      <c r="E52" s="1053"/>
      <c r="F52" s="1052"/>
      <c r="G52" s="1052"/>
      <c r="H52" s="1052"/>
      <c r="I52" s="1052"/>
      <c r="J52" s="1052"/>
      <c r="K52" s="1052"/>
      <c r="L52" s="1052"/>
      <c r="M52" s="1052"/>
      <c r="N52" s="1056">
        <v>20.260442999999999</v>
      </c>
      <c r="O52" s="1056">
        <v>19.975739999999998</v>
      </c>
      <c r="P52" s="1056">
        <v>18.436015999999999</v>
      </c>
      <c r="Q52" s="1056">
        <v>18.142965</v>
      </c>
      <c r="R52" s="1056">
        <v>18.046112000000001</v>
      </c>
      <c r="S52" s="1056">
        <v>17.884491000000001</v>
      </c>
      <c r="T52" s="1056">
        <v>18.368113000000001</v>
      </c>
      <c r="U52" s="1056">
        <v>18.636278000000001</v>
      </c>
      <c r="V52" s="1056">
        <v>18.783104000000002</v>
      </c>
      <c r="W52" s="1056">
        <v>18.727132999999998</v>
      </c>
      <c r="X52" s="1056">
        <v>18.720291</v>
      </c>
      <c r="Y52" s="1056">
        <v>18.854441000000001</v>
      </c>
      <c r="Z52" s="1056">
        <v>18.961594000000002</v>
      </c>
      <c r="AA52" s="1056">
        <v>19.089853000000002</v>
      </c>
      <c r="AB52" s="1056">
        <v>19.158766</v>
      </c>
      <c r="AC52" s="1056">
        <v>19.181961000000001</v>
      </c>
      <c r="AD52" s="1056">
        <v>19.274345</v>
      </c>
      <c r="AE52" s="1056">
        <v>19.362473000000001</v>
      </c>
      <c r="AF52" s="1056">
        <v>19.467001</v>
      </c>
      <c r="AG52" s="1056">
        <v>19.610374</v>
      </c>
      <c r="AH52" s="1056">
        <v>19.726358000000001</v>
      </c>
      <c r="AI52" s="1056">
        <v>19.866886000000001</v>
      </c>
      <c r="AJ52" s="1056">
        <v>20.029399999999999</v>
      </c>
      <c r="AK52" s="1056">
        <v>20.204810999999999</v>
      </c>
      <c r="AL52" s="1056">
        <v>20.42868</v>
      </c>
      <c r="AM52" s="1056">
        <v>20.795019</v>
      </c>
      <c r="AN52" s="1056">
        <v>21.263971000000002</v>
      </c>
      <c r="AO52" s="1056">
        <v>21.670811</v>
      </c>
      <c r="AP52" s="1056">
        <v>22.067454999999999</v>
      </c>
      <c r="AQ52" s="1056">
        <v>22.488647</v>
      </c>
      <c r="AR52" s="1056">
        <v>22.744430999999999</v>
      </c>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2"/>
      <c r="BN52" s="1052"/>
      <c r="BO52" s="1052"/>
      <c r="BP52" s="1052"/>
      <c r="BQ52" s="1052"/>
      <c r="BR52" s="1052"/>
      <c r="BS52" s="1052"/>
      <c r="BT52" s="1052"/>
      <c r="BU52" s="1052"/>
      <c r="BV52" s="1054"/>
    </row>
    <row r="53" spans="1:104" s="1050" customFormat="1" ht="13" thickBot="1" x14ac:dyDescent="0.3">
      <c r="A53" s="1059" t="s">
        <v>684</v>
      </c>
      <c r="B53" s="1060"/>
      <c r="C53" s="1061"/>
      <c r="D53" s="1251"/>
      <c r="E53" s="1061"/>
      <c r="F53" s="1060"/>
      <c r="G53" s="1060"/>
      <c r="H53" s="1060"/>
      <c r="I53" s="1060"/>
      <c r="J53" s="1060"/>
      <c r="K53" s="1060"/>
      <c r="L53" s="1060"/>
      <c r="M53" s="1060"/>
      <c r="N53" s="1062">
        <v>34.522823000000002</v>
      </c>
      <c r="O53" s="1062">
        <v>34.335875999999999</v>
      </c>
      <c r="P53" s="1062">
        <v>33.266716000000002</v>
      </c>
      <c r="Q53" s="1062">
        <v>32.549408</v>
      </c>
      <c r="R53" s="1062">
        <v>33.007488000000002</v>
      </c>
      <c r="S53" s="1062">
        <v>33.062362999999998</v>
      </c>
      <c r="T53" s="1062">
        <v>33.578304000000003</v>
      </c>
      <c r="U53" s="1062">
        <v>33.826259999999998</v>
      </c>
      <c r="V53" s="1062">
        <v>33.834632999999997</v>
      </c>
      <c r="W53" s="1062">
        <v>33.642589999999998</v>
      </c>
      <c r="X53" s="1062">
        <v>33.615443999999997</v>
      </c>
      <c r="Y53" s="1062">
        <v>33.658813000000002</v>
      </c>
      <c r="Z53" s="1062">
        <v>33.691249999999997</v>
      </c>
      <c r="AA53" s="1062">
        <v>33.703487000000003</v>
      </c>
      <c r="AB53" s="1062">
        <v>33.839970000000001</v>
      </c>
      <c r="AC53" s="1062">
        <v>33.959377000000003</v>
      </c>
      <c r="AD53" s="1062">
        <v>34.126075999999998</v>
      </c>
      <c r="AE53" s="1062">
        <v>34.265704999999997</v>
      </c>
      <c r="AF53" s="1062">
        <v>34.413651000000002</v>
      </c>
      <c r="AG53" s="1062">
        <v>34.510967000000001</v>
      </c>
      <c r="AH53" s="1062">
        <v>34.561591999999997</v>
      </c>
      <c r="AI53" s="1062">
        <v>34.686400999999996</v>
      </c>
      <c r="AJ53" s="1062">
        <v>34.807406999999998</v>
      </c>
      <c r="AK53" s="1062">
        <v>34.923721</v>
      </c>
      <c r="AL53" s="1062">
        <v>35.082526999999999</v>
      </c>
      <c r="AM53" s="1062">
        <v>35.421287999999997</v>
      </c>
      <c r="AN53" s="1062">
        <v>35.835976000000002</v>
      </c>
      <c r="AO53" s="1062">
        <v>36.175975999999999</v>
      </c>
      <c r="AP53" s="1062">
        <v>36.502800000000001</v>
      </c>
      <c r="AQ53" s="1062">
        <v>36.906086000000002</v>
      </c>
      <c r="AR53" s="1062">
        <v>37.098595000000003</v>
      </c>
      <c r="AS53" s="1060"/>
      <c r="AT53" s="1060"/>
      <c r="AU53" s="1060"/>
      <c r="AV53" s="1060"/>
      <c r="AW53" s="1060"/>
      <c r="AX53" s="1060"/>
      <c r="AY53" s="1060"/>
      <c r="AZ53" s="1060"/>
      <c r="BA53" s="1060"/>
      <c r="BB53" s="1060"/>
      <c r="BC53" s="1060"/>
      <c r="BD53" s="1060"/>
      <c r="BE53" s="1060"/>
      <c r="BF53" s="1060"/>
      <c r="BG53" s="1060"/>
      <c r="BH53" s="1060"/>
      <c r="BI53" s="1060"/>
      <c r="BJ53" s="1060"/>
      <c r="BK53" s="1060"/>
      <c r="BL53" s="1060"/>
      <c r="BM53" s="1060"/>
      <c r="BN53" s="1060"/>
      <c r="BO53" s="1060"/>
      <c r="BP53" s="1060"/>
      <c r="BQ53" s="1060"/>
      <c r="BR53" s="1060"/>
      <c r="BS53" s="1060"/>
      <c r="BT53" s="1060"/>
      <c r="BU53" s="1060"/>
      <c r="BV53" s="1063"/>
    </row>
    <row r="54" spans="1:104" x14ac:dyDescent="0.25">
      <c r="A54" s="876"/>
      <c r="B54" s="260"/>
      <c r="C54" s="873"/>
      <c r="D54" s="1248"/>
      <c r="E54" s="873"/>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75"/>
    </row>
    <row r="55" spans="1:104" ht="13" thickBot="1" x14ac:dyDescent="0.3">
      <c r="A55" s="876"/>
      <c r="B55" s="260"/>
      <c r="C55" s="873"/>
      <c r="D55" s="1248"/>
      <c r="E55" s="880"/>
      <c r="F55" s="879"/>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75"/>
    </row>
    <row r="56" spans="1:104" ht="13.5" thickTop="1" x14ac:dyDescent="0.3">
      <c r="A56" s="866" t="s">
        <v>1105</v>
      </c>
      <c r="B56" s="867" t="str">
        <f>"Prices are in $(" &amp; ref_year&amp;")/GJ LHV"</f>
        <v>Prices are in $(2016)/GJ LHV</v>
      </c>
      <c r="C56" s="867"/>
      <c r="D56" s="1252"/>
      <c r="E56" s="867"/>
      <c r="F56" s="868"/>
      <c r="G56" s="868"/>
      <c r="H56" s="868"/>
      <c r="I56" s="868"/>
      <c r="J56" s="868"/>
      <c r="K56" s="868"/>
      <c r="L56" s="868"/>
      <c r="M56" s="868"/>
      <c r="N56" s="868"/>
      <c r="O56" s="868"/>
      <c r="P56" s="868"/>
      <c r="Q56" s="868"/>
      <c r="R56" s="868"/>
      <c r="S56" s="868"/>
      <c r="T56" s="868"/>
      <c r="U56" s="868"/>
      <c r="V56" s="868"/>
      <c r="W56" s="868"/>
      <c r="X56" s="868"/>
      <c r="Y56" s="868"/>
      <c r="Z56" s="868"/>
      <c r="AA56" s="868"/>
      <c r="AB56" s="868"/>
      <c r="AC56" s="868"/>
      <c r="AD56" s="868"/>
      <c r="AE56" s="868"/>
      <c r="AF56" s="868"/>
      <c r="AG56" s="868"/>
      <c r="AH56" s="868"/>
      <c r="AI56" s="868"/>
      <c r="AJ56" s="868"/>
      <c r="AK56" s="868"/>
      <c r="AL56" s="868"/>
      <c r="AM56" s="868"/>
      <c r="AN56" s="868"/>
      <c r="AO56" s="868"/>
      <c r="AP56" s="868"/>
      <c r="AQ56" s="868"/>
      <c r="AR56" s="868"/>
      <c r="AS56" s="881" t="s">
        <v>772</v>
      </c>
      <c r="AT56" s="882"/>
      <c r="AU56" s="882"/>
      <c r="AV56" s="882"/>
      <c r="AW56" s="882"/>
      <c r="AX56" s="882"/>
      <c r="AY56" s="882"/>
      <c r="AZ56" s="882"/>
      <c r="BA56" s="882"/>
      <c r="BB56" s="882"/>
      <c r="BC56" s="882"/>
      <c r="BD56" s="882"/>
      <c r="BE56" s="882"/>
      <c r="BF56" s="882"/>
      <c r="BG56" s="882"/>
      <c r="BH56" s="882"/>
      <c r="BI56" s="882"/>
      <c r="BJ56" s="882"/>
      <c r="BK56" s="882"/>
      <c r="BL56" s="882"/>
      <c r="BM56" s="882"/>
      <c r="BN56" s="882"/>
      <c r="BO56" s="882"/>
      <c r="BP56" s="882"/>
      <c r="BQ56" s="882"/>
      <c r="BR56" s="882"/>
      <c r="BS56" s="882"/>
      <c r="BT56" s="882"/>
      <c r="BU56" s="882"/>
      <c r="BV56" s="883"/>
    </row>
    <row r="57" spans="1:104" ht="39.5" thickBot="1" x14ac:dyDescent="0.35">
      <c r="A57" s="1119" t="s">
        <v>1083</v>
      </c>
      <c r="B57" s="1120" t="s">
        <v>678</v>
      </c>
      <c r="C57" s="1120" t="s">
        <v>679</v>
      </c>
      <c r="D57" s="1253" t="s">
        <v>690</v>
      </c>
      <c r="E57" s="1120" t="s">
        <v>691</v>
      </c>
      <c r="F57" s="1121" t="s">
        <v>680</v>
      </c>
      <c r="G57" s="1121" t="s">
        <v>692</v>
      </c>
      <c r="H57" s="1064">
        <v>2004</v>
      </c>
      <c r="I57" s="1064">
        <v>2005</v>
      </c>
      <c r="J57" s="1064">
        <v>2006</v>
      </c>
      <c r="K57" s="1064">
        <v>2007</v>
      </c>
      <c r="L57" s="1064">
        <v>2008</v>
      </c>
      <c r="M57" s="1064">
        <v>2009</v>
      </c>
      <c r="N57" s="1121">
        <v>2010</v>
      </c>
      <c r="O57" s="1121">
        <v>2011</v>
      </c>
      <c r="P57" s="1121">
        <v>2012</v>
      </c>
      <c r="Q57" s="1121">
        <v>2013</v>
      </c>
      <c r="R57" s="1121">
        <v>2014</v>
      </c>
      <c r="S57" s="1121">
        <v>2015</v>
      </c>
      <c r="T57" s="1121">
        <v>2016</v>
      </c>
      <c r="U57" s="1121">
        <v>2017</v>
      </c>
      <c r="V57" s="1121">
        <v>2018</v>
      </c>
      <c r="W57" s="1121">
        <v>2019</v>
      </c>
      <c r="X57" s="1121">
        <v>2020</v>
      </c>
      <c r="Y57" s="1121">
        <v>2021</v>
      </c>
      <c r="Z57" s="1121">
        <v>2022</v>
      </c>
      <c r="AA57" s="1121">
        <v>2023</v>
      </c>
      <c r="AB57" s="1121">
        <v>2024</v>
      </c>
      <c r="AC57" s="1121">
        <v>2025</v>
      </c>
      <c r="AD57" s="1121">
        <v>2026</v>
      </c>
      <c r="AE57" s="1121">
        <v>2027</v>
      </c>
      <c r="AF57" s="1121">
        <v>2028</v>
      </c>
      <c r="AG57" s="1121">
        <v>2029</v>
      </c>
      <c r="AH57" s="1121">
        <v>2030</v>
      </c>
      <c r="AI57" s="1121">
        <v>2031</v>
      </c>
      <c r="AJ57" s="1121">
        <v>2032</v>
      </c>
      <c r="AK57" s="1121">
        <v>2033</v>
      </c>
      <c r="AL57" s="1121">
        <v>2034</v>
      </c>
      <c r="AM57" s="1121">
        <v>2035</v>
      </c>
      <c r="AN57" s="1121">
        <v>2036</v>
      </c>
      <c r="AO57" s="1121">
        <v>2037</v>
      </c>
      <c r="AP57" s="1121">
        <v>2038</v>
      </c>
      <c r="AQ57" s="1121">
        <v>2039</v>
      </c>
      <c r="AR57" s="1121">
        <v>2040</v>
      </c>
      <c r="AS57" s="1121">
        <v>2041</v>
      </c>
      <c r="AT57" s="1121">
        <v>2042</v>
      </c>
      <c r="AU57" s="1121">
        <v>2043</v>
      </c>
      <c r="AV57" s="1121">
        <v>2044</v>
      </c>
      <c r="AW57" s="1121">
        <v>2045</v>
      </c>
      <c r="AX57" s="1121">
        <v>2046</v>
      </c>
      <c r="AY57" s="1121">
        <v>2047</v>
      </c>
      <c r="AZ57" s="1121">
        <v>2048</v>
      </c>
      <c r="BA57" s="1121">
        <v>2049</v>
      </c>
      <c r="BB57" s="1121">
        <v>2050</v>
      </c>
      <c r="BC57" s="1121">
        <v>2051</v>
      </c>
      <c r="BD57" s="1121">
        <v>2052</v>
      </c>
      <c r="BE57" s="1121">
        <v>2053</v>
      </c>
      <c r="BF57" s="1121">
        <v>2054</v>
      </c>
      <c r="BG57" s="1121">
        <v>2055</v>
      </c>
      <c r="BH57" s="1121">
        <v>2056</v>
      </c>
      <c r="BI57" s="1121">
        <v>2057</v>
      </c>
      <c r="BJ57" s="1121">
        <v>2058</v>
      </c>
      <c r="BK57" s="1121">
        <v>2059</v>
      </c>
      <c r="BL57" s="1121">
        <v>2060</v>
      </c>
      <c r="BM57" s="1121">
        <v>2061</v>
      </c>
      <c r="BN57" s="1121">
        <v>2062</v>
      </c>
      <c r="BO57" s="1121">
        <v>2063</v>
      </c>
      <c r="BP57" s="1121">
        <v>2064</v>
      </c>
      <c r="BQ57" s="1121">
        <v>2065</v>
      </c>
      <c r="BR57" s="1121">
        <v>2066</v>
      </c>
      <c r="BS57" s="1121">
        <v>2067</v>
      </c>
      <c r="BT57" s="1121">
        <v>2068</v>
      </c>
      <c r="BU57" s="1121">
        <v>2069</v>
      </c>
      <c r="BV57" s="1122">
        <v>2070</v>
      </c>
      <c r="BW57" s="1396">
        <f t="shared" ref="BW57" si="130">+BV57+1</f>
        <v>2071</v>
      </c>
      <c r="BX57" s="1396">
        <f t="shared" ref="BX57" si="131">+BW57+1</f>
        <v>2072</v>
      </c>
      <c r="BY57" s="1396">
        <f t="shared" ref="BY57" si="132">+BX57+1</f>
        <v>2073</v>
      </c>
      <c r="BZ57" s="1396">
        <f t="shared" ref="BZ57" si="133">+BY57+1</f>
        <v>2074</v>
      </c>
      <c r="CA57" s="1396">
        <f t="shared" ref="CA57" si="134">+BZ57+1</f>
        <v>2075</v>
      </c>
      <c r="CB57" s="1396">
        <f t="shared" ref="CB57" si="135">+CA57+1</f>
        <v>2076</v>
      </c>
      <c r="CC57" s="1396">
        <f t="shared" ref="CC57" si="136">+CB57+1</f>
        <v>2077</v>
      </c>
      <c r="CD57" s="1396">
        <f t="shared" ref="CD57" si="137">+CC57+1</f>
        <v>2078</v>
      </c>
      <c r="CE57" s="1396">
        <f t="shared" ref="CE57" si="138">+CD57+1</f>
        <v>2079</v>
      </c>
      <c r="CF57" s="1396">
        <f t="shared" ref="CF57" si="139">+CE57+1</f>
        <v>2080</v>
      </c>
      <c r="CG57" s="1396">
        <f t="shared" ref="CG57" si="140">+CF57+1</f>
        <v>2081</v>
      </c>
      <c r="CH57" s="1396">
        <f t="shared" ref="CH57" si="141">+CG57+1</f>
        <v>2082</v>
      </c>
      <c r="CI57" s="1396">
        <f t="shared" ref="CI57" si="142">+CH57+1</f>
        <v>2083</v>
      </c>
      <c r="CJ57" s="1396">
        <f t="shared" ref="CJ57" si="143">+CI57+1</f>
        <v>2084</v>
      </c>
      <c r="CK57" s="1396">
        <f t="shared" ref="CK57" si="144">+CJ57+1</f>
        <v>2085</v>
      </c>
      <c r="CL57" s="1396">
        <f t="shared" ref="CL57" si="145">+CK57+1</f>
        <v>2086</v>
      </c>
      <c r="CM57" s="1396">
        <f t="shared" ref="CM57" si="146">+CL57+1</f>
        <v>2087</v>
      </c>
      <c r="CN57" s="1396">
        <f t="shared" ref="CN57" si="147">+CM57+1</f>
        <v>2088</v>
      </c>
      <c r="CO57" s="1396">
        <f t="shared" ref="CO57" si="148">+CN57+1</f>
        <v>2089</v>
      </c>
      <c r="CP57" s="1396">
        <f t="shared" ref="CP57" si="149">+CO57+1</f>
        <v>2090</v>
      </c>
      <c r="CQ57" s="1396">
        <f t="shared" ref="CQ57" si="150">+CP57+1</f>
        <v>2091</v>
      </c>
      <c r="CR57" s="1396">
        <f t="shared" ref="CR57" si="151">+CQ57+1</f>
        <v>2092</v>
      </c>
      <c r="CS57" s="1396">
        <f t="shared" ref="CS57" si="152">+CR57+1</f>
        <v>2093</v>
      </c>
      <c r="CT57" s="1396">
        <f t="shared" ref="CT57" si="153">+CS57+1</f>
        <v>2094</v>
      </c>
      <c r="CU57" s="1396">
        <f t="shared" ref="CU57" si="154">+CT57+1</f>
        <v>2095</v>
      </c>
      <c r="CV57" s="1396">
        <f t="shared" ref="CV57" si="155">+CU57+1</f>
        <v>2096</v>
      </c>
      <c r="CW57" s="1396">
        <f t="shared" ref="CW57" si="156">+CV57+1</f>
        <v>2097</v>
      </c>
      <c r="CX57" s="1396">
        <f t="shared" ref="CX57" si="157">+CW57+1</f>
        <v>2098</v>
      </c>
      <c r="CY57" s="1396">
        <f t="shared" ref="CY57" si="158">+CX57+1</f>
        <v>2099</v>
      </c>
      <c r="CZ57" s="1396">
        <f t="shared" ref="CZ57" si="159">+CY57+1</f>
        <v>2100</v>
      </c>
    </row>
    <row r="58" spans="1:104" ht="13" thickBot="1" x14ac:dyDescent="0.3">
      <c r="A58" s="869" t="s">
        <v>1089</v>
      </c>
      <c r="B58" s="870"/>
      <c r="C58" s="870"/>
      <c r="D58" s="1254"/>
      <c r="E58" s="870"/>
      <c r="F58" s="870"/>
      <c r="G58" s="870"/>
      <c r="H58" s="870"/>
      <c r="I58" s="870"/>
      <c r="J58" s="870"/>
      <c r="K58" s="870"/>
      <c r="L58" s="870"/>
      <c r="M58" s="870"/>
      <c r="N58" s="870"/>
      <c r="O58" s="870"/>
      <c r="P58" s="870"/>
      <c r="Q58" s="870"/>
      <c r="R58" s="870"/>
      <c r="S58" s="870"/>
      <c r="T58" s="870"/>
      <c r="U58" s="870"/>
      <c r="V58" s="870"/>
      <c r="W58" s="870"/>
      <c r="X58" s="870"/>
      <c r="Y58" s="870"/>
      <c r="Z58" s="870"/>
      <c r="AA58" s="870"/>
      <c r="AB58" s="870"/>
      <c r="AC58" s="870"/>
      <c r="AD58" s="870"/>
      <c r="AE58" s="870"/>
      <c r="AF58" s="870"/>
      <c r="AG58" s="870"/>
      <c r="AH58" s="870"/>
      <c r="AI58" s="870"/>
      <c r="AJ58" s="870"/>
      <c r="AK58" s="870"/>
      <c r="AL58" s="870"/>
      <c r="AM58" s="870"/>
      <c r="AN58" s="870"/>
      <c r="AO58" s="870"/>
      <c r="AP58" s="870"/>
      <c r="AQ58" s="870"/>
      <c r="AR58" s="870"/>
      <c r="AS58" s="870"/>
      <c r="AT58" s="870"/>
      <c r="AU58" s="870"/>
      <c r="AV58" s="870"/>
      <c r="AW58" s="870"/>
      <c r="AX58" s="870"/>
      <c r="AY58" s="870"/>
      <c r="AZ58" s="870"/>
      <c r="BA58" s="870"/>
      <c r="BB58" s="870"/>
      <c r="BC58" s="870"/>
      <c r="BD58" s="870"/>
      <c r="BE58" s="870"/>
      <c r="BF58" s="870"/>
      <c r="BG58" s="870"/>
      <c r="BH58" s="870"/>
      <c r="BI58" s="870"/>
      <c r="BJ58" s="870"/>
      <c r="BK58" s="870"/>
      <c r="BL58" s="870"/>
      <c r="BM58" s="870"/>
      <c r="BN58" s="870"/>
      <c r="BO58" s="870"/>
      <c r="BP58" s="870"/>
      <c r="BQ58" s="870"/>
      <c r="BR58" s="870"/>
      <c r="BS58" s="870"/>
      <c r="BT58" s="870"/>
      <c r="BU58" s="870"/>
      <c r="BV58" s="871"/>
    </row>
    <row r="59" spans="1:104" ht="13" x14ac:dyDescent="0.3">
      <c r="A59" s="872" t="str">
        <f>'HyARC Physical Property Data'!A73</f>
        <v>Residential Natural Gas</v>
      </c>
      <c r="B59" s="260">
        <v>2011</v>
      </c>
      <c r="C59" s="873">
        <f>VLOOKUP(ref_year,DeflatorTable,2,FALSE)/VLOOKUP(B59,DeflatorTable,2,FALSE)</f>
        <v>1.0784554773635862</v>
      </c>
      <c r="D59" s="1255" t="str">
        <f>'HyARC Physical Property Data'!H73</f>
        <v>mmBtu</v>
      </c>
      <c r="E59" s="873" t="s">
        <v>1057</v>
      </c>
      <c r="F59" s="260">
        <f>'HyARC Physical Property Data'!$E$6</f>
        <v>47.141269049911173</v>
      </c>
      <c r="G59" s="260">
        <f>'HyARC Physical Property Data'!$I$6</f>
        <v>52.224661236371581</v>
      </c>
      <c r="H59" s="1066">
        <v>13.568796522291001</v>
      </c>
      <c r="I59" s="1066">
        <v>13.568796522291001</v>
      </c>
      <c r="J59" s="1066">
        <v>13.568796522291001</v>
      </c>
      <c r="K59" s="1066">
        <v>12.569562315288914</v>
      </c>
      <c r="L59" s="1066">
        <v>12.891154499364562</v>
      </c>
      <c r="M59" s="1066">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57">
        <f t="shared" si="160"/>
        <v>16.116906877885302</v>
      </c>
      <c r="AJ59" s="957">
        <f t="shared" si="160"/>
        <v>16.508795790382088</v>
      </c>
      <c r="AK59" s="957">
        <f t="shared" si="160"/>
        <v>16.937809113598334</v>
      </c>
      <c r="AL59" s="957">
        <f t="shared" si="160"/>
        <v>17.381004274269273</v>
      </c>
      <c r="AM59" s="957">
        <f t="shared" si="160"/>
        <v>17.788911879634913</v>
      </c>
      <c r="AN59" s="957">
        <f t="shared" si="160"/>
        <v>18.311687498791546</v>
      </c>
      <c r="AO59" s="957">
        <f t="shared" si="160"/>
        <v>18.65334373828842</v>
      </c>
      <c r="AP59" s="957">
        <f t="shared" si="160"/>
        <v>19.195162859691969</v>
      </c>
      <c r="AQ59" s="957">
        <f t="shared" si="160"/>
        <v>19.682735858288098</v>
      </c>
      <c r="AR59" s="957">
        <f t="shared" si="160"/>
        <v>20.015032288908259</v>
      </c>
      <c r="AS59" s="957">
        <f>($BB59-$AR59)/10+AR59</f>
        <v>20.01518684253227</v>
      </c>
      <c r="AT59" s="957">
        <f t="shared" ref="AT59:BA59" si="161">($BB59-$AR59)/10+AS59</f>
        <v>20.01534139615628</v>
      </c>
      <c r="AU59" s="957">
        <f t="shared" si="161"/>
        <v>20.015495949780291</v>
      </c>
      <c r="AV59" s="957">
        <f t="shared" si="161"/>
        <v>20.015650503404302</v>
      </c>
      <c r="AW59" s="957">
        <f t="shared" si="161"/>
        <v>20.015805057028313</v>
      </c>
      <c r="AX59" s="957">
        <f t="shared" si="161"/>
        <v>20.015959610652324</v>
      </c>
      <c r="AY59" s="957">
        <f t="shared" si="161"/>
        <v>20.016114164276335</v>
      </c>
      <c r="AZ59" s="957">
        <f t="shared" si="161"/>
        <v>20.016268717900346</v>
      </c>
      <c r="BA59" s="957">
        <f t="shared" si="161"/>
        <v>20.016423271524356</v>
      </c>
      <c r="BB59" s="959">
        <f>'AEO Data'!$B$30*AM59</f>
        <v>20.01657782514836</v>
      </c>
      <c r="BC59" s="957">
        <f>($BQ59-$BB59)/15+BB59</f>
        <v>20.179679524085394</v>
      </c>
      <c r="BD59" s="957">
        <f t="shared" ref="BD59:BP62" si="162">($BQ59-$BB59)/15+BC59</f>
        <v>20.342781223022428</v>
      </c>
      <c r="BE59" s="957">
        <f t="shared" si="162"/>
        <v>20.505882921959461</v>
      </c>
      <c r="BF59" s="957">
        <f t="shared" si="162"/>
        <v>20.668984620896495</v>
      </c>
      <c r="BG59" s="957">
        <f t="shared" si="162"/>
        <v>20.832086319833529</v>
      </c>
      <c r="BH59" s="957">
        <f t="shared" si="162"/>
        <v>20.995188018770563</v>
      </c>
      <c r="BI59" s="957">
        <f t="shared" si="162"/>
        <v>21.158289717707596</v>
      </c>
      <c r="BJ59" s="957">
        <f t="shared" si="162"/>
        <v>21.32139141664463</v>
      </c>
      <c r="BK59" s="957">
        <f t="shared" si="162"/>
        <v>21.484493115581664</v>
      </c>
      <c r="BL59" s="957">
        <f t="shared" si="162"/>
        <v>21.647594814518698</v>
      </c>
      <c r="BM59" s="957">
        <f t="shared" si="162"/>
        <v>21.810696513455731</v>
      </c>
      <c r="BN59" s="957">
        <f t="shared" si="162"/>
        <v>21.973798212392765</v>
      </c>
      <c r="BO59" s="957">
        <f t="shared" si="162"/>
        <v>22.136899911329799</v>
      </c>
      <c r="BP59" s="957">
        <f t="shared" si="162"/>
        <v>22.300001610266833</v>
      </c>
      <c r="BQ59" s="959">
        <f>'AEO Data'!$C$30*BB59</f>
        <v>22.463103309203859</v>
      </c>
      <c r="BR59" s="956">
        <f>($BV59-$BQ59)/5+BQ59</f>
        <v>22.591499473992489</v>
      </c>
      <c r="BS59" s="957">
        <f t="shared" ref="BS59:BU62" si="163">($BV59-$BQ59)/5+BR59</f>
        <v>22.719895638781118</v>
      </c>
      <c r="BT59" s="957">
        <f t="shared" si="163"/>
        <v>22.848291803569747</v>
      </c>
      <c r="BU59" s="957">
        <f t="shared" si="163"/>
        <v>22.976687968358377</v>
      </c>
      <c r="BV59" s="960">
        <f>'AEO Data'!$D$30*BQ59</f>
        <v>23.105084133146999</v>
      </c>
      <c r="BW59" s="1395">
        <f>+BV59*BW$133/BV$133</f>
        <v>23.181799806296944</v>
      </c>
      <c r="BX59" s="1395">
        <f t="shared" ref="BX59:CZ59" si="164">+BW59*BX$133/BW$133</f>
        <v>23.258770198039247</v>
      </c>
      <c r="BY59" s="1395">
        <f t="shared" si="164"/>
        <v>23.335996154114543</v>
      </c>
      <c r="BZ59" s="1395">
        <f t="shared" si="164"/>
        <v>23.413478523071561</v>
      </c>
      <c r="CA59" s="1395">
        <f t="shared" si="164"/>
        <v>23.491218156276457</v>
      </c>
      <c r="CB59" s="1395">
        <f t="shared" si="164"/>
        <v>23.541346730111329</v>
      </c>
      <c r="CC59" s="1395">
        <f t="shared" si="164"/>
        <v>23.591582274725578</v>
      </c>
      <c r="CD59" s="1395">
        <f t="shared" si="164"/>
        <v>23.641925018387173</v>
      </c>
      <c r="CE59" s="1395">
        <f t="shared" si="164"/>
        <v>23.692375189851191</v>
      </c>
      <c r="CF59" s="1395">
        <f t="shared" si="164"/>
        <v>23.742933018360848</v>
      </c>
      <c r="CG59" s="1395">
        <f t="shared" si="164"/>
        <v>23.759348824569351</v>
      </c>
      <c r="CH59" s="1395">
        <f t="shared" si="164"/>
        <v>23.775775980626385</v>
      </c>
      <c r="CI59" s="1395">
        <f t="shared" si="164"/>
        <v>23.792214494379209</v>
      </c>
      <c r="CJ59" s="1395">
        <f t="shared" si="164"/>
        <v>23.808664373680507</v>
      </c>
      <c r="CK59" s="1395">
        <f t="shared" si="164"/>
        <v>23.825125626388392</v>
      </c>
      <c r="CL59" s="1395">
        <f t="shared" si="164"/>
        <v>23.830705260336195</v>
      </c>
      <c r="CM59" s="1395">
        <f t="shared" si="164"/>
        <v>23.836286200984979</v>
      </c>
      <c r="CN59" s="1395">
        <f t="shared" si="164"/>
        <v>23.841868448640763</v>
      </c>
      <c r="CO59" s="1395">
        <f t="shared" si="164"/>
        <v>23.847452003609632</v>
      </c>
      <c r="CP59" s="1395">
        <f t="shared" si="164"/>
        <v>23.853036866197748</v>
      </c>
      <c r="CQ59" s="1395">
        <f t="shared" si="164"/>
        <v>23.861501261663879</v>
      </c>
      <c r="CR59" s="1395">
        <f t="shared" si="164"/>
        <v>23.869968660772315</v>
      </c>
      <c r="CS59" s="1395">
        <f t="shared" si="164"/>
        <v>23.878439064588914</v>
      </c>
      <c r="CT59" s="1395">
        <f t="shared" si="164"/>
        <v>23.886912474179919</v>
      </c>
      <c r="CU59" s="1395">
        <f t="shared" si="164"/>
        <v>23.89538889061194</v>
      </c>
      <c r="CV59" s="1395">
        <f t="shared" si="164"/>
        <v>23.908434131387597</v>
      </c>
      <c r="CW59" s="1395">
        <f t="shared" si="164"/>
        <v>23.921486493968537</v>
      </c>
      <c r="CX59" s="1395">
        <f t="shared" si="164"/>
        <v>23.934545982242778</v>
      </c>
      <c r="CY59" s="1395">
        <f t="shared" si="164"/>
        <v>23.947612600100459</v>
      </c>
      <c r="CZ59" s="1395">
        <f t="shared" si="164"/>
        <v>23.960686351433843</v>
      </c>
    </row>
    <row r="60" spans="1:104" ht="13" x14ac:dyDescent="0.3">
      <c r="A60" s="872" t="str">
        <f>'HyARC Physical Property Data'!A71</f>
        <v>Commercial Natural Gas</v>
      </c>
      <c r="B60" s="260">
        <v>2011</v>
      </c>
      <c r="C60" s="873">
        <f t="shared" ref="C60:C68" si="165">VLOOKUP(ref_year,DeflatorTable,2,FALSE)/VLOOKUP(B60,DeflatorTable,2,FALSE)</f>
        <v>1.0784554773635862</v>
      </c>
      <c r="D60" s="1255" t="str">
        <f>'HyARC Physical Property Data'!H71</f>
        <v>mmBtu</v>
      </c>
      <c r="E60" s="873" t="s">
        <v>1057</v>
      </c>
      <c r="F60" s="260">
        <f>'HyARC Physical Property Data'!$E$6</f>
        <v>47.141269049911173</v>
      </c>
      <c r="G60" s="260">
        <f>'HyARC Physical Property Data'!$I$6</f>
        <v>52.224661236371581</v>
      </c>
      <c r="H60" s="1066">
        <v>11.78211597551449</v>
      </c>
      <c r="I60" s="1066">
        <v>11.78211597551449</v>
      </c>
      <c r="J60" s="1066">
        <v>11.78211597551449</v>
      </c>
      <c r="K60" s="1066">
        <v>10.884547954455588</v>
      </c>
      <c r="L60" s="1066">
        <v>11.412186165255939</v>
      </c>
      <c r="M60" s="1066">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37">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37">
        <f>'AEO Data'!$C$30*BB60</f>
        <v>18.227834176141503</v>
      </c>
      <c r="BR60" s="872">
        <f>($BV60-$BQ60)/5+BQ60</f>
        <v>18.332022095700271</v>
      </c>
      <c r="BS60" s="260">
        <f t="shared" si="163"/>
        <v>18.436210015259039</v>
      </c>
      <c r="BT60" s="260">
        <f t="shared" si="163"/>
        <v>18.540397934817808</v>
      </c>
      <c r="BU60" s="260">
        <f t="shared" si="163"/>
        <v>18.644585854376576</v>
      </c>
      <c r="BV60" s="961">
        <f>'AEO Data'!$D$30*BQ60</f>
        <v>18.748773773935348</v>
      </c>
      <c r="BW60" s="1395">
        <f>+BV60*BW$134/BV$134</f>
        <v>18.811025215761521</v>
      </c>
      <c r="BX60" s="1395">
        <f t="shared" ref="BX60:CZ60" si="168">+BW60*BX$134/BW$134</f>
        <v>18.873483350678995</v>
      </c>
      <c r="BY60" s="1395">
        <f t="shared" si="168"/>
        <v>18.93614886496961</v>
      </c>
      <c r="BZ60" s="1395">
        <f t="shared" si="168"/>
        <v>18.999022447193862</v>
      </c>
      <c r="CA60" s="1395">
        <f t="shared" si="168"/>
        <v>19.062104788198472</v>
      </c>
      <c r="CB60" s="1395">
        <f t="shared" si="168"/>
        <v>19.102781951935423</v>
      </c>
      <c r="CC60" s="1395">
        <f t="shared" si="168"/>
        <v>19.143545917820827</v>
      </c>
      <c r="CD60" s="1395">
        <f t="shared" si="168"/>
        <v>19.184396871084243</v>
      </c>
      <c r="CE60" s="1395">
        <f t="shared" si="168"/>
        <v>19.22533499735049</v>
      </c>
      <c r="CF60" s="1395">
        <f t="shared" si="168"/>
        <v>19.266360482640504</v>
      </c>
      <c r="CG60" s="1395">
        <f t="shared" si="168"/>
        <v>19.279681197473067</v>
      </c>
      <c r="CH60" s="1395">
        <f t="shared" si="168"/>
        <v>19.293011122215507</v>
      </c>
      <c r="CI60" s="1395">
        <f t="shared" si="168"/>
        <v>19.306350263235526</v>
      </c>
      <c r="CJ60" s="1395">
        <f t="shared" si="168"/>
        <v>19.319698626905243</v>
      </c>
      <c r="CK60" s="1395">
        <f t="shared" si="168"/>
        <v>19.333056219601172</v>
      </c>
      <c r="CL60" s="1395">
        <f t="shared" si="168"/>
        <v>19.337583850577364</v>
      </c>
      <c r="CM60" s="1395">
        <f t="shared" si="168"/>
        <v>19.342112541884731</v>
      </c>
      <c r="CN60" s="1395">
        <f t="shared" si="168"/>
        <v>19.346642293771598</v>
      </c>
      <c r="CO60" s="1395">
        <f t="shared" si="168"/>
        <v>19.351173106486343</v>
      </c>
      <c r="CP60" s="1395">
        <f t="shared" si="168"/>
        <v>19.355704980277398</v>
      </c>
      <c r="CQ60" s="1395">
        <f t="shared" si="168"/>
        <v>19.362573470122019</v>
      </c>
      <c r="CR60" s="1395">
        <f t="shared" si="168"/>
        <v>19.369444397292106</v>
      </c>
      <c r="CS60" s="1395">
        <f t="shared" si="168"/>
        <v>19.376317762652565</v>
      </c>
      <c r="CT60" s="1395">
        <f t="shared" si="168"/>
        <v>19.383193567068602</v>
      </c>
      <c r="CU60" s="1395">
        <f t="shared" si="168"/>
        <v>19.390071811405733</v>
      </c>
      <c r="CV60" s="1395">
        <f t="shared" si="168"/>
        <v>19.400657458561128</v>
      </c>
      <c r="CW60" s="1395">
        <f t="shared" si="168"/>
        <v>19.411248884752663</v>
      </c>
      <c r="CX60" s="1395">
        <f t="shared" si="168"/>
        <v>19.42184609313529</v>
      </c>
      <c r="CY60" s="1395">
        <f t="shared" si="168"/>
        <v>19.432449086865692</v>
      </c>
      <c r="CZ60" s="1395">
        <f t="shared" si="168"/>
        <v>19.443057869102269</v>
      </c>
    </row>
    <row r="61" spans="1:104" ht="13" x14ac:dyDescent="0.3">
      <c r="A61" s="872" t="str">
        <f>'HyARC Physical Property Data'!A72</f>
        <v>Industrial Natural Gas</v>
      </c>
      <c r="B61" s="260">
        <v>2011</v>
      </c>
      <c r="C61" s="873">
        <f t="shared" si="165"/>
        <v>1.0784554773635862</v>
      </c>
      <c r="D61" s="1255" t="str">
        <f>'HyARC Physical Property Data'!H72</f>
        <v>mmBtu</v>
      </c>
      <c r="E61" s="873" t="s">
        <v>1057</v>
      </c>
      <c r="F61" s="260">
        <f>'HyARC Physical Property Data'!$E$6</f>
        <v>47.141269049911173</v>
      </c>
      <c r="G61" s="260">
        <f>'HyARC Physical Property Data'!$I$6</f>
        <v>52.224661236371581</v>
      </c>
      <c r="H61" s="1066">
        <v>7.8800725307970341</v>
      </c>
      <c r="I61" s="1066">
        <v>7.8800725307970341</v>
      </c>
      <c r="J61" s="1066">
        <v>7.8800725307970341</v>
      </c>
      <c r="K61" s="1066">
        <v>7.4431315976064605</v>
      </c>
      <c r="L61" s="1066">
        <v>8.8750360136942668</v>
      </c>
      <c r="M61" s="1066">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37">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37">
        <f>'AEO Data'!$C$30*BB61</f>
        <v>12.19817897537731</v>
      </c>
      <c r="BR61" s="872">
        <f>($BV61-$BQ61)/5+BQ61</f>
        <v>12.26790217329369</v>
      </c>
      <c r="BS61" s="260">
        <f t="shared" si="163"/>
        <v>12.33762537121007</v>
      </c>
      <c r="BT61" s="260">
        <f t="shared" si="163"/>
        <v>12.40734856912645</v>
      </c>
      <c r="BU61" s="260">
        <f t="shared" si="163"/>
        <v>12.47707176704283</v>
      </c>
      <c r="BV61" s="961">
        <f>'AEO Data'!$D$30*BQ61</f>
        <v>12.546794964959213</v>
      </c>
      <c r="BW61" s="1395">
        <f>+BV61*BW$135/BV$135</f>
        <v>12.588454013507333</v>
      </c>
      <c r="BX61" s="1395">
        <f t="shared" ref="BX61:CZ61" si="171">+BW61*BX$135/BW$135</f>
        <v>12.630251382346072</v>
      </c>
      <c r="BY61" s="1395">
        <f t="shared" si="171"/>
        <v>12.672187530739475</v>
      </c>
      <c r="BZ61" s="1395">
        <f t="shared" si="171"/>
        <v>12.714262919476461</v>
      </c>
      <c r="CA61" s="1395">
        <f t="shared" si="171"/>
        <v>12.75647801087592</v>
      </c>
      <c r="CB61" s="1395">
        <f t="shared" si="171"/>
        <v>12.78369941955669</v>
      </c>
      <c r="CC61" s="1395">
        <f t="shared" si="171"/>
        <v>12.810978916770198</v>
      </c>
      <c r="CD61" s="1395">
        <f t="shared" si="171"/>
        <v>12.838316626473205</v>
      </c>
      <c r="CE61" s="1395">
        <f t="shared" si="171"/>
        <v>12.865712672886987</v>
      </c>
      <c r="CF61" s="1395">
        <f t="shared" si="171"/>
        <v>12.893167180497899</v>
      </c>
      <c r="CG61" s="1395">
        <f t="shared" si="171"/>
        <v>12.90208148496421</v>
      </c>
      <c r="CH61" s="1395">
        <f t="shared" si="171"/>
        <v>12.911001952758973</v>
      </c>
      <c r="CI61" s="1395">
        <f t="shared" si="171"/>
        <v>12.919928588143499</v>
      </c>
      <c r="CJ61" s="1395">
        <f t="shared" si="171"/>
        <v>12.928861395382043</v>
      </c>
      <c r="CK61" s="1395">
        <f t="shared" si="171"/>
        <v>12.937800378741811</v>
      </c>
      <c r="CL61" s="1395">
        <f t="shared" si="171"/>
        <v>12.940830297296499</v>
      </c>
      <c r="CM61" s="1395">
        <f t="shared" si="171"/>
        <v>12.943860925431345</v>
      </c>
      <c r="CN61" s="1395">
        <f t="shared" si="171"/>
        <v>12.946892263312527</v>
      </c>
      <c r="CO61" s="1395">
        <f t="shared" si="171"/>
        <v>12.949924311106264</v>
      </c>
      <c r="CP61" s="1395">
        <f t="shared" si="171"/>
        <v>12.952957068978808</v>
      </c>
      <c r="CQ61" s="1395">
        <f t="shared" si="171"/>
        <v>12.957553504715802</v>
      </c>
      <c r="CR61" s="1395">
        <f t="shared" si="171"/>
        <v>12.962151571526023</v>
      </c>
      <c r="CS61" s="1395">
        <f t="shared" si="171"/>
        <v>12.966751269988269</v>
      </c>
      <c r="CT61" s="1395">
        <f t="shared" si="171"/>
        <v>12.971352600681538</v>
      </c>
      <c r="CU61" s="1395">
        <f t="shared" si="171"/>
        <v>12.975955564185037</v>
      </c>
      <c r="CV61" s="1395">
        <f t="shared" si="171"/>
        <v>12.983039544504583</v>
      </c>
      <c r="CW61" s="1395">
        <f t="shared" si="171"/>
        <v>12.990127392190731</v>
      </c>
      <c r="CX61" s="1395">
        <f t="shared" si="171"/>
        <v>12.997219109354795</v>
      </c>
      <c r="CY61" s="1395">
        <f t="shared" si="171"/>
        <v>13.004314698109246</v>
      </c>
      <c r="CZ61" s="1395">
        <f t="shared" si="171"/>
        <v>13.011414160567707</v>
      </c>
    </row>
    <row r="62" spans="1:104" ht="13" x14ac:dyDescent="0.3">
      <c r="A62" s="872" t="str">
        <f>'HyARC Physical Property Data'!A74</f>
        <v>Electric Utility Natural Gas</v>
      </c>
      <c r="B62" s="260">
        <v>2011</v>
      </c>
      <c r="C62" s="873">
        <f t="shared" si="165"/>
        <v>1.0784554773635862</v>
      </c>
      <c r="D62" s="1255" t="str">
        <f>'HyARC Physical Property Data'!H74</f>
        <v>mmBtu</v>
      </c>
      <c r="E62" s="873" t="s">
        <v>1057</v>
      </c>
      <c r="F62" s="260">
        <f>'HyARC Physical Property Data'!$E$6</f>
        <v>47.141269049911173</v>
      </c>
      <c r="G62" s="260">
        <f>'HyARC Physical Property Data'!$I$6</f>
        <v>52.224661236371581</v>
      </c>
      <c r="H62" s="1066">
        <v>6.9870463159656619</v>
      </c>
      <c r="I62" s="1066">
        <v>6.9870463159656619</v>
      </c>
      <c r="J62" s="1066">
        <v>6.9870463159656619</v>
      </c>
      <c r="K62" s="1066">
        <v>6.9519071777354364</v>
      </c>
      <c r="L62" s="1066">
        <v>9.0904707383294223</v>
      </c>
      <c r="M62" s="1066">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37">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37">
        <f>'AEO Data'!$C$30*BB62</f>
        <v>11.301159689909367</v>
      </c>
      <c r="BR62" s="872">
        <f>($BV62-$BQ62)/5+BQ62</f>
        <v>11.365755642742549</v>
      </c>
      <c r="BS62" s="260">
        <f t="shared" si="163"/>
        <v>11.430351595575731</v>
      </c>
      <c r="BT62" s="260">
        <f t="shared" si="163"/>
        <v>11.494947548408913</v>
      </c>
      <c r="BU62" s="260">
        <f t="shared" si="163"/>
        <v>11.559543501242095</v>
      </c>
      <c r="BV62" s="961">
        <f>'AEO Data'!$D$30*BQ62</f>
        <v>11.624139454075273</v>
      </c>
      <c r="BW62" s="1395">
        <f>+BV62*BW$136/BV$136</f>
        <v>11.662735015029273</v>
      </c>
      <c r="BX62" s="1395">
        <f t="shared" ref="BX62:CZ63" si="174">+BW62*BX$136/BW$136</f>
        <v>11.701458724594294</v>
      </c>
      <c r="BY62" s="1395">
        <f t="shared" si="174"/>
        <v>11.740311008261404</v>
      </c>
      <c r="BZ62" s="1395">
        <f t="shared" si="174"/>
        <v>11.779292292934432</v>
      </c>
      <c r="CA62" s="1395">
        <f t="shared" si="174"/>
        <v>11.818403006934647</v>
      </c>
      <c r="CB62" s="1395">
        <f t="shared" si="174"/>
        <v>11.843622630872503</v>
      </c>
      <c r="CC62" s="1395">
        <f t="shared" si="174"/>
        <v>11.868896071678103</v>
      </c>
      <c r="CD62" s="1395">
        <f t="shared" si="174"/>
        <v>11.894223444192779</v>
      </c>
      <c r="CE62" s="1395">
        <f t="shared" si="174"/>
        <v>11.919604863502929</v>
      </c>
      <c r="CF62" s="1395">
        <f t="shared" si="174"/>
        <v>11.94504044494054</v>
      </c>
      <c r="CG62" s="1395">
        <f t="shared" si="174"/>
        <v>11.95329921688524</v>
      </c>
      <c r="CH62" s="1395">
        <f t="shared" si="174"/>
        <v>11.961563698924795</v>
      </c>
      <c r="CI62" s="1395">
        <f t="shared" si="174"/>
        <v>11.969833895007156</v>
      </c>
      <c r="CJ62" s="1395">
        <f t="shared" si="174"/>
        <v>11.978109809082998</v>
      </c>
      <c r="CK62" s="1395">
        <f t="shared" si="174"/>
        <v>11.986391445105726</v>
      </c>
      <c r="CL62" s="1395">
        <f t="shared" si="174"/>
        <v>11.98919855209301</v>
      </c>
      <c r="CM62" s="1395">
        <f t="shared" si="174"/>
        <v>11.992006316479953</v>
      </c>
      <c r="CN62" s="1395">
        <f t="shared" si="174"/>
        <v>11.994814738420512</v>
      </c>
      <c r="CO62" s="1395">
        <f t="shared" si="174"/>
        <v>11.99762381806868</v>
      </c>
      <c r="CP62" s="1395">
        <f t="shared" si="174"/>
        <v>12.000433555578486</v>
      </c>
      <c r="CQ62" s="1395">
        <f t="shared" si="174"/>
        <v>12.00469198254312</v>
      </c>
      <c r="CR62" s="1395">
        <f t="shared" si="174"/>
        <v>12.008951920636509</v>
      </c>
      <c r="CS62" s="1395">
        <f t="shared" si="174"/>
        <v>12.013213370394887</v>
      </c>
      <c r="CT62" s="1395">
        <f t="shared" si="174"/>
        <v>12.017476332354676</v>
      </c>
      <c r="CU62" s="1395">
        <f t="shared" si="174"/>
        <v>12.021740807052488</v>
      </c>
      <c r="CV62" s="1395">
        <f t="shared" si="174"/>
        <v>12.028303851667012</v>
      </c>
      <c r="CW62" s="1395">
        <f t="shared" si="174"/>
        <v>12.034870479253032</v>
      </c>
      <c r="CX62" s="1395">
        <f t="shared" si="174"/>
        <v>12.041440691766601</v>
      </c>
      <c r="CY62" s="1395">
        <f t="shared" si="174"/>
        <v>12.048014491164842</v>
      </c>
      <c r="CZ62" s="1395">
        <f t="shared" si="174"/>
        <v>12.054591879405951</v>
      </c>
    </row>
    <row r="63" spans="1:104" ht="13" x14ac:dyDescent="0.3">
      <c r="A63" s="872" t="str">
        <f>'HyARC Physical Property Data'!A75</f>
        <v>Bio Methane</v>
      </c>
      <c r="B63" s="260">
        <v>2007</v>
      </c>
      <c r="C63" s="873">
        <f t="shared" si="165"/>
        <v>1.1446359956438654</v>
      </c>
      <c r="D63" s="1258" t="str">
        <f>'HyARC Physical Property Data'!H75</f>
        <v>mmBtu</v>
      </c>
      <c r="E63" s="873" t="s">
        <v>1057</v>
      </c>
      <c r="F63" s="260">
        <f>'HyARC Physical Property Data'!$E$6</f>
        <v>47.141269049911173</v>
      </c>
      <c r="G63" s="260">
        <f>'HyARC Physical Property Data'!$I$6</f>
        <v>52.224661236371581</v>
      </c>
      <c r="H63" s="1066">
        <v>12.42654028436019</v>
      </c>
      <c r="I63" s="1066">
        <v>12.42654028436019</v>
      </c>
      <c r="J63" s="1066">
        <v>12.42654028436019</v>
      </c>
      <c r="K63" s="1066">
        <v>12.42654028436019</v>
      </c>
      <c r="L63" s="1066">
        <v>12.42654028436019</v>
      </c>
      <c r="M63" s="1066">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72">
        <f t="shared" si="176"/>
        <v>14.223865310797228</v>
      </c>
      <c r="BS63" s="260">
        <f t="shared" si="176"/>
        <v>14.223865310797228</v>
      </c>
      <c r="BT63" s="260">
        <f t="shared" si="176"/>
        <v>14.223865310797228</v>
      </c>
      <c r="BU63" s="260">
        <f t="shared" si="176"/>
        <v>14.223865310797228</v>
      </c>
      <c r="BV63" s="875">
        <f t="shared" si="176"/>
        <v>14.223865310797228</v>
      </c>
      <c r="BW63" s="1395">
        <f>+BV63*BW$136/BV$136</f>
        <v>14.271092726019944</v>
      </c>
      <c r="BX63" s="1395">
        <f t="shared" si="174"/>
        <v>14.318476950147966</v>
      </c>
      <c r="BY63" s="1395">
        <f t="shared" si="174"/>
        <v>14.366018503832969</v>
      </c>
      <c r="BZ63" s="1395">
        <f t="shared" si="174"/>
        <v>14.413717909455341</v>
      </c>
      <c r="CA63" s="1395">
        <f t="shared" si="174"/>
        <v>14.461575691129934</v>
      </c>
      <c r="CB63" s="1395">
        <f t="shared" si="174"/>
        <v>14.49243565590395</v>
      </c>
      <c r="CC63" s="1395">
        <f t="shared" si="174"/>
        <v>14.523361473628309</v>
      </c>
      <c r="CD63" s="1395">
        <f t="shared" si="174"/>
        <v>14.554353284828478</v>
      </c>
      <c r="CE63" s="1395">
        <f t="shared" si="174"/>
        <v>14.585411230329802</v>
      </c>
      <c r="CF63" s="1395">
        <f t="shared" si="174"/>
        <v>14.616535451258134</v>
      </c>
      <c r="CG63" s="1395">
        <f t="shared" si="174"/>
        <v>14.626641288360148</v>
      </c>
      <c r="CH63" s="1395">
        <f t="shared" si="174"/>
        <v>14.636754112613382</v>
      </c>
      <c r="CI63" s="1395">
        <f t="shared" si="174"/>
        <v>14.646873928848736</v>
      </c>
      <c r="CJ63" s="1395">
        <f t="shared" si="174"/>
        <v>14.657000741900452</v>
      </c>
      <c r="CK63" s="1395">
        <f t="shared" si="174"/>
        <v>14.667134556606111</v>
      </c>
      <c r="CL63" s="1395">
        <f t="shared" si="174"/>
        <v>14.670569469948116</v>
      </c>
      <c r="CM63" s="1395">
        <f t="shared" si="174"/>
        <v>14.674005187716483</v>
      </c>
      <c r="CN63" s="1395">
        <f t="shared" si="174"/>
        <v>14.6774417100996</v>
      </c>
      <c r="CO63" s="1395">
        <f t="shared" si="174"/>
        <v>14.6808790372859</v>
      </c>
      <c r="CP63" s="1395">
        <f t="shared" si="174"/>
        <v>14.684317169463862</v>
      </c>
      <c r="CQ63" s="1395">
        <f t="shared" si="174"/>
        <v>14.689527988881515</v>
      </c>
      <c r="CR63" s="1395">
        <f t="shared" si="174"/>
        <v>14.69474065739019</v>
      </c>
      <c r="CS63" s="1395">
        <f t="shared" si="174"/>
        <v>14.699955175646044</v>
      </c>
      <c r="CT63" s="1395">
        <f t="shared" si="174"/>
        <v>14.705171544305472</v>
      </c>
      <c r="CU63" s="1395">
        <f t="shared" si="174"/>
        <v>14.710389764025104</v>
      </c>
      <c r="CV63" s="1395">
        <f t="shared" si="174"/>
        <v>14.718420626266095</v>
      </c>
      <c r="CW63" s="1395">
        <f t="shared" si="174"/>
        <v>14.726455872806168</v>
      </c>
      <c r="CX63" s="1395">
        <f t="shared" si="174"/>
        <v>14.734495506038849</v>
      </c>
      <c r="CY63" s="1395">
        <f t="shared" si="174"/>
        <v>14.74253952835897</v>
      </c>
      <c r="CZ63" s="1395">
        <f t="shared" si="174"/>
        <v>14.750587942162673</v>
      </c>
    </row>
    <row r="64" spans="1:104" ht="13" x14ac:dyDescent="0.3">
      <c r="A64" s="962" t="str">
        <f>'HyARC Physical Property Data'!A85</f>
        <v>Woody Biomass</v>
      </c>
      <c r="B64" s="260">
        <v>2005</v>
      </c>
      <c r="C64" s="873">
        <f>VLOOKUP(ref_year,DeflatorTable,2,FALSE)/VLOOKUP(B64,DeflatorTable,2,FALSE)</f>
        <v>1.2112501494873942</v>
      </c>
      <c r="D64" s="1257" t="str">
        <f>+'HyARC Physical Property Data'!$H$85</f>
        <v>kg</v>
      </c>
      <c r="E64" s="900" t="s">
        <v>1051</v>
      </c>
      <c r="F64" s="260">
        <f>'HyARC Physical Property Data'!$E$45</f>
        <v>19.551069237418005</v>
      </c>
      <c r="G64" s="260">
        <f>'HyARC Physical Property Data'!$I$45</f>
        <v>20.588656379262464</v>
      </c>
      <c r="H64" s="1066">
        <v>1.3438238843289665</v>
      </c>
      <c r="I64" s="1066">
        <v>1.3438238843289665</v>
      </c>
      <c r="J64" s="1066">
        <v>1.3438238843289665</v>
      </c>
      <c r="K64" s="1066">
        <v>1.3438238843289665</v>
      </c>
      <c r="L64" s="1066">
        <v>1.3438238843289665</v>
      </c>
      <c r="M64" s="1066">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72">
        <f>4.71*($C$64)</f>
        <v>5.7049882040856268</v>
      </c>
      <c r="BS64" s="260">
        <f>4.78*($C$64)</f>
        <v>5.7897757145497444</v>
      </c>
      <c r="BT64" s="260">
        <f>4.85*($C$64)</f>
        <v>5.8745632250138611</v>
      </c>
      <c r="BU64" s="260">
        <f>4.92*($C$64)</f>
        <v>5.9593507354779796</v>
      </c>
      <c r="BV64" s="875">
        <f>4.99*($C$64)</f>
        <v>6.0441382459420971</v>
      </c>
      <c r="BW64" s="1395">
        <f>+BV64*BW$137/BV$137</f>
        <v>6.0586659764672328</v>
      </c>
      <c r="BX64" s="1395">
        <f t="shared" ref="BX64:CZ64" si="177">+BW64*BX$137/BW$137</f>
        <v>6.0732286259412112</v>
      </c>
      <c r="BY64" s="1395">
        <f t="shared" si="177"/>
        <v>6.0878262782954495</v>
      </c>
      <c r="BZ64" s="1395">
        <f t="shared" si="177"/>
        <v>6.1024590176630999</v>
      </c>
      <c r="CA64" s="1395">
        <f t="shared" si="177"/>
        <v>6.1171269283795393</v>
      </c>
      <c r="CB64" s="1395">
        <f t="shared" si="177"/>
        <v>6.1299667153690152</v>
      </c>
      <c r="CC64" s="1395">
        <f t="shared" si="177"/>
        <v>6.1428334529403346</v>
      </c>
      <c r="CD64" s="1395">
        <f t="shared" si="177"/>
        <v>6.155727197662495</v>
      </c>
      <c r="CE64" s="1395">
        <f t="shared" si="177"/>
        <v>6.1686480062232301</v>
      </c>
      <c r="CF64" s="1395">
        <f t="shared" si="177"/>
        <v>6.18159593542926</v>
      </c>
      <c r="CG64" s="1395">
        <f t="shared" si="177"/>
        <v>6.197524392005751</v>
      </c>
      <c r="CH64" s="1395">
        <f t="shared" si="177"/>
        <v>6.2134938923080965</v>
      </c>
      <c r="CI64" s="1395">
        <f t="shared" si="177"/>
        <v>6.229504542095909</v>
      </c>
      <c r="CJ64" s="1395">
        <f t="shared" si="177"/>
        <v>6.245556447401321</v>
      </c>
      <c r="CK64" s="1395">
        <f t="shared" si="177"/>
        <v>6.2616497145296828</v>
      </c>
      <c r="CL64" s="1395">
        <f t="shared" si="177"/>
        <v>6.2750522655841658</v>
      </c>
      <c r="CM64" s="1395">
        <f t="shared" si="177"/>
        <v>6.2884835037072264</v>
      </c>
      <c r="CN64" s="1395">
        <f t="shared" si="177"/>
        <v>6.3019434903011975</v>
      </c>
      <c r="CO64" s="1395">
        <f t="shared" si="177"/>
        <v>6.3154322868998385</v>
      </c>
      <c r="CP64" s="1395">
        <f t="shared" si="177"/>
        <v>6.3289499551686168</v>
      </c>
      <c r="CQ64" s="1395">
        <f t="shared" si="177"/>
        <v>6.3413225489579119</v>
      </c>
      <c r="CR64" s="1395">
        <f t="shared" si="177"/>
        <v>6.3537193301840116</v>
      </c>
      <c r="CS64" s="1395">
        <f t="shared" si="177"/>
        <v>6.3661403461314299</v>
      </c>
      <c r="CT64" s="1395">
        <f t="shared" si="177"/>
        <v>6.3785856441771198</v>
      </c>
      <c r="CU64" s="1395">
        <f t="shared" si="177"/>
        <v>6.3910552717906537</v>
      </c>
      <c r="CV64" s="1395">
        <f t="shared" si="177"/>
        <v>6.4057772391562917</v>
      </c>
      <c r="CW64" s="1395">
        <f t="shared" si="177"/>
        <v>6.4205331189689208</v>
      </c>
      <c r="CX64" s="1395">
        <f t="shared" si="177"/>
        <v>6.4353229893467718</v>
      </c>
      <c r="CY64" s="1395">
        <f t="shared" si="177"/>
        <v>6.4501469285880244</v>
      </c>
      <c r="CZ64" s="1395">
        <f t="shared" si="177"/>
        <v>6.4650050151712186</v>
      </c>
    </row>
    <row r="65" spans="1:104" ht="13" x14ac:dyDescent="0.3">
      <c r="A65" s="908" t="str">
        <f>'HyARC Physical Property Data'!A79</f>
        <v>Electric Utility Steam Coal</v>
      </c>
      <c r="B65" s="260">
        <v>2011</v>
      </c>
      <c r="C65" s="873">
        <f>VLOOKUP(ref_year,DeflatorTable,2,FALSE)/VLOOKUP(B65,DeflatorTable,2,FALSE)</f>
        <v>1.0784554773635862</v>
      </c>
      <c r="D65" s="1257" t="str">
        <f>+'HyARC Physical Property Data'!$H$79</f>
        <v>kg</v>
      </c>
      <c r="E65" s="900" t="s">
        <v>1051</v>
      </c>
      <c r="F65" s="260">
        <f>'HyARC Physical Property Data'!$E$42</f>
        <v>22.7322030001394</v>
      </c>
      <c r="G65" s="260">
        <f>'HyARC Physical Property Data'!$I$42</f>
        <v>23.967615189707661</v>
      </c>
      <c r="H65" s="1066">
        <v>1.6359074751967535</v>
      </c>
      <c r="I65" s="1066">
        <v>1.6359074751967535</v>
      </c>
      <c r="J65" s="1066">
        <v>1.6359074751967535</v>
      </c>
      <c r="K65" s="1066">
        <v>1.6778298347292193</v>
      </c>
      <c r="L65" s="1066">
        <v>1.8315470257945772</v>
      </c>
      <c r="M65" s="1066">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37">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37">
        <f>('AEO Data'!$C$28*BB65)</f>
        <v>3.8250538787983337</v>
      </c>
      <c r="BR65" s="872">
        <f t="shared" ref="BR65:BU68" si="181">($BV65-$BQ65)/5+BQ65</f>
        <v>3.8373166225762918</v>
      </c>
      <c r="BS65" s="260">
        <f t="shared" si="181"/>
        <v>3.8495793663542499</v>
      </c>
      <c r="BT65" s="260">
        <f t="shared" si="181"/>
        <v>3.861842110132208</v>
      </c>
      <c r="BU65" s="260">
        <f t="shared" si="181"/>
        <v>3.8741048539101661</v>
      </c>
      <c r="BV65" s="961">
        <f>('AEO Data'!$D$28*BQ65)</f>
        <v>3.8863675976881238</v>
      </c>
      <c r="BW65" s="1395">
        <f>+BV65*BW$138/BV$138</f>
        <v>3.8995072326040932</v>
      </c>
      <c r="BX65" s="1395">
        <f t="shared" ref="BX65:CZ65" si="182">+BW65*BX$138/BW$138</f>
        <v>3.9126912920376582</v>
      </c>
      <c r="BY65" s="1395">
        <f t="shared" si="182"/>
        <v>3.9259199261861233</v>
      </c>
      <c r="BZ65" s="1395">
        <f t="shared" si="182"/>
        <v>3.9391932857546061</v>
      </c>
      <c r="CA65" s="1395">
        <f t="shared" si="182"/>
        <v>3.9525115219577494</v>
      </c>
      <c r="CB65" s="1395">
        <f t="shared" si="182"/>
        <v>3.9638281829885078</v>
      </c>
      <c r="CC65" s="1395">
        <f t="shared" si="182"/>
        <v>3.9751772453965106</v>
      </c>
      <c r="CD65" s="1395">
        <f t="shared" si="182"/>
        <v>3.9865588019519875</v>
      </c>
      <c r="CE65" s="1395">
        <f t="shared" si="182"/>
        <v>3.9979729456907847</v>
      </c>
      <c r="CF65" s="1395">
        <f t="shared" si="182"/>
        <v>4.0094197699151231</v>
      </c>
      <c r="CG65" s="1395">
        <f t="shared" si="182"/>
        <v>4.0181594321320722</v>
      </c>
      <c r="CH65" s="1395">
        <f t="shared" si="182"/>
        <v>4.0269181449099625</v>
      </c>
      <c r="CI65" s="1395">
        <f t="shared" si="182"/>
        <v>4.0356959497748699</v>
      </c>
      <c r="CJ65" s="1395">
        <f t="shared" si="182"/>
        <v>4.0444928883433882</v>
      </c>
      <c r="CK65" s="1395">
        <f t="shared" si="182"/>
        <v>4.0533090023228242</v>
      </c>
      <c r="CL65" s="1395">
        <f t="shared" si="182"/>
        <v>4.0592855925032651</v>
      </c>
      <c r="CM65" s="1395">
        <f t="shared" si="182"/>
        <v>4.0652709951453678</v>
      </c>
      <c r="CN65" s="1395">
        <f t="shared" si="182"/>
        <v>4.0712652232430759</v>
      </c>
      <c r="CO65" s="1395">
        <f t="shared" si="182"/>
        <v>4.0772682898094939</v>
      </c>
      <c r="CP65" s="1395">
        <f t="shared" si="182"/>
        <v>4.0832802078769133</v>
      </c>
      <c r="CQ65" s="1395">
        <f t="shared" si="182"/>
        <v>4.0852935052227286</v>
      </c>
      <c r="CR65" s="1395">
        <f t="shared" si="182"/>
        <v>4.0873077952425705</v>
      </c>
      <c r="CS65" s="1395">
        <f t="shared" si="182"/>
        <v>4.0893230784258847</v>
      </c>
      <c r="CT65" s="1395">
        <f t="shared" si="182"/>
        <v>4.0913393552623587</v>
      </c>
      <c r="CU65" s="1395">
        <f t="shared" si="182"/>
        <v>4.0933566262419232</v>
      </c>
      <c r="CV65" s="1395">
        <f t="shared" si="182"/>
        <v>4.0904573728021916</v>
      </c>
      <c r="CW65" s="1395">
        <f t="shared" si="182"/>
        <v>4.0875601728533422</v>
      </c>
      <c r="CX65" s="1395">
        <f t="shared" si="182"/>
        <v>4.0846650249409233</v>
      </c>
      <c r="CY65" s="1395">
        <f t="shared" si="182"/>
        <v>4.081771927611511</v>
      </c>
      <c r="CZ65" s="1395">
        <f t="shared" si="182"/>
        <v>4.0788808794127149</v>
      </c>
    </row>
    <row r="66" spans="1:104" ht="13" x14ac:dyDescent="0.3">
      <c r="A66" s="876" t="str">
        <f>'HyARC Physical Property Data'!A76</f>
        <v>Commercial Electricity</v>
      </c>
      <c r="B66" s="260">
        <v>2011</v>
      </c>
      <c r="C66" s="873">
        <f t="shared" si="165"/>
        <v>1.0784554773635862</v>
      </c>
      <c r="D66" s="1257" t="str">
        <f>'HyARC Physical Property Data'!$H$76</f>
        <v>kWh</v>
      </c>
      <c r="E66" s="873" t="s">
        <v>1070</v>
      </c>
      <c r="F66" s="877"/>
      <c r="G66" s="873"/>
      <c r="H66" s="1066">
        <v>26.764062885406638</v>
      </c>
      <c r="I66" s="1066">
        <v>26.764062885406638</v>
      </c>
      <c r="J66" s="1066">
        <v>26.764062885406638</v>
      </c>
      <c r="K66" s="1066">
        <v>26.478521097803213</v>
      </c>
      <c r="L66" s="1066">
        <v>27.879470162766175</v>
      </c>
      <c r="M66" s="1066">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37">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37">
        <f>'AEO Data'!$C$33*BB66</f>
        <v>33.192415256010214</v>
      </c>
      <c r="BR66" s="872">
        <f t="shared" si="181"/>
        <v>33.170065135939467</v>
      </c>
      <c r="BS66" s="260">
        <f t="shared" si="181"/>
        <v>33.147715015868719</v>
      </c>
      <c r="BT66" s="260">
        <f t="shared" si="181"/>
        <v>33.125364895797972</v>
      </c>
      <c r="BU66" s="260">
        <f t="shared" si="181"/>
        <v>33.103014775727225</v>
      </c>
      <c r="BV66" s="961">
        <f>'AEO Data'!$D$33*BQ66</f>
        <v>33.080664655656477</v>
      </c>
      <c r="BW66" s="1395">
        <f>+BV66*BW$139/BV$139</f>
        <v>33.066099114275488</v>
      </c>
      <c r="BX66" s="1395">
        <f t="shared" ref="BX66:CZ66" si="185">+BW66*BX$139/BW$139</f>
        <v>33.051539986157294</v>
      </c>
      <c r="BY66" s="1395">
        <f t="shared" si="185"/>
        <v>33.0369872684781</v>
      </c>
      <c r="BZ66" s="1395">
        <f t="shared" si="185"/>
        <v>33.022440958415373</v>
      </c>
      <c r="CA66" s="1395">
        <f t="shared" si="185"/>
        <v>33.007901053147819</v>
      </c>
      <c r="CB66" s="1395">
        <f t="shared" si="185"/>
        <v>32.98146223987488</v>
      </c>
      <c r="CC66" s="1395">
        <f t="shared" si="185"/>
        <v>32.955044603678495</v>
      </c>
      <c r="CD66" s="1395">
        <f t="shared" si="185"/>
        <v>32.928648127596141</v>
      </c>
      <c r="CE66" s="1395">
        <f t="shared" si="185"/>
        <v>32.902272794678915</v>
      </c>
      <c r="CF66" s="1395">
        <f t="shared" si="185"/>
        <v>32.875918587991457</v>
      </c>
      <c r="CG66" s="1395">
        <f t="shared" si="185"/>
        <v>32.839614191376278</v>
      </c>
      <c r="CH66" s="1395">
        <f t="shared" si="185"/>
        <v>32.803349885175919</v>
      </c>
      <c r="CI66" s="1395">
        <f t="shared" si="185"/>
        <v>32.767125625119114</v>
      </c>
      <c r="CJ66" s="1395">
        <f t="shared" si="185"/>
        <v>32.730941366983494</v>
      </c>
      <c r="CK66" s="1395">
        <f t="shared" si="185"/>
        <v>32.69479706659552</v>
      </c>
      <c r="CL66" s="1395">
        <f t="shared" si="185"/>
        <v>32.65539094584242</v>
      </c>
      <c r="CM66" s="1395">
        <f t="shared" si="185"/>
        <v>32.616032320180047</v>
      </c>
      <c r="CN66" s="1395">
        <f t="shared" si="185"/>
        <v>32.576721132363886</v>
      </c>
      <c r="CO66" s="1395">
        <f t="shared" si="185"/>
        <v>32.537457325218448</v>
      </c>
      <c r="CP66" s="1395">
        <f t="shared" si="185"/>
        <v>32.498240841637141</v>
      </c>
      <c r="CQ66" s="1395">
        <f t="shared" si="185"/>
        <v>32.452817913303896</v>
      </c>
      <c r="CR66" s="1395">
        <f t="shared" si="185"/>
        <v>32.407458472789216</v>
      </c>
      <c r="CS66" s="1395">
        <f t="shared" si="185"/>
        <v>32.362162431355912</v>
      </c>
      <c r="CT66" s="1395">
        <f t="shared" si="185"/>
        <v>32.31692970039083</v>
      </c>
      <c r="CU66" s="1395">
        <f t="shared" si="185"/>
        <v>32.271760191404653</v>
      </c>
      <c r="CV66" s="1395">
        <f t="shared" si="185"/>
        <v>32.22766670904133</v>
      </c>
      <c r="CW66" s="1395">
        <f t="shared" si="185"/>
        <v>32.183633472390525</v>
      </c>
      <c r="CX66" s="1395">
        <f t="shared" si="185"/>
        <v>32.139660399137448</v>
      </c>
      <c r="CY66" s="1395">
        <f t="shared" si="185"/>
        <v>32.09574740707977</v>
      </c>
      <c r="CZ66" s="1395">
        <f t="shared" si="185"/>
        <v>32.051894414127482</v>
      </c>
    </row>
    <row r="67" spans="1:104" ht="13" x14ac:dyDescent="0.3">
      <c r="A67" s="876" t="str">
        <f>'HyARC Physical Property Data'!A77</f>
        <v>Industrial Electricity</v>
      </c>
      <c r="B67" s="260">
        <v>2011</v>
      </c>
      <c r="C67" s="873">
        <f t="shared" si="165"/>
        <v>1.0784554773635862</v>
      </c>
      <c r="D67" s="1245" t="str">
        <f>'HyARC Physical Property Data'!$H$77</f>
        <v>kWh</v>
      </c>
      <c r="E67" s="873" t="s">
        <v>1070</v>
      </c>
      <c r="F67" s="884"/>
      <c r="G67" s="222"/>
      <c r="H67" s="1069">
        <v>17.365230901091444</v>
      </c>
      <c r="I67" s="1069">
        <v>17.365230901091444</v>
      </c>
      <c r="J67" s="1069">
        <v>17.365230901091444</v>
      </c>
      <c r="K67" s="1069">
        <v>17.575551809904887</v>
      </c>
      <c r="L67" s="1069">
        <v>19.530121721487372</v>
      </c>
      <c r="M67" s="1069">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37">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37">
        <f>'AEO Data'!$C$33*BB67</f>
        <v>23.45233216522044</v>
      </c>
      <c r="BR67" s="872">
        <f t="shared" si="181"/>
        <v>23.436540532228719</v>
      </c>
      <c r="BS67" s="260">
        <f t="shared" si="181"/>
        <v>23.420748899236997</v>
      </c>
      <c r="BT67" s="260">
        <f t="shared" si="181"/>
        <v>23.404957266245276</v>
      </c>
      <c r="BU67" s="260">
        <f t="shared" si="181"/>
        <v>23.389165633253555</v>
      </c>
      <c r="BV67" s="961">
        <f>'AEO Data'!$D$33*BQ67</f>
        <v>23.373374000261833</v>
      </c>
      <c r="BW67" s="1395">
        <f>+BV67*BW$140/BV$140</f>
        <v>23.380436490829396</v>
      </c>
      <c r="BX67" s="1395">
        <f t="shared" ref="BX67:CZ67" si="188">+BW67*BX$140/BW$140</f>
        <v>23.387501115396649</v>
      </c>
      <c r="BY67" s="1395">
        <f t="shared" si="188"/>
        <v>23.394567874608409</v>
      </c>
      <c r="BZ67" s="1395">
        <f t="shared" si="188"/>
        <v>23.401636769109679</v>
      </c>
      <c r="CA67" s="1395">
        <f t="shared" si="188"/>
        <v>23.408707799545656</v>
      </c>
      <c r="CB67" s="1395">
        <f t="shared" si="188"/>
        <v>23.406060454578945</v>
      </c>
      <c r="CC67" s="1395">
        <f t="shared" si="188"/>
        <v>23.403413409006607</v>
      </c>
      <c r="CD67" s="1395">
        <f t="shared" si="188"/>
        <v>23.40076666279478</v>
      </c>
      <c r="CE67" s="1395">
        <f t="shared" si="188"/>
        <v>23.398120215909611</v>
      </c>
      <c r="CF67" s="1395">
        <f t="shared" si="188"/>
        <v>23.395474068317245</v>
      </c>
      <c r="CG67" s="1395">
        <f t="shared" si="188"/>
        <v>23.384861674186023</v>
      </c>
      <c r="CH67" s="1395">
        <f t="shared" si="188"/>
        <v>23.374254093930716</v>
      </c>
      <c r="CI67" s="1395">
        <f t="shared" si="188"/>
        <v>23.363651325367709</v>
      </c>
      <c r="CJ67" s="1395">
        <f t="shared" si="188"/>
        <v>23.353053366314384</v>
      </c>
      <c r="CK67" s="1395">
        <f t="shared" si="188"/>
        <v>23.342460214589092</v>
      </c>
      <c r="CL67" s="1395">
        <f t="shared" si="188"/>
        <v>23.329464593323419</v>
      </c>
      <c r="CM67" s="1395">
        <f t="shared" si="188"/>
        <v>23.316476207206502</v>
      </c>
      <c r="CN67" s="1395">
        <f t="shared" si="188"/>
        <v>23.303495052210266</v>
      </c>
      <c r="CO67" s="1395">
        <f t="shared" si="188"/>
        <v>23.290521124308881</v>
      </c>
      <c r="CP67" s="1395">
        <f t="shared" si="188"/>
        <v>23.277554419478744</v>
      </c>
      <c r="CQ67" s="1395">
        <f t="shared" si="188"/>
        <v>23.259789388655847</v>
      </c>
      <c r="CR67" s="1395">
        <f t="shared" si="188"/>
        <v>23.242037915800186</v>
      </c>
      <c r="CS67" s="1395">
        <f t="shared" si="188"/>
        <v>23.224299990564553</v>
      </c>
      <c r="CT67" s="1395">
        <f t="shared" si="188"/>
        <v>23.206575602609636</v>
      </c>
      <c r="CU67" s="1395">
        <f t="shared" si="188"/>
        <v>23.188864741604011</v>
      </c>
      <c r="CV67" s="1395">
        <f t="shared" si="188"/>
        <v>23.17221317404951</v>
      </c>
      <c r="CW67" s="1395">
        <f t="shared" si="188"/>
        <v>23.155573563729877</v>
      </c>
      <c r="CX67" s="1395">
        <f t="shared" si="188"/>
        <v>23.138945902058804</v>
      </c>
      <c r="CY67" s="1395">
        <f t="shared" si="188"/>
        <v>23.122330180456149</v>
      </c>
      <c r="CZ67" s="1395">
        <f t="shared" si="188"/>
        <v>23.105726390347936</v>
      </c>
    </row>
    <row r="68" spans="1:104" ht="13.5" thickBot="1" x14ac:dyDescent="0.35">
      <c r="A68" s="878" t="str">
        <f>'HyARC Physical Property Data'!A78</f>
        <v>Residential Electricity</v>
      </c>
      <c r="B68" s="879">
        <v>2011</v>
      </c>
      <c r="C68" s="880">
        <f t="shared" si="165"/>
        <v>1.0784554773635862</v>
      </c>
      <c r="D68" s="1246" t="str">
        <f>'HyARC Physical Property Data'!$H$78</f>
        <v>kWh</v>
      </c>
      <c r="E68" s="880" t="s">
        <v>1070</v>
      </c>
      <c r="F68" s="885"/>
      <c r="G68" s="568"/>
      <c r="H68" s="1070">
        <v>29.433773538887177</v>
      </c>
      <c r="I68" s="1070">
        <v>29.433773538887177</v>
      </c>
      <c r="J68" s="1070">
        <v>29.433773538887177</v>
      </c>
      <c r="K68" s="1070">
        <v>29.415861064534436</v>
      </c>
      <c r="L68" s="1070">
        <v>30.500905105766051</v>
      </c>
      <c r="M68" s="1070">
        <v>30.574559070308627</v>
      </c>
      <c r="N68" s="568">
        <f t="shared" si="186"/>
        <v>37.231327558403592</v>
      </c>
      <c r="O68" s="568">
        <f t="shared" si="183"/>
        <v>37.029713542276902</v>
      </c>
      <c r="P68" s="568">
        <f t="shared" si="183"/>
        <v>35.904219072357151</v>
      </c>
      <c r="Q68" s="568">
        <f t="shared" si="183"/>
        <v>35.115964100941852</v>
      </c>
      <c r="R68" s="568">
        <f t="shared" si="183"/>
        <v>35.969434353528804</v>
      </c>
      <c r="S68" s="568">
        <f t="shared" si="183"/>
        <v>36.116413815172251</v>
      </c>
      <c r="T68" s="568">
        <f t="shared" si="183"/>
        <v>36.717853336521245</v>
      </c>
      <c r="U68" s="568">
        <f t="shared" si="183"/>
        <v>37.019523216471292</v>
      </c>
      <c r="V68" s="568">
        <f t="shared" si="183"/>
        <v>36.994572070547008</v>
      </c>
      <c r="W68" s="568">
        <f t="shared" si="183"/>
        <v>36.749885621109897</v>
      </c>
      <c r="X68" s="568">
        <f t="shared" si="183"/>
        <v>36.78085131323143</v>
      </c>
      <c r="Y68" s="568">
        <f t="shared" si="183"/>
        <v>36.866643524911183</v>
      </c>
      <c r="Z68" s="568">
        <f t="shared" si="183"/>
        <v>36.980382831831335</v>
      </c>
      <c r="AA68" s="568">
        <f t="shared" si="183"/>
        <v>37.011953537475684</v>
      </c>
      <c r="AB68" s="568">
        <f t="shared" si="183"/>
        <v>37.116621955375727</v>
      </c>
      <c r="AC68" s="568">
        <f t="shared" si="183"/>
        <v>37.450882759851702</v>
      </c>
      <c r="AD68" s="568">
        <f t="shared" si="183"/>
        <v>37.642585770141416</v>
      </c>
      <c r="AE68" s="568">
        <f t="shared" si="183"/>
        <v>37.813937247117813</v>
      </c>
      <c r="AF68" s="568">
        <f t="shared" si="183"/>
        <v>37.937612364350912</v>
      </c>
      <c r="AG68" s="568">
        <f t="shared" si="183"/>
        <v>38.109761898380555</v>
      </c>
      <c r="AH68" s="568">
        <f t="shared" si="183"/>
        <v>38.292401568838507</v>
      </c>
      <c r="AI68" s="568">
        <f t="shared" si="183"/>
        <v>38.52845390372385</v>
      </c>
      <c r="AJ68" s="568">
        <f t="shared" si="183"/>
        <v>38.699570277406174</v>
      </c>
      <c r="AK68" s="568">
        <f t="shared" si="183"/>
        <v>38.991412192591014</v>
      </c>
      <c r="AL68" s="568">
        <f t="shared" si="183"/>
        <v>39.480914506122524</v>
      </c>
      <c r="AM68" s="568">
        <f t="shared" si="183"/>
        <v>39.991294639240323</v>
      </c>
      <c r="AN68" s="568">
        <f t="shared" si="183"/>
        <v>40.444338686904082</v>
      </c>
      <c r="AO68" s="568">
        <f t="shared" si="183"/>
        <v>40.811228161847694</v>
      </c>
      <c r="AP68" s="568">
        <f t="shared" si="183"/>
        <v>41.155489483965269</v>
      </c>
      <c r="AQ68" s="568">
        <f t="shared" si="183"/>
        <v>41.648278929791786</v>
      </c>
      <c r="AR68" s="568">
        <f t="shared" si="183"/>
        <v>41.89880413718334</v>
      </c>
      <c r="AS68" s="879">
        <f t="shared" ref="AS68:BA68" si="189">($BB68-$AR68)/10+AR68</f>
        <v>41.608361021177913</v>
      </c>
      <c r="AT68" s="879">
        <f t="shared" si="189"/>
        <v>41.317917905172486</v>
      </c>
      <c r="AU68" s="879">
        <f t="shared" si="189"/>
        <v>41.027474789167059</v>
      </c>
      <c r="AV68" s="879">
        <f t="shared" si="189"/>
        <v>40.737031673161631</v>
      </c>
      <c r="AW68" s="879">
        <f t="shared" si="189"/>
        <v>40.446588557156204</v>
      </c>
      <c r="AX68" s="879">
        <f t="shared" si="189"/>
        <v>40.156145441150777</v>
      </c>
      <c r="AY68" s="879">
        <f t="shared" si="189"/>
        <v>39.86570232514535</v>
      </c>
      <c r="AZ68" s="879">
        <f t="shared" si="189"/>
        <v>39.575259209139922</v>
      </c>
      <c r="BA68" s="879">
        <f t="shared" si="189"/>
        <v>39.284816093134495</v>
      </c>
      <c r="BB68" s="966">
        <f>'AEO Data'!$B$33*AM68</f>
        <v>38.994372977129068</v>
      </c>
      <c r="BC68" s="879">
        <f>($BQ68-$BB68)/15+BB68</f>
        <v>39.017092027346592</v>
      </c>
      <c r="BD68" s="879">
        <f t="shared" si="180"/>
        <v>39.039811077564117</v>
      </c>
      <c r="BE68" s="879">
        <f t="shared" si="180"/>
        <v>39.062530127781642</v>
      </c>
      <c r="BF68" s="879">
        <f t="shared" si="180"/>
        <v>39.085249177999167</v>
      </c>
      <c r="BG68" s="879">
        <f t="shared" si="180"/>
        <v>39.107968228216691</v>
      </c>
      <c r="BH68" s="879">
        <f t="shared" si="180"/>
        <v>39.130687278434216</v>
      </c>
      <c r="BI68" s="879">
        <f t="shared" si="180"/>
        <v>39.153406328651741</v>
      </c>
      <c r="BJ68" s="879">
        <f t="shared" si="180"/>
        <v>39.176125378869266</v>
      </c>
      <c r="BK68" s="879">
        <f t="shared" si="180"/>
        <v>39.19884442908679</v>
      </c>
      <c r="BL68" s="879">
        <f t="shared" si="180"/>
        <v>39.221563479304315</v>
      </c>
      <c r="BM68" s="879">
        <f t="shared" si="180"/>
        <v>39.24428252952184</v>
      </c>
      <c r="BN68" s="879">
        <f t="shared" si="180"/>
        <v>39.267001579739365</v>
      </c>
      <c r="BO68" s="879">
        <f t="shared" si="180"/>
        <v>39.289720629956889</v>
      </c>
      <c r="BP68" s="879">
        <f t="shared" si="180"/>
        <v>39.312439680174414</v>
      </c>
      <c r="BQ68" s="966">
        <f>'AEO Data'!$C$33*BB68</f>
        <v>39.335158730391903</v>
      </c>
      <c r="BR68" s="974">
        <f t="shared" si="181"/>
        <v>39.30867239265946</v>
      </c>
      <c r="BS68" s="879">
        <f t="shared" si="181"/>
        <v>39.282186054927017</v>
      </c>
      <c r="BT68" s="879">
        <f t="shared" si="181"/>
        <v>39.255699717194574</v>
      </c>
      <c r="BU68" s="879">
        <f t="shared" si="181"/>
        <v>39.229213379462131</v>
      </c>
      <c r="BV68" s="967">
        <f>'AEO Data'!$D$33*BQ68</f>
        <v>39.202727041729688</v>
      </c>
      <c r="BW68" s="1395">
        <f>+BV68*BW$141/BV$141</f>
        <v>39.185465933196419</v>
      </c>
      <c r="BX68" s="1395">
        <f t="shared" ref="BX68:CZ68" si="190">+BW68*BX$141/BW$141</f>
        <v>39.168212424794326</v>
      </c>
      <c r="BY68" s="1395">
        <f t="shared" si="190"/>
        <v>39.150966513177039</v>
      </c>
      <c r="BZ68" s="1395">
        <f t="shared" si="190"/>
        <v>39.133728194999662</v>
      </c>
      <c r="CA68" s="1395">
        <f t="shared" si="190"/>
        <v>39.11649746691878</v>
      </c>
      <c r="CB68" s="1395">
        <f t="shared" si="190"/>
        <v>39.085165763313817</v>
      </c>
      <c r="CC68" s="1395">
        <f t="shared" si="190"/>
        <v>39.053859155914154</v>
      </c>
      <c r="CD68" s="1395">
        <f t="shared" si="190"/>
        <v>39.022577624618116</v>
      </c>
      <c r="CE68" s="1395">
        <f t="shared" si="190"/>
        <v>38.991321149340131</v>
      </c>
      <c r="CF68" s="1395">
        <f t="shared" si="190"/>
        <v>38.960089710010728</v>
      </c>
      <c r="CG68" s="1395">
        <f t="shared" si="190"/>
        <v>38.917066652108652</v>
      </c>
      <c r="CH68" s="1395">
        <f t="shared" si="190"/>
        <v>38.874091103940906</v>
      </c>
      <c r="CI68" s="1395">
        <f t="shared" si="190"/>
        <v>38.831163013043174</v>
      </c>
      <c r="CJ68" s="1395">
        <f t="shared" si="190"/>
        <v>38.788282327009078</v>
      </c>
      <c r="CK68" s="1395">
        <f t="shared" si="190"/>
        <v>38.745448993490129</v>
      </c>
      <c r="CL68" s="1395">
        <f t="shared" si="190"/>
        <v>38.698750191886909</v>
      </c>
      <c r="CM68" s="1395">
        <f t="shared" si="190"/>
        <v>38.652107675037847</v>
      </c>
      <c r="CN68" s="1395">
        <f t="shared" si="190"/>
        <v>38.605521375104502</v>
      </c>
      <c r="CO68" s="1395">
        <f t="shared" si="190"/>
        <v>38.558991224330207</v>
      </c>
      <c r="CP68" s="1395">
        <f t="shared" si="190"/>
        <v>38.512517155039959</v>
      </c>
      <c r="CQ68" s="1395">
        <f t="shared" si="190"/>
        <v>38.45868804732946</v>
      </c>
      <c r="CR68" s="1395">
        <f t="shared" si="190"/>
        <v>38.404934176789915</v>
      </c>
      <c r="CS68" s="1395">
        <f t="shared" si="190"/>
        <v>38.351255438262001</v>
      </c>
      <c r="CT68" s="1395">
        <f t="shared" si="190"/>
        <v>38.297651726733392</v>
      </c>
      <c r="CU68" s="1395">
        <f t="shared" si="190"/>
        <v>38.244122937338538</v>
      </c>
      <c r="CV68" s="1395">
        <f t="shared" si="190"/>
        <v>38.191869309081618</v>
      </c>
      <c r="CW68" s="1395">
        <f t="shared" si="190"/>
        <v>38.139687075890301</v>
      </c>
      <c r="CX68" s="1395">
        <f t="shared" si="190"/>
        <v>38.087576140216228</v>
      </c>
      <c r="CY68" s="1395">
        <f t="shared" si="190"/>
        <v>38.03553640464434</v>
      </c>
      <c r="CZ68" s="1395">
        <f t="shared" si="190"/>
        <v>37.983567771892652</v>
      </c>
    </row>
    <row r="69" spans="1:104" ht="13" thickTop="1" x14ac:dyDescent="0.25">
      <c r="D69" s="1093"/>
    </row>
    <row r="70" spans="1:104" ht="13" thickBot="1" x14ac:dyDescent="0.3">
      <c r="D70" s="1093"/>
      <c r="E70" s="973"/>
    </row>
    <row r="71" spans="1:104" s="1050" customFormat="1" ht="13" x14ac:dyDescent="0.3">
      <c r="A71" s="1046" t="s">
        <v>1111</v>
      </c>
      <c r="B71" s="1047"/>
      <c r="C71" s="1048"/>
      <c r="D71" s="1249"/>
      <c r="E71" s="1048"/>
      <c r="F71" s="1047"/>
      <c r="G71" s="1047"/>
      <c r="H71" s="1047"/>
      <c r="I71" s="1047"/>
      <c r="J71" s="1047"/>
      <c r="K71" s="1047"/>
      <c r="L71" s="1047"/>
      <c r="M71" s="1047"/>
      <c r="N71" s="1047"/>
      <c r="O71" s="1047"/>
      <c r="P71" s="1047"/>
      <c r="Q71" s="1047"/>
      <c r="R71" s="1047"/>
      <c r="S71" s="1047"/>
      <c r="T71" s="1047"/>
      <c r="U71" s="1047"/>
      <c r="V71" s="1047"/>
      <c r="W71" s="1047"/>
      <c r="X71" s="1047"/>
      <c r="Y71" s="1047"/>
      <c r="Z71" s="1047"/>
      <c r="AA71" s="1047"/>
      <c r="AB71" s="1047"/>
      <c r="AC71" s="1047"/>
      <c r="AD71" s="1047"/>
      <c r="AE71" s="1047"/>
      <c r="AF71" s="1047"/>
      <c r="AG71" s="1047"/>
      <c r="AH71" s="1047"/>
      <c r="AI71" s="1047"/>
      <c r="AJ71" s="1047"/>
      <c r="AK71" s="1047"/>
      <c r="AL71" s="1047"/>
      <c r="AM71" s="1047"/>
      <c r="AN71" s="1047"/>
      <c r="AO71" s="1047"/>
      <c r="AP71" s="1047"/>
      <c r="AQ71" s="1047"/>
      <c r="AR71" s="1047"/>
      <c r="AS71" s="1047"/>
      <c r="AT71" s="1047"/>
      <c r="AU71" s="1047"/>
      <c r="AV71" s="1047"/>
      <c r="AW71" s="1047"/>
      <c r="AX71" s="1047"/>
      <c r="AY71" s="1047"/>
      <c r="AZ71" s="1047"/>
      <c r="BA71" s="1047"/>
      <c r="BB71" s="1047"/>
      <c r="BC71" s="1047"/>
      <c r="BD71" s="1047"/>
      <c r="BE71" s="1047"/>
      <c r="BF71" s="1047"/>
      <c r="BG71" s="1047"/>
      <c r="BH71" s="1047"/>
      <c r="BI71" s="1047"/>
      <c r="BJ71" s="1047"/>
      <c r="BK71" s="1047"/>
      <c r="BL71" s="1047"/>
      <c r="BM71" s="1047"/>
      <c r="BN71" s="1047"/>
      <c r="BO71" s="1047"/>
      <c r="BP71" s="1047"/>
      <c r="BQ71" s="1047"/>
      <c r="BR71" s="1047"/>
      <c r="BS71" s="1047"/>
      <c r="BT71" s="1047"/>
      <c r="BU71" s="1047"/>
      <c r="BV71" s="1049"/>
    </row>
    <row r="72" spans="1:104" s="1050" customFormat="1" ht="13" x14ac:dyDescent="0.3">
      <c r="A72" s="1051" t="s">
        <v>1108</v>
      </c>
      <c r="B72" s="1052"/>
      <c r="C72" s="1053"/>
      <c r="D72" s="1250"/>
      <c r="E72" s="1053"/>
      <c r="F72" s="1052"/>
      <c r="G72" s="1052"/>
      <c r="H72" s="1052"/>
      <c r="I72" s="1052"/>
      <c r="J72" s="1052"/>
      <c r="K72" s="1052"/>
      <c r="L72" s="1052"/>
      <c r="M72" s="1052"/>
      <c r="N72" s="1052"/>
      <c r="O72" s="1052"/>
      <c r="P72" s="1052"/>
      <c r="Q72" s="1052"/>
      <c r="R72" s="1052"/>
      <c r="S72" s="1052"/>
      <c r="T72" s="1052"/>
      <c r="U72" s="1052"/>
      <c r="V72" s="1052"/>
      <c r="W72" s="1052"/>
      <c r="X72" s="1052"/>
      <c r="Y72" s="1052"/>
      <c r="Z72" s="1052"/>
      <c r="AA72" s="1052"/>
      <c r="AB72" s="1052"/>
      <c r="AC72" s="1052"/>
      <c r="AD72" s="1052"/>
      <c r="AE72" s="1052"/>
      <c r="AF72" s="1052"/>
      <c r="AG72" s="1052"/>
      <c r="AH72" s="1052"/>
      <c r="AI72" s="1052"/>
      <c r="AJ72" s="1052"/>
      <c r="AK72" s="1052"/>
      <c r="AL72" s="1052"/>
      <c r="AM72" s="1052"/>
      <c r="AN72" s="1052"/>
      <c r="AO72" s="1052"/>
      <c r="AP72" s="1052"/>
      <c r="AQ72" s="1052"/>
      <c r="AR72" s="1052"/>
      <c r="AS72" s="1052"/>
      <c r="AT72" s="1052"/>
      <c r="AU72" s="1052"/>
      <c r="AV72" s="1052"/>
      <c r="AW72" s="1052"/>
      <c r="AX72" s="1052"/>
      <c r="AY72" s="1052"/>
      <c r="AZ72" s="1052"/>
      <c r="BA72" s="1052"/>
      <c r="BB72" s="1052"/>
      <c r="BC72" s="1052"/>
      <c r="BD72" s="1052"/>
      <c r="BE72" s="1052"/>
      <c r="BF72" s="1052"/>
      <c r="BG72" s="1052"/>
      <c r="BH72" s="1052"/>
      <c r="BI72" s="1052"/>
      <c r="BJ72" s="1052"/>
      <c r="BK72" s="1052"/>
      <c r="BL72" s="1052"/>
      <c r="BM72" s="1052"/>
      <c r="BN72" s="1052"/>
      <c r="BO72" s="1052"/>
      <c r="BP72" s="1052"/>
      <c r="BQ72" s="1052"/>
      <c r="BR72" s="1052"/>
      <c r="BS72" s="1052"/>
      <c r="BT72" s="1052"/>
      <c r="BU72" s="1052"/>
      <c r="BV72" s="1054"/>
    </row>
    <row r="73" spans="1:104" s="1050" customFormat="1" x14ac:dyDescent="0.25">
      <c r="A73" s="1055"/>
      <c r="B73" s="1052"/>
      <c r="C73" s="1053"/>
      <c r="D73" s="1250"/>
      <c r="E73" s="1071"/>
      <c r="F73" s="1052"/>
      <c r="G73" s="1052"/>
      <c r="H73" s="1052"/>
      <c r="I73" s="1052"/>
      <c r="J73" s="1052"/>
      <c r="K73" s="1052"/>
      <c r="L73" s="1052"/>
      <c r="M73" s="1052"/>
      <c r="N73" s="1052"/>
      <c r="O73" s="1052"/>
      <c r="P73" s="1052"/>
      <c r="Q73" s="1052"/>
      <c r="R73" s="1052"/>
      <c r="S73" s="1052"/>
      <c r="T73" s="1052"/>
      <c r="U73" s="1052"/>
      <c r="V73" s="1052"/>
      <c r="W73" s="1052"/>
      <c r="X73" s="1052"/>
      <c r="Y73" s="1052"/>
      <c r="Z73" s="1052"/>
      <c r="AA73" s="1052"/>
      <c r="AB73" s="1052"/>
      <c r="AC73" s="1052"/>
      <c r="AD73" s="1052"/>
      <c r="AE73" s="1052"/>
      <c r="AF73" s="1052"/>
      <c r="AG73" s="1052"/>
      <c r="AH73" s="1052"/>
      <c r="AI73" s="1052"/>
      <c r="AJ73" s="1052"/>
      <c r="AK73" s="1052"/>
      <c r="AL73" s="1052"/>
      <c r="AM73" s="1052"/>
      <c r="AN73" s="1052"/>
      <c r="AO73" s="1052"/>
      <c r="AP73" s="1052"/>
      <c r="AQ73" s="1052"/>
      <c r="AR73" s="1052"/>
      <c r="AS73" s="1052"/>
      <c r="AT73" s="1052"/>
      <c r="AU73" s="1052"/>
      <c r="AV73" s="1052"/>
      <c r="AW73" s="1052"/>
      <c r="AX73" s="1052"/>
      <c r="AY73" s="1052"/>
      <c r="AZ73" s="1052"/>
      <c r="BA73" s="1052"/>
      <c r="BB73" s="1052"/>
      <c r="BC73" s="1052"/>
      <c r="BD73" s="1052"/>
      <c r="BE73" s="1052"/>
      <c r="BF73" s="1052"/>
      <c r="BG73" s="1052"/>
      <c r="BH73" s="1052"/>
      <c r="BI73" s="1052"/>
      <c r="BJ73" s="1052"/>
      <c r="BK73" s="1052"/>
      <c r="BL73" s="1052"/>
      <c r="BM73" s="1052"/>
      <c r="BN73" s="1052"/>
      <c r="BO73" s="1052"/>
      <c r="BP73" s="1052"/>
      <c r="BQ73" s="1052"/>
      <c r="BR73" s="1052"/>
      <c r="BS73" s="1052"/>
      <c r="BT73" s="1052"/>
      <c r="BU73" s="1052"/>
      <c r="BV73" s="1054"/>
    </row>
    <row r="74" spans="1:104" s="1050" customFormat="1" x14ac:dyDescent="0.25">
      <c r="A74" s="1055" t="s">
        <v>681</v>
      </c>
      <c r="B74" s="1052"/>
      <c r="C74" s="1053"/>
      <c r="D74" s="1250"/>
      <c r="E74" s="1053"/>
      <c r="F74" s="1052"/>
      <c r="G74" s="1052"/>
      <c r="H74" s="1052"/>
      <c r="I74" s="1052"/>
      <c r="J74" s="1052"/>
      <c r="K74" s="1052"/>
      <c r="L74" s="1052"/>
      <c r="M74" s="1052"/>
      <c r="N74" s="1056">
        <v>11.359373</v>
      </c>
      <c r="O74" s="1056">
        <v>10.802343</v>
      </c>
      <c r="P74" s="1056">
        <v>10.473763999999999</v>
      </c>
      <c r="Q74" s="1056">
        <v>10.501935</v>
      </c>
      <c r="R74" s="1056">
        <v>10.334021999999999</v>
      </c>
      <c r="S74" s="1056">
        <v>10.229792</v>
      </c>
      <c r="T74" s="1056">
        <v>10.748874000000001</v>
      </c>
      <c r="U74" s="1056">
        <v>11.092333999999999</v>
      </c>
      <c r="V74" s="1056">
        <v>11.515472000000001</v>
      </c>
      <c r="W74" s="1056">
        <v>11.774895000000001</v>
      </c>
      <c r="X74" s="1056">
        <v>11.996413</v>
      </c>
      <c r="Y74" s="1056">
        <v>12.209519999999999</v>
      </c>
      <c r="Z74" s="1056">
        <v>12.479982</v>
      </c>
      <c r="AA74" s="1056">
        <v>12.729352</v>
      </c>
      <c r="AB74" s="1056">
        <v>12.853237999999999</v>
      </c>
      <c r="AC74" s="1056">
        <v>13.018173000000001</v>
      </c>
      <c r="AD74" s="1056">
        <v>13.212711000000001</v>
      </c>
      <c r="AE74" s="1056">
        <v>13.366512</v>
      </c>
      <c r="AF74" s="1056">
        <v>13.603230999999999</v>
      </c>
      <c r="AG74" s="1056">
        <v>13.784504</v>
      </c>
      <c r="AH74" s="1056">
        <v>13.991047</v>
      </c>
      <c r="AI74" s="1056">
        <v>14.231726</v>
      </c>
      <c r="AJ74" s="1056">
        <v>14.577776</v>
      </c>
      <c r="AK74" s="1056">
        <v>14.956607999999999</v>
      </c>
      <c r="AL74" s="1056">
        <v>15.347963</v>
      </c>
      <c r="AM74" s="1056">
        <v>15.708157999999999</v>
      </c>
      <c r="AN74" s="1056">
        <v>16.169785000000001</v>
      </c>
      <c r="AO74" s="1056">
        <v>16.471478000000001</v>
      </c>
      <c r="AP74" s="1056">
        <v>16.949921</v>
      </c>
      <c r="AQ74" s="1056">
        <v>17.380462999999999</v>
      </c>
      <c r="AR74" s="1056">
        <v>17.673891000000001</v>
      </c>
      <c r="AS74" s="1052"/>
      <c r="AT74" s="1052"/>
      <c r="AU74" s="1052"/>
      <c r="AV74" s="1052"/>
      <c r="AW74" s="1052"/>
      <c r="AX74" s="1052"/>
      <c r="AY74" s="1052"/>
      <c r="AZ74" s="1052"/>
      <c r="BA74" s="1052"/>
      <c r="BB74" s="1052"/>
      <c r="BC74" s="1052"/>
      <c r="BD74" s="1052"/>
      <c r="BE74" s="1052"/>
      <c r="BF74" s="1052"/>
      <c r="BG74" s="1052"/>
      <c r="BH74" s="1052"/>
      <c r="BI74" s="1052"/>
      <c r="BJ74" s="1052"/>
      <c r="BK74" s="1052"/>
      <c r="BL74" s="1052"/>
      <c r="BM74" s="1052"/>
      <c r="BN74" s="1052"/>
      <c r="BO74" s="1052"/>
      <c r="BP74" s="1052"/>
      <c r="BQ74" s="1052"/>
      <c r="BR74" s="1052"/>
      <c r="BS74" s="1052"/>
      <c r="BT74" s="1052"/>
      <c r="BU74" s="1052"/>
      <c r="BV74" s="1054"/>
    </row>
    <row r="75" spans="1:104" s="1050" customFormat="1" x14ac:dyDescent="0.25">
      <c r="A75" s="1055" t="s">
        <v>1084</v>
      </c>
      <c r="B75" s="1052"/>
      <c r="C75" s="1053"/>
      <c r="D75" s="1250"/>
      <c r="E75" s="1053"/>
      <c r="F75" s="1052"/>
      <c r="G75" s="1052"/>
      <c r="H75" s="1052"/>
      <c r="I75" s="1052"/>
      <c r="J75" s="1052"/>
      <c r="K75" s="1052"/>
      <c r="L75" s="1052"/>
      <c r="M75" s="1052"/>
      <c r="N75" s="1056">
        <v>9.3969749999999994</v>
      </c>
      <c r="O75" s="1056">
        <v>8.8368559999999992</v>
      </c>
      <c r="P75" s="1056">
        <v>8.081448</v>
      </c>
      <c r="Q75" s="1056">
        <v>8.4844790000000003</v>
      </c>
      <c r="R75" s="1056">
        <v>8.3155520000000003</v>
      </c>
      <c r="S75" s="1056">
        <v>8.1773039999999995</v>
      </c>
      <c r="T75" s="1056">
        <v>8.6431299999999993</v>
      </c>
      <c r="U75" s="1056">
        <v>8.9205120000000004</v>
      </c>
      <c r="V75" s="1056">
        <v>9.2811249999999994</v>
      </c>
      <c r="W75" s="1056">
        <v>9.4920469999999995</v>
      </c>
      <c r="X75" s="1056">
        <v>9.6757190000000008</v>
      </c>
      <c r="Y75" s="1056">
        <v>9.8498520000000003</v>
      </c>
      <c r="Z75" s="1056">
        <v>10.083444999999999</v>
      </c>
      <c r="AA75" s="1056">
        <v>10.292596</v>
      </c>
      <c r="AB75" s="1056">
        <v>10.386177</v>
      </c>
      <c r="AC75" s="1056">
        <v>10.522978999999999</v>
      </c>
      <c r="AD75" s="1056">
        <v>10.688981999999999</v>
      </c>
      <c r="AE75" s="1056">
        <v>10.803459999999999</v>
      </c>
      <c r="AF75" s="1056">
        <v>10.994071</v>
      </c>
      <c r="AG75" s="1056">
        <v>11.132752999999999</v>
      </c>
      <c r="AH75" s="1056">
        <v>11.290343</v>
      </c>
      <c r="AI75" s="1056">
        <v>11.483471</v>
      </c>
      <c r="AJ75" s="1056">
        <v>11.774739</v>
      </c>
      <c r="AK75" s="1056">
        <v>12.104623999999999</v>
      </c>
      <c r="AL75" s="1056">
        <v>12.443429</v>
      </c>
      <c r="AM75" s="1056">
        <v>12.746489</v>
      </c>
      <c r="AN75" s="1056">
        <v>13.159888</v>
      </c>
      <c r="AO75" s="1056">
        <v>13.417020000000001</v>
      </c>
      <c r="AP75" s="1056">
        <v>13.853782000000001</v>
      </c>
      <c r="AQ75" s="1056">
        <v>14.239846</v>
      </c>
      <c r="AR75" s="1056">
        <v>14.480893</v>
      </c>
      <c r="AS75" s="1052"/>
      <c r="AT75" s="1052"/>
      <c r="AU75" s="1052"/>
      <c r="AV75" s="1052"/>
      <c r="AW75" s="1052"/>
      <c r="AX75" s="1052"/>
      <c r="AY75" s="1052"/>
      <c r="AZ75" s="1052"/>
      <c r="BA75" s="1052"/>
      <c r="BB75" s="1052"/>
      <c r="BC75" s="1052"/>
      <c r="BD75" s="1052"/>
      <c r="BE75" s="1052"/>
      <c r="BF75" s="1052"/>
      <c r="BG75" s="1052"/>
      <c r="BH75" s="1052"/>
      <c r="BI75" s="1052"/>
      <c r="BJ75" s="1052"/>
      <c r="BK75" s="1052"/>
      <c r="BL75" s="1052"/>
      <c r="BM75" s="1052"/>
      <c r="BN75" s="1052"/>
      <c r="BO75" s="1052"/>
      <c r="BP75" s="1052"/>
      <c r="BQ75" s="1052"/>
      <c r="BR75" s="1052"/>
      <c r="BS75" s="1052"/>
      <c r="BT75" s="1052"/>
      <c r="BU75" s="1052"/>
      <c r="BV75" s="1054"/>
    </row>
    <row r="76" spans="1:104" s="1050" customFormat="1" x14ac:dyDescent="0.25">
      <c r="A76" s="1055" t="s">
        <v>283</v>
      </c>
      <c r="B76" s="1052"/>
      <c r="C76" s="1053"/>
      <c r="D76" s="1250"/>
      <c r="E76" s="1053"/>
      <c r="F76" s="1052"/>
      <c r="G76" s="1052"/>
      <c r="H76" s="1052"/>
      <c r="I76" s="1052"/>
      <c r="J76" s="1052"/>
      <c r="K76" s="1052"/>
      <c r="L76" s="1052"/>
      <c r="M76" s="1052"/>
      <c r="N76" s="1056">
        <v>5.4839570000000002</v>
      </c>
      <c r="O76" s="1056">
        <v>4.8889880000000003</v>
      </c>
      <c r="P76" s="1056">
        <v>3.7668759999999999</v>
      </c>
      <c r="Q76" s="1056">
        <v>4.3500249999999996</v>
      </c>
      <c r="R76" s="1056">
        <v>4.4161510000000002</v>
      </c>
      <c r="S76" s="1056">
        <v>4.4533610000000001</v>
      </c>
      <c r="T76" s="1056">
        <v>4.916512</v>
      </c>
      <c r="U76" s="1056">
        <v>5.1321560000000002</v>
      </c>
      <c r="V76" s="1056">
        <v>5.3872429999999998</v>
      </c>
      <c r="W76" s="1056">
        <v>5.5533659999999996</v>
      </c>
      <c r="X76" s="1056">
        <v>5.6994189999999998</v>
      </c>
      <c r="Y76" s="1056">
        <v>5.84443</v>
      </c>
      <c r="Z76" s="1056">
        <v>6.055364</v>
      </c>
      <c r="AA76" s="1056">
        <v>6.2505249999999997</v>
      </c>
      <c r="AB76" s="1056">
        <v>6.3249610000000001</v>
      </c>
      <c r="AC76" s="1056">
        <v>6.4443630000000001</v>
      </c>
      <c r="AD76" s="1056">
        <v>6.5689469999999996</v>
      </c>
      <c r="AE76" s="1056">
        <v>6.6624569999999999</v>
      </c>
      <c r="AF76" s="1056">
        <v>6.8533949999999999</v>
      </c>
      <c r="AG76" s="1056">
        <v>6.9821</v>
      </c>
      <c r="AH76" s="1056">
        <v>7.1203779999999997</v>
      </c>
      <c r="AI76" s="1056">
        <v>7.3037179999999999</v>
      </c>
      <c r="AJ76" s="1056">
        <v>7.5896039999999996</v>
      </c>
      <c r="AK76" s="1056">
        <v>7.9110909999999999</v>
      </c>
      <c r="AL76" s="1056">
        <v>8.2410040000000002</v>
      </c>
      <c r="AM76" s="1056">
        <v>8.5300290000000007</v>
      </c>
      <c r="AN76" s="1056">
        <v>8.90123</v>
      </c>
      <c r="AO76" s="1056">
        <v>9.1114479999999993</v>
      </c>
      <c r="AP76" s="1056">
        <v>9.4914550000000002</v>
      </c>
      <c r="AQ76" s="1056">
        <v>9.8126739999999995</v>
      </c>
      <c r="AR76" s="1056">
        <v>10.012231</v>
      </c>
      <c r="AS76" s="1052"/>
      <c r="AT76" s="1052"/>
      <c r="AU76" s="1052"/>
      <c r="AV76" s="1052"/>
      <c r="AW76" s="1052"/>
      <c r="AX76" s="1052"/>
      <c r="AY76" s="1052"/>
      <c r="AZ76" s="1052"/>
      <c r="BA76" s="1052"/>
      <c r="BB76" s="1052"/>
      <c r="BC76" s="1052"/>
      <c r="BD76" s="1052"/>
      <c r="BE76" s="1052"/>
      <c r="BF76" s="1052"/>
      <c r="BG76" s="1052"/>
      <c r="BH76" s="1052"/>
      <c r="BI76" s="1052"/>
      <c r="BJ76" s="1052"/>
      <c r="BK76" s="1052"/>
      <c r="BL76" s="1052"/>
      <c r="BM76" s="1052"/>
      <c r="BN76" s="1052"/>
      <c r="BO76" s="1052"/>
      <c r="BP76" s="1052"/>
      <c r="BQ76" s="1052"/>
      <c r="BR76" s="1052"/>
      <c r="BS76" s="1052"/>
      <c r="BT76" s="1052"/>
      <c r="BU76" s="1052"/>
      <c r="BV76" s="1054"/>
    </row>
    <row r="77" spans="1:104" s="1050" customFormat="1" x14ac:dyDescent="0.25">
      <c r="A77" s="1057" t="str">
        <f>'HyARC Physical Property Data'!$A$74</f>
        <v>Electric Utility Natural Gas</v>
      </c>
      <c r="B77" s="1052"/>
      <c r="C77" s="1053"/>
      <c r="D77" s="1250"/>
      <c r="E77" s="1053"/>
      <c r="F77" s="1052"/>
      <c r="G77" s="1052"/>
      <c r="H77" s="1052"/>
      <c r="I77" s="1052"/>
      <c r="J77" s="1052"/>
      <c r="K77" s="1052"/>
      <c r="L77" s="1052"/>
      <c r="M77" s="1052"/>
      <c r="N77" s="1056">
        <v>5.2581660000000001</v>
      </c>
      <c r="O77" s="1056">
        <v>4.7747140000000003</v>
      </c>
      <c r="P77" s="1056">
        <v>3.3280129999999999</v>
      </c>
      <c r="Q77" s="1056">
        <v>3.7262059999999999</v>
      </c>
      <c r="R77" s="1056">
        <v>3.8342619999999998</v>
      </c>
      <c r="S77" s="1056">
        <v>3.9162499999999998</v>
      </c>
      <c r="T77" s="1056">
        <v>4.3469340000000001</v>
      </c>
      <c r="U77" s="1056">
        <v>4.5235139999999996</v>
      </c>
      <c r="V77" s="1056">
        <v>4.7720750000000001</v>
      </c>
      <c r="W77" s="1056">
        <v>4.9304030000000001</v>
      </c>
      <c r="X77" s="1056">
        <v>5.0667330000000002</v>
      </c>
      <c r="Y77" s="1056">
        <v>5.2030240000000001</v>
      </c>
      <c r="Z77" s="1056">
        <v>5.4141339999999998</v>
      </c>
      <c r="AA77" s="1056">
        <v>5.6120320000000001</v>
      </c>
      <c r="AB77" s="1056">
        <v>5.7180549999999997</v>
      </c>
      <c r="AC77" s="1056">
        <v>5.8497880000000002</v>
      </c>
      <c r="AD77" s="1056">
        <v>5.9964360000000001</v>
      </c>
      <c r="AE77" s="1056">
        <v>6.1136410000000003</v>
      </c>
      <c r="AF77" s="1056">
        <v>6.2808900000000003</v>
      </c>
      <c r="AG77" s="1056">
        <v>6.4099190000000004</v>
      </c>
      <c r="AH77" s="1056">
        <v>6.5488220000000004</v>
      </c>
      <c r="AI77" s="1056">
        <v>6.7307620000000004</v>
      </c>
      <c r="AJ77" s="1056">
        <v>7.0166529999999998</v>
      </c>
      <c r="AK77" s="1056">
        <v>7.3227570000000002</v>
      </c>
      <c r="AL77" s="1056">
        <v>7.6342280000000002</v>
      </c>
      <c r="AM77" s="1056">
        <v>7.902755</v>
      </c>
      <c r="AN77" s="1056">
        <v>8.2651950000000003</v>
      </c>
      <c r="AO77" s="1056">
        <v>8.4774010000000004</v>
      </c>
      <c r="AP77" s="1056">
        <v>8.8551400000000005</v>
      </c>
      <c r="AQ77" s="1056">
        <v>9.1715459999999993</v>
      </c>
      <c r="AR77" s="1056">
        <v>9.3359030000000001</v>
      </c>
      <c r="AS77" s="1052"/>
      <c r="AT77" s="1052"/>
      <c r="AU77" s="1052"/>
      <c r="AV77" s="1052"/>
      <c r="AW77" s="1052"/>
      <c r="AX77" s="1052"/>
      <c r="AY77" s="1052"/>
      <c r="AZ77" s="1052"/>
      <c r="BA77" s="1052"/>
      <c r="BB77" s="1052"/>
      <c r="BC77" s="1052"/>
      <c r="BD77" s="1052"/>
      <c r="BE77" s="1052"/>
      <c r="BF77" s="1052"/>
      <c r="BG77" s="1052"/>
      <c r="BH77" s="1052"/>
      <c r="BI77" s="1052"/>
      <c r="BJ77" s="1052"/>
      <c r="BK77" s="1052"/>
      <c r="BL77" s="1052"/>
      <c r="BM77" s="1052"/>
      <c r="BN77" s="1052"/>
      <c r="BO77" s="1052"/>
      <c r="BP77" s="1052"/>
      <c r="BQ77" s="1052"/>
      <c r="BR77" s="1052"/>
      <c r="BS77" s="1052"/>
      <c r="BT77" s="1052"/>
      <c r="BU77" s="1052"/>
      <c r="BV77" s="1054"/>
    </row>
    <row r="78" spans="1:104" s="1050" customFormat="1" x14ac:dyDescent="0.25">
      <c r="A78" s="1057" t="s">
        <v>1080</v>
      </c>
      <c r="B78" s="1052"/>
      <c r="C78" s="1053"/>
      <c r="D78" s="1250"/>
      <c r="E78" s="1053"/>
      <c r="F78" s="1052"/>
      <c r="G78" s="1052"/>
      <c r="H78" s="1052"/>
      <c r="I78" s="1052"/>
      <c r="J78" s="1052"/>
      <c r="K78" s="1052"/>
      <c r="L78" s="1052"/>
      <c r="M78" s="1052"/>
      <c r="N78" s="1056"/>
      <c r="O78" s="1056"/>
      <c r="P78" s="1056"/>
      <c r="Q78" s="1056"/>
      <c r="R78" s="1056"/>
      <c r="S78" s="1056"/>
      <c r="T78" s="1056"/>
      <c r="U78" s="1056"/>
      <c r="V78" s="1056"/>
      <c r="W78" s="1056"/>
      <c r="X78" s="1056"/>
      <c r="Y78" s="1056"/>
      <c r="Z78" s="1056"/>
      <c r="AA78" s="1056"/>
      <c r="AB78" s="1056"/>
      <c r="AC78" s="1056"/>
      <c r="AD78" s="1056"/>
      <c r="AE78" s="1056"/>
      <c r="AF78" s="1056"/>
      <c r="AG78" s="1056"/>
      <c r="AH78" s="1056"/>
      <c r="AI78" s="1056"/>
      <c r="AJ78" s="1056"/>
      <c r="AK78" s="1056"/>
      <c r="AL78" s="1056"/>
      <c r="AM78" s="1056"/>
      <c r="AN78" s="1056"/>
      <c r="AO78" s="1056"/>
      <c r="AP78" s="1056"/>
      <c r="AQ78" s="1056"/>
      <c r="AR78" s="1056"/>
      <c r="AS78" s="1052"/>
      <c r="AT78" s="1052"/>
      <c r="AU78" s="1052"/>
      <c r="AV78" s="1052"/>
      <c r="AW78" s="1052"/>
      <c r="AX78" s="1052"/>
      <c r="AY78" s="1052"/>
      <c r="AZ78" s="1052"/>
      <c r="BA78" s="1052"/>
      <c r="BB78" s="1052"/>
      <c r="BC78" s="1052"/>
      <c r="BD78" s="1052"/>
      <c r="BE78" s="1052"/>
      <c r="BF78" s="1052"/>
      <c r="BG78" s="1052"/>
      <c r="BH78" s="1052"/>
      <c r="BI78" s="1052"/>
      <c r="BJ78" s="1052"/>
      <c r="BK78" s="1052"/>
      <c r="BL78" s="1052"/>
      <c r="BM78" s="1052"/>
      <c r="BN78" s="1052"/>
      <c r="BO78" s="1052"/>
      <c r="BP78" s="1052"/>
      <c r="BQ78" s="1052"/>
      <c r="BR78" s="1052"/>
      <c r="BS78" s="1052"/>
      <c r="BT78" s="1052"/>
      <c r="BU78" s="1052"/>
      <c r="BV78" s="1054"/>
    </row>
    <row r="79" spans="1:104" s="1050" customFormat="1" x14ac:dyDescent="0.25">
      <c r="A79" s="1055" t="s">
        <v>1086</v>
      </c>
      <c r="B79" s="1052"/>
      <c r="C79" s="1053"/>
      <c r="D79" s="1250"/>
      <c r="E79" s="1053"/>
      <c r="F79" s="1052"/>
      <c r="G79" s="1052"/>
      <c r="H79" s="1052"/>
      <c r="I79" s="1052"/>
      <c r="J79" s="1052"/>
      <c r="K79" s="1052"/>
      <c r="L79" s="1052"/>
      <c r="M79" s="1052"/>
      <c r="N79" s="1056">
        <v>2.2979889999999998</v>
      </c>
      <c r="O79" s="1056">
        <v>2.38</v>
      </c>
      <c r="P79" s="1056">
        <v>2.414561</v>
      </c>
      <c r="Q79" s="1056">
        <v>2.3313350000000002</v>
      </c>
      <c r="R79" s="1056">
        <v>2.4666779999999999</v>
      </c>
      <c r="S79" s="1056">
        <v>2.490294</v>
      </c>
      <c r="T79" s="1056">
        <v>2.5700569999999998</v>
      </c>
      <c r="U79" s="1056">
        <v>2.5762320000000001</v>
      </c>
      <c r="V79" s="1056">
        <v>2.594992</v>
      </c>
      <c r="W79" s="1056">
        <v>2.6086049999999998</v>
      </c>
      <c r="X79" s="1056">
        <v>2.6433580000000001</v>
      </c>
      <c r="Y79" s="1056">
        <v>2.6708150000000002</v>
      </c>
      <c r="Z79" s="1056">
        <v>2.7142179999999998</v>
      </c>
      <c r="AA79" s="1056">
        <v>2.74918</v>
      </c>
      <c r="AB79" s="1056">
        <v>2.7884579999999999</v>
      </c>
      <c r="AC79" s="1056">
        <v>2.8318759999999998</v>
      </c>
      <c r="AD79" s="1056">
        <v>2.8692139999999999</v>
      </c>
      <c r="AE79" s="1056">
        <v>2.899435</v>
      </c>
      <c r="AF79" s="1056">
        <v>2.9368029999999998</v>
      </c>
      <c r="AG79" s="1056">
        <v>2.9781219999999999</v>
      </c>
      <c r="AH79" s="1056">
        <v>3.0179510000000001</v>
      </c>
      <c r="AI79" s="1056">
        <v>3.0527350000000002</v>
      </c>
      <c r="AJ79" s="1056">
        <v>3.090319</v>
      </c>
      <c r="AK79" s="1056">
        <v>3.1298509999999999</v>
      </c>
      <c r="AL79" s="1056">
        <v>3.1705510000000001</v>
      </c>
      <c r="AM79" s="1056">
        <v>3.2163840000000001</v>
      </c>
      <c r="AN79" s="1056">
        <v>3.2516949999999998</v>
      </c>
      <c r="AO79" s="1056">
        <v>3.2783180000000001</v>
      </c>
      <c r="AP79" s="1056">
        <v>3.3114089999999998</v>
      </c>
      <c r="AQ79" s="1056">
        <v>3.3562150000000002</v>
      </c>
      <c r="AR79" s="1056">
        <v>3.398895</v>
      </c>
      <c r="AS79" s="1052"/>
      <c r="AT79" s="1052"/>
      <c r="AU79" s="1052"/>
      <c r="AV79" s="1052"/>
      <c r="AW79" s="1052"/>
      <c r="AX79" s="1052"/>
      <c r="AY79" s="1052"/>
      <c r="AZ79" s="1052"/>
      <c r="BA79" s="1052"/>
      <c r="BB79" s="1052"/>
      <c r="BC79" s="1052"/>
      <c r="BD79" s="1052"/>
      <c r="BE79" s="1052"/>
      <c r="BF79" s="1052"/>
      <c r="BG79" s="1052"/>
      <c r="BH79" s="1052"/>
      <c r="BI79" s="1052"/>
      <c r="BJ79" s="1052"/>
      <c r="BK79" s="1052"/>
      <c r="BL79" s="1052"/>
      <c r="BM79" s="1052"/>
      <c r="BN79" s="1052"/>
      <c r="BO79" s="1052"/>
      <c r="BP79" s="1052"/>
      <c r="BQ79" s="1052"/>
      <c r="BR79" s="1052"/>
      <c r="BS79" s="1052"/>
      <c r="BT79" s="1052"/>
      <c r="BU79" s="1052"/>
      <c r="BV79" s="1054"/>
    </row>
    <row r="80" spans="1:104" s="1050" customFormat="1" x14ac:dyDescent="0.25">
      <c r="A80" s="1055" t="s">
        <v>683</v>
      </c>
      <c r="B80" s="1052"/>
      <c r="C80" s="1053"/>
      <c r="D80" s="1250"/>
      <c r="E80" s="1053"/>
      <c r="F80" s="1052"/>
      <c r="G80" s="1052"/>
      <c r="H80" s="1052"/>
      <c r="I80" s="1052"/>
      <c r="J80" s="1052"/>
      <c r="K80" s="1052"/>
      <c r="L80" s="1052"/>
      <c r="M80" s="1052"/>
      <c r="N80" s="1056">
        <v>30.492578999999999</v>
      </c>
      <c r="O80" s="1056">
        <v>29.980651999999999</v>
      </c>
      <c r="P80" s="1056">
        <v>28.501187999999999</v>
      </c>
      <c r="Q80" s="1056">
        <v>27.791989999999998</v>
      </c>
      <c r="R80" s="1056">
        <v>28.177313000000002</v>
      </c>
      <c r="S80" s="1056">
        <v>28.139455999999999</v>
      </c>
      <c r="T80" s="1056">
        <v>28.689319999999999</v>
      </c>
      <c r="U80" s="1056">
        <v>29.024557000000001</v>
      </c>
      <c r="V80" s="1056">
        <v>29.108899999999998</v>
      </c>
      <c r="W80" s="1056">
        <v>28.975003999999998</v>
      </c>
      <c r="X80" s="1056">
        <v>29.041111000000001</v>
      </c>
      <c r="Y80" s="1056">
        <v>29.162209000000001</v>
      </c>
      <c r="Z80" s="1056">
        <v>29.247681</v>
      </c>
      <c r="AA80" s="1056">
        <v>29.196009</v>
      </c>
      <c r="AB80" s="1056">
        <v>29.115604000000001</v>
      </c>
      <c r="AC80" s="1056">
        <v>29.201962000000002</v>
      </c>
      <c r="AD80" s="1056">
        <v>29.178121999999998</v>
      </c>
      <c r="AE80" s="1056">
        <v>29.212776000000002</v>
      </c>
      <c r="AF80" s="1056">
        <v>29.214404999999999</v>
      </c>
      <c r="AG80" s="1056">
        <v>29.344874999999998</v>
      </c>
      <c r="AH80" s="1056">
        <v>29.550170999999999</v>
      </c>
      <c r="AI80" s="1056">
        <v>29.794819</v>
      </c>
      <c r="AJ80" s="1056">
        <v>29.957190000000001</v>
      </c>
      <c r="AK80" s="1056">
        <v>30.275618000000001</v>
      </c>
      <c r="AL80" s="1056">
        <v>30.801399</v>
      </c>
      <c r="AM80" s="1056">
        <v>31.291125999999998</v>
      </c>
      <c r="AN80" s="1056">
        <v>31.806963</v>
      </c>
      <c r="AO80" s="1056">
        <v>32.268535999999997</v>
      </c>
      <c r="AP80" s="1056">
        <v>32.667476999999998</v>
      </c>
      <c r="AQ80" s="1056">
        <v>33.223427000000001</v>
      </c>
      <c r="AR80" s="1056">
        <v>33.577624999999998</v>
      </c>
      <c r="AS80" s="1052"/>
      <c r="AT80" s="1052"/>
      <c r="AU80" s="1052"/>
      <c r="AV80" s="1052"/>
      <c r="AW80" s="1052"/>
      <c r="AX80" s="1052"/>
      <c r="AY80" s="1052"/>
      <c r="AZ80" s="1052"/>
      <c r="BA80" s="1052"/>
      <c r="BB80" s="1052"/>
      <c r="BC80" s="1052"/>
      <c r="BD80" s="1052"/>
      <c r="BE80" s="1052"/>
      <c r="BF80" s="1052"/>
      <c r="BG80" s="1052"/>
      <c r="BH80" s="1052"/>
      <c r="BI80" s="1052"/>
      <c r="BJ80" s="1052"/>
      <c r="BK80" s="1052"/>
      <c r="BL80" s="1052"/>
      <c r="BM80" s="1052"/>
      <c r="BN80" s="1052"/>
      <c r="BO80" s="1052"/>
      <c r="BP80" s="1052"/>
      <c r="BQ80" s="1052"/>
      <c r="BR80" s="1052"/>
      <c r="BS80" s="1052"/>
      <c r="BT80" s="1052"/>
      <c r="BU80" s="1052"/>
      <c r="BV80" s="1054"/>
    </row>
    <row r="81" spans="1:104" s="1050" customFormat="1" x14ac:dyDescent="0.25">
      <c r="A81" s="1055" t="s">
        <v>698</v>
      </c>
      <c r="B81" s="1052"/>
      <c r="C81" s="1053"/>
      <c r="D81" s="1250"/>
      <c r="E81" s="1053"/>
      <c r="F81" s="1052"/>
      <c r="G81" s="1052"/>
      <c r="H81" s="1052"/>
      <c r="I81" s="1052"/>
      <c r="J81" s="1052"/>
      <c r="K81" s="1052"/>
      <c r="L81" s="1052"/>
      <c r="M81" s="1052"/>
      <c r="N81" s="1056">
        <v>20.260445000000001</v>
      </c>
      <c r="O81" s="1056">
        <v>19.975721</v>
      </c>
      <c r="P81" s="1056">
        <v>18.454588000000001</v>
      </c>
      <c r="Q81" s="1056">
        <v>18.157667</v>
      </c>
      <c r="R81" s="1056">
        <v>18.271274999999999</v>
      </c>
      <c r="S81" s="1056">
        <v>18.191776000000001</v>
      </c>
      <c r="T81" s="1056">
        <v>18.703628999999999</v>
      </c>
      <c r="U81" s="1056">
        <v>19.002967999999999</v>
      </c>
      <c r="V81" s="1056">
        <v>19.096264000000001</v>
      </c>
      <c r="W81" s="1056">
        <v>19.050228000000001</v>
      </c>
      <c r="X81" s="1056">
        <v>19.095860999999999</v>
      </c>
      <c r="Y81" s="1056">
        <v>19.252116999999998</v>
      </c>
      <c r="Z81" s="1056">
        <v>19.422526999999999</v>
      </c>
      <c r="AA81" s="1056">
        <v>19.539289</v>
      </c>
      <c r="AB81" s="1056">
        <v>19.565339999999999</v>
      </c>
      <c r="AC81" s="1056">
        <v>19.722131999999998</v>
      </c>
      <c r="AD81" s="1056">
        <v>19.810991000000001</v>
      </c>
      <c r="AE81" s="1056">
        <v>19.943812999999999</v>
      </c>
      <c r="AF81" s="1056">
        <v>20.046423000000001</v>
      </c>
      <c r="AG81" s="1056">
        <v>20.238405</v>
      </c>
      <c r="AH81" s="1056">
        <v>20.421748999999998</v>
      </c>
      <c r="AI81" s="1056">
        <v>20.607520999999998</v>
      </c>
      <c r="AJ81" s="1056">
        <v>20.839410999999998</v>
      </c>
      <c r="AK81" s="1056">
        <v>21.176966</v>
      </c>
      <c r="AL81" s="1056">
        <v>21.628757</v>
      </c>
      <c r="AM81" s="1056">
        <v>22.108962999999999</v>
      </c>
      <c r="AN81" s="1056">
        <v>22.567038</v>
      </c>
      <c r="AO81" s="1056">
        <v>22.990486000000001</v>
      </c>
      <c r="AP81" s="1056">
        <v>23.379736000000001</v>
      </c>
      <c r="AQ81" s="1056">
        <v>23.871493999999998</v>
      </c>
      <c r="AR81" s="1056">
        <v>24.167221000000001</v>
      </c>
      <c r="AS81" s="1052"/>
      <c r="AT81" s="1052"/>
      <c r="AU81" s="1052"/>
      <c r="AV81" s="1052"/>
      <c r="AW81" s="1052"/>
      <c r="AX81" s="1052"/>
      <c r="AY81" s="1052"/>
      <c r="AZ81" s="1052"/>
      <c r="BA81" s="1052"/>
      <c r="BB81" s="1052"/>
      <c r="BC81" s="1052"/>
      <c r="BD81" s="1052"/>
      <c r="BE81" s="1052"/>
      <c r="BF81" s="1052"/>
      <c r="BG81" s="1052"/>
      <c r="BH81" s="1052"/>
      <c r="BI81" s="1052"/>
      <c r="BJ81" s="1052"/>
      <c r="BK81" s="1052"/>
      <c r="BL81" s="1052"/>
      <c r="BM81" s="1052"/>
      <c r="BN81" s="1052"/>
      <c r="BO81" s="1052"/>
      <c r="BP81" s="1052"/>
      <c r="BQ81" s="1052"/>
      <c r="BR81" s="1052"/>
      <c r="BS81" s="1052"/>
      <c r="BT81" s="1052"/>
      <c r="BU81" s="1052"/>
      <c r="BV81" s="1054"/>
    </row>
    <row r="82" spans="1:104" s="1050" customFormat="1" ht="13" thickBot="1" x14ac:dyDescent="0.3">
      <c r="A82" s="1059" t="s">
        <v>684</v>
      </c>
      <c r="B82" s="1060"/>
      <c r="C82" s="1061"/>
      <c r="D82" s="1251"/>
      <c r="E82" s="1061"/>
      <c r="F82" s="1060"/>
      <c r="G82" s="1060"/>
      <c r="H82" s="1060"/>
      <c r="I82" s="1060"/>
      <c r="J82" s="1060"/>
      <c r="K82" s="1060"/>
      <c r="L82" s="1060"/>
      <c r="M82" s="1060"/>
      <c r="N82" s="1062">
        <v>34.522823000000002</v>
      </c>
      <c r="O82" s="1062">
        <v>34.335875999999999</v>
      </c>
      <c r="P82" s="1062">
        <v>33.292259000000001</v>
      </c>
      <c r="Q82" s="1062">
        <v>32.561348000000002</v>
      </c>
      <c r="R82" s="1062">
        <v>33.352730000000001</v>
      </c>
      <c r="S82" s="1062">
        <v>33.489016999999997</v>
      </c>
      <c r="T82" s="1062">
        <v>34.046703000000001</v>
      </c>
      <c r="U82" s="1062">
        <v>34.326427000000002</v>
      </c>
      <c r="V82" s="1062">
        <v>34.303291000000002</v>
      </c>
      <c r="W82" s="1062">
        <v>34.076405000000001</v>
      </c>
      <c r="X82" s="1062">
        <v>34.105117999999997</v>
      </c>
      <c r="Y82" s="1062">
        <v>34.184669</v>
      </c>
      <c r="Z82" s="1062">
        <v>34.290134000000002</v>
      </c>
      <c r="AA82" s="1062">
        <v>34.319408000000003</v>
      </c>
      <c r="AB82" s="1062">
        <v>34.416462000000003</v>
      </c>
      <c r="AC82" s="1062">
        <v>34.726405999999997</v>
      </c>
      <c r="AD82" s="1062">
        <v>34.904162999999997</v>
      </c>
      <c r="AE82" s="1062">
        <v>35.063048999999999</v>
      </c>
      <c r="AF82" s="1062">
        <v>35.177726999999997</v>
      </c>
      <c r="AG82" s="1062">
        <v>35.337353</v>
      </c>
      <c r="AH82" s="1062">
        <v>35.506706000000001</v>
      </c>
      <c r="AI82" s="1062">
        <v>35.725586</v>
      </c>
      <c r="AJ82" s="1062">
        <v>35.884253999999999</v>
      </c>
      <c r="AK82" s="1062">
        <v>36.154865000000001</v>
      </c>
      <c r="AL82" s="1062">
        <v>36.608756999999997</v>
      </c>
      <c r="AM82" s="1062">
        <v>37.082008000000002</v>
      </c>
      <c r="AN82" s="1062">
        <v>37.502094</v>
      </c>
      <c r="AO82" s="1062">
        <v>37.842292999999998</v>
      </c>
      <c r="AP82" s="1062">
        <v>38.16151</v>
      </c>
      <c r="AQ82" s="1062">
        <v>38.618450000000003</v>
      </c>
      <c r="AR82" s="1062">
        <v>38.850749999999998</v>
      </c>
      <c r="AS82" s="1060"/>
      <c r="AT82" s="1060"/>
      <c r="AU82" s="1060"/>
      <c r="AV82" s="1060"/>
      <c r="AW82" s="1060"/>
      <c r="AX82" s="1060"/>
      <c r="AY82" s="1060"/>
      <c r="AZ82" s="1060"/>
      <c r="BA82" s="1060"/>
      <c r="BB82" s="1060"/>
      <c r="BC82" s="1060"/>
      <c r="BD82" s="1060"/>
      <c r="BE82" s="1060"/>
      <c r="BF82" s="1060"/>
      <c r="BG82" s="1060"/>
      <c r="BH82" s="1060"/>
      <c r="BI82" s="1060"/>
      <c r="BJ82" s="1060"/>
      <c r="BK82" s="1060"/>
      <c r="BL82" s="1060"/>
      <c r="BM82" s="1060"/>
      <c r="BN82" s="1060"/>
      <c r="BO82" s="1060"/>
      <c r="BP82" s="1060"/>
      <c r="BQ82" s="1060"/>
      <c r="BR82" s="1060"/>
      <c r="BS82" s="1060"/>
      <c r="BT82" s="1060"/>
      <c r="BU82" s="1060"/>
      <c r="BV82" s="1063"/>
    </row>
    <row r="83" spans="1:104" x14ac:dyDescent="0.25">
      <c r="D83" s="1093"/>
      <c r="E83" s="973"/>
    </row>
    <row r="84" spans="1:104" x14ac:dyDescent="0.25">
      <c r="D84" s="1093"/>
    </row>
    <row r="85" spans="1:104" ht="13" thickBot="1" x14ac:dyDescent="0.3">
      <c r="D85" s="1093"/>
    </row>
    <row r="86" spans="1:104" ht="13.5" thickTop="1" x14ac:dyDescent="0.3">
      <c r="A86" s="866" t="s">
        <v>1106</v>
      </c>
      <c r="B86" s="867" t="str">
        <f>"Prices are in $(" &amp; ref_year&amp;")/GJ LHV"</f>
        <v>Prices are in $(2016)/GJ LHV</v>
      </c>
      <c r="C86" s="867"/>
      <c r="D86" s="1252"/>
      <c r="E86" s="867"/>
      <c r="F86" s="868"/>
      <c r="G86" s="868"/>
      <c r="H86" s="868"/>
      <c r="I86" s="868"/>
      <c r="J86" s="868"/>
      <c r="K86" s="868"/>
      <c r="L86" s="868"/>
      <c r="M86" s="868"/>
      <c r="N86" s="868"/>
      <c r="O86" s="868"/>
      <c r="P86" s="868"/>
      <c r="Q86" s="868"/>
      <c r="R86" s="868"/>
      <c r="S86" s="868"/>
      <c r="T86" s="868"/>
      <c r="U86" s="868"/>
      <c r="V86" s="868"/>
      <c r="W86" s="868"/>
      <c r="X86" s="868"/>
      <c r="Y86" s="868"/>
      <c r="Z86" s="868"/>
      <c r="AA86" s="868"/>
      <c r="AB86" s="868"/>
      <c r="AC86" s="868"/>
      <c r="AD86" s="868"/>
      <c r="AE86" s="868"/>
      <c r="AF86" s="868"/>
      <c r="AG86" s="868"/>
      <c r="AH86" s="868"/>
      <c r="AI86" s="868"/>
      <c r="AJ86" s="868"/>
      <c r="AK86" s="868"/>
      <c r="AL86" s="868"/>
      <c r="AM86" s="868"/>
      <c r="AN86" s="868"/>
      <c r="AO86" s="868"/>
      <c r="AP86" s="868"/>
      <c r="AQ86" s="868"/>
      <c r="AR86" s="868"/>
      <c r="AS86" s="881" t="s">
        <v>772</v>
      </c>
      <c r="AT86" s="882"/>
      <c r="AU86" s="882"/>
      <c r="AV86" s="882"/>
      <c r="AW86" s="882"/>
      <c r="AX86" s="882"/>
      <c r="AY86" s="882"/>
      <c r="AZ86" s="882"/>
      <c r="BA86" s="882"/>
      <c r="BB86" s="882"/>
      <c r="BC86" s="882"/>
      <c r="BD86" s="882"/>
      <c r="BE86" s="882"/>
      <c r="BF86" s="882"/>
      <c r="BG86" s="882"/>
      <c r="BH86" s="882"/>
      <c r="BI86" s="882"/>
      <c r="BJ86" s="882"/>
      <c r="BK86" s="882"/>
      <c r="BL86" s="882"/>
      <c r="BM86" s="882"/>
      <c r="BN86" s="882"/>
      <c r="BO86" s="882"/>
      <c r="BP86" s="882"/>
      <c r="BQ86" s="882"/>
      <c r="BR86" s="882"/>
      <c r="BS86" s="882"/>
      <c r="BT86" s="882"/>
      <c r="BU86" s="882"/>
      <c r="BV86" s="883"/>
    </row>
    <row r="87" spans="1:104" ht="39.5" thickBot="1" x14ac:dyDescent="0.35">
      <c r="A87" s="1119" t="s">
        <v>1083</v>
      </c>
      <c r="B87" s="1120" t="s">
        <v>678</v>
      </c>
      <c r="C87" s="1120" t="s">
        <v>679</v>
      </c>
      <c r="D87" s="1253" t="s">
        <v>690</v>
      </c>
      <c r="E87" s="1120" t="s">
        <v>691</v>
      </c>
      <c r="F87" s="1121" t="s">
        <v>680</v>
      </c>
      <c r="G87" s="1121" t="s">
        <v>692</v>
      </c>
      <c r="H87" s="888">
        <v>2004</v>
      </c>
      <c r="I87" s="888">
        <v>2005</v>
      </c>
      <c r="J87" s="888">
        <v>2006</v>
      </c>
      <c r="K87" s="888">
        <v>2007</v>
      </c>
      <c r="L87" s="888">
        <v>2008</v>
      </c>
      <c r="M87" s="888">
        <v>2009</v>
      </c>
      <c r="N87" s="888">
        <v>2010</v>
      </c>
      <c r="O87" s="888">
        <v>2011</v>
      </c>
      <c r="P87" s="888">
        <v>2012</v>
      </c>
      <c r="Q87" s="888">
        <v>2013</v>
      </c>
      <c r="R87" s="888">
        <v>2014</v>
      </c>
      <c r="S87" s="888">
        <v>2015</v>
      </c>
      <c r="T87" s="888">
        <v>2016</v>
      </c>
      <c r="U87" s="888">
        <v>2017</v>
      </c>
      <c r="V87" s="888">
        <v>2018</v>
      </c>
      <c r="W87" s="888">
        <v>2019</v>
      </c>
      <c r="X87" s="888">
        <v>2020</v>
      </c>
      <c r="Y87" s="888">
        <v>2021</v>
      </c>
      <c r="Z87" s="888">
        <v>2022</v>
      </c>
      <c r="AA87" s="888">
        <v>2023</v>
      </c>
      <c r="AB87" s="888">
        <v>2024</v>
      </c>
      <c r="AC87" s="888">
        <v>2025</v>
      </c>
      <c r="AD87" s="888">
        <v>2026</v>
      </c>
      <c r="AE87" s="888">
        <v>2027</v>
      </c>
      <c r="AF87" s="888">
        <v>2028</v>
      </c>
      <c r="AG87" s="888">
        <v>2029</v>
      </c>
      <c r="AH87" s="888">
        <v>2030</v>
      </c>
      <c r="AI87" s="888">
        <v>2031</v>
      </c>
      <c r="AJ87" s="888">
        <v>2032</v>
      </c>
      <c r="AK87" s="888">
        <v>2033</v>
      </c>
      <c r="AL87" s="888">
        <v>2034</v>
      </c>
      <c r="AM87" s="888">
        <v>2035</v>
      </c>
      <c r="AN87" s="888">
        <v>2036</v>
      </c>
      <c r="AO87" s="888">
        <v>2037</v>
      </c>
      <c r="AP87" s="888">
        <v>2038</v>
      </c>
      <c r="AQ87" s="888">
        <v>2039</v>
      </c>
      <c r="AR87" s="888">
        <v>2040</v>
      </c>
      <c r="AS87" s="888">
        <v>2041</v>
      </c>
      <c r="AT87" s="888">
        <v>2042</v>
      </c>
      <c r="AU87" s="888">
        <v>2043</v>
      </c>
      <c r="AV87" s="888">
        <v>2044</v>
      </c>
      <c r="AW87" s="888">
        <v>2045</v>
      </c>
      <c r="AX87" s="888">
        <v>2046</v>
      </c>
      <c r="AY87" s="888">
        <v>2047</v>
      </c>
      <c r="AZ87" s="888">
        <v>2048</v>
      </c>
      <c r="BA87" s="888">
        <v>2049</v>
      </c>
      <c r="BB87" s="888">
        <v>2050</v>
      </c>
      <c r="BC87" s="888">
        <v>2051</v>
      </c>
      <c r="BD87" s="888">
        <v>2052</v>
      </c>
      <c r="BE87" s="888">
        <v>2053</v>
      </c>
      <c r="BF87" s="888">
        <v>2054</v>
      </c>
      <c r="BG87" s="888">
        <v>2055</v>
      </c>
      <c r="BH87" s="888">
        <v>2056</v>
      </c>
      <c r="BI87" s="888">
        <v>2057</v>
      </c>
      <c r="BJ87" s="888">
        <v>2058</v>
      </c>
      <c r="BK87" s="888">
        <v>2059</v>
      </c>
      <c r="BL87" s="888">
        <v>2060</v>
      </c>
      <c r="BM87" s="888">
        <v>2061</v>
      </c>
      <c r="BN87" s="888">
        <v>2062</v>
      </c>
      <c r="BO87" s="888">
        <v>2063</v>
      </c>
      <c r="BP87" s="888">
        <v>2064</v>
      </c>
      <c r="BQ87" s="888">
        <v>2065</v>
      </c>
      <c r="BR87" s="888">
        <v>2066</v>
      </c>
      <c r="BS87" s="888">
        <v>2067</v>
      </c>
      <c r="BT87" s="888">
        <v>2068</v>
      </c>
      <c r="BU87" s="888">
        <v>2069</v>
      </c>
      <c r="BV87" s="889">
        <v>2070</v>
      </c>
      <c r="BW87" s="1396">
        <f t="shared" ref="BW87" si="191">+BV87+1</f>
        <v>2071</v>
      </c>
      <c r="BX87" s="1396">
        <f t="shared" ref="BX87" si="192">+BW87+1</f>
        <v>2072</v>
      </c>
      <c r="BY87" s="1396">
        <f t="shared" ref="BY87" si="193">+BX87+1</f>
        <v>2073</v>
      </c>
      <c r="BZ87" s="1396">
        <f t="shared" ref="BZ87" si="194">+BY87+1</f>
        <v>2074</v>
      </c>
      <c r="CA87" s="1396">
        <f t="shared" ref="CA87" si="195">+BZ87+1</f>
        <v>2075</v>
      </c>
      <c r="CB87" s="1396">
        <f t="shared" ref="CB87" si="196">+CA87+1</f>
        <v>2076</v>
      </c>
      <c r="CC87" s="1396">
        <f t="shared" ref="CC87" si="197">+CB87+1</f>
        <v>2077</v>
      </c>
      <c r="CD87" s="1396">
        <f t="shared" ref="CD87" si="198">+CC87+1</f>
        <v>2078</v>
      </c>
      <c r="CE87" s="1396">
        <f t="shared" ref="CE87" si="199">+CD87+1</f>
        <v>2079</v>
      </c>
      <c r="CF87" s="1396">
        <f t="shared" ref="CF87" si="200">+CE87+1</f>
        <v>2080</v>
      </c>
      <c r="CG87" s="1396">
        <f t="shared" ref="CG87" si="201">+CF87+1</f>
        <v>2081</v>
      </c>
      <c r="CH87" s="1396">
        <f t="shared" ref="CH87" si="202">+CG87+1</f>
        <v>2082</v>
      </c>
      <c r="CI87" s="1396">
        <f t="shared" ref="CI87" si="203">+CH87+1</f>
        <v>2083</v>
      </c>
      <c r="CJ87" s="1396">
        <f t="shared" ref="CJ87" si="204">+CI87+1</f>
        <v>2084</v>
      </c>
      <c r="CK87" s="1396">
        <f t="shared" ref="CK87" si="205">+CJ87+1</f>
        <v>2085</v>
      </c>
      <c r="CL87" s="1396">
        <f t="shared" ref="CL87" si="206">+CK87+1</f>
        <v>2086</v>
      </c>
      <c r="CM87" s="1396">
        <f t="shared" ref="CM87" si="207">+CL87+1</f>
        <v>2087</v>
      </c>
      <c r="CN87" s="1396">
        <f t="shared" ref="CN87" si="208">+CM87+1</f>
        <v>2088</v>
      </c>
      <c r="CO87" s="1396">
        <f t="shared" ref="CO87" si="209">+CN87+1</f>
        <v>2089</v>
      </c>
      <c r="CP87" s="1396">
        <f t="shared" ref="CP87" si="210">+CO87+1</f>
        <v>2090</v>
      </c>
      <c r="CQ87" s="1396">
        <f t="shared" ref="CQ87" si="211">+CP87+1</f>
        <v>2091</v>
      </c>
      <c r="CR87" s="1396">
        <f t="shared" ref="CR87" si="212">+CQ87+1</f>
        <v>2092</v>
      </c>
      <c r="CS87" s="1396">
        <f t="shared" ref="CS87" si="213">+CR87+1</f>
        <v>2093</v>
      </c>
      <c r="CT87" s="1396">
        <f t="shared" ref="CT87" si="214">+CS87+1</f>
        <v>2094</v>
      </c>
      <c r="CU87" s="1396">
        <f t="shared" ref="CU87" si="215">+CT87+1</f>
        <v>2095</v>
      </c>
      <c r="CV87" s="1396">
        <f t="shared" ref="CV87" si="216">+CU87+1</f>
        <v>2096</v>
      </c>
      <c r="CW87" s="1396">
        <f t="shared" ref="CW87" si="217">+CV87+1</f>
        <v>2097</v>
      </c>
      <c r="CX87" s="1396">
        <f t="shared" ref="CX87" si="218">+CW87+1</f>
        <v>2098</v>
      </c>
      <c r="CY87" s="1396">
        <f t="shared" ref="CY87" si="219">+CX87+1</f>
        <v>2099</v>
      </c>
      <c r="CZ87" s="1396">
        <f t="shared" ref="CZ87" si="220">+CY87+1</f>
        <v>2100</v>
      </c>
    </row>
    <row r="88" spans="1:104" ht="13" thickBot="1" x14ac:dyDescent="0.3">
      <c r="A88" s="869" t="s">
        <v>1089</v>
      </c>
      <c r="B88" s="870"/>
      <c r="C88" s="870"/>
      <c r="D88" s="1254"/>
      <c r="E88" s="870"/>
      <c r="F88" s="870"/>
      <c r="G88" s="870"/>
      <c r="H88" s="957"/>
      <c r="I88" s="957"/>
      <c r="J88" s="957"/>
      <c r="K88" s="957"/>
      <c r="L88" s="957"/>
      <c r="M88" s="957"/>
      <c r="N88" s="957"/>
      <c r="O88" s="957"/>
      <c r="P88" s="957"/>
      <c r="Q88" s="957"/>
      <c r="R88" s="957"/>
      <c r="S88" s="957"/>
      <c r="T88" s="957"/>
      <c r="U88" s="957"/>
      <c r="V88" s="957"/>
      <c r="W88" s="957"/>
      <c r="X88" s="957"/>
      <c r="Y88" s="957"/>
      <c r="Z88" s="957"/>
      <c r="AA88" s="957"/>
      <c r="AB88" s="957"/>
      <c r="AC88" s="957"/>
      <c r="AD88" s="957"/>
      <c r="AE88" s="957"/>
      <c r="AF88" s="957"/>
      <c r="AG88" s="957"/>
      <c r="AH88" s="957"/>
      <c r="AI88" s="957"/>
      <c r="AJ88" s="957"/>
      <c r="AK88" s="957"/>
      <c r="AL88" s="957"/>
      <c r="AM88" s="957"/>
      <c r="AN88" s="957"/>
      <c r="AO88" s="957"/>
      <c r="AP88" s="957"/>
      <c r="AQ88" s="957"/>
      <c r="AR88" s="957"/>
      <c r="AS88" s="957"/>
      <c r="AT88" s="957"/>
      <c r="AU88" s="957"/>
      <c r="AV88" s="957"/>
      <c r="AW88" s="957"/>
      <c r="AX88" s="957"/>
      <c r="AY88" s="957"/>
      <c r="AZ88" s="957"/>
      <c r="BA88" s="957"/>
      <c r="BC88" s="957"/>
      <c r="BD88" s="957"/>
      <c r="BE88" s="957"/>
      <c r="BF88" s="957"/>
      <c r="BG88" s="957"/>
      <c r="BH88" s="957"/>
      <c r="BI88" s="957"/>
      <c r="BJ88" s="957"/>
      <c r="BK88" s="957"/>
      <c r="BL88" s="957"/>
      <c r="BM88" s="957"/>
      <c r="BN88" s="957"/>
      <c r="BO88" s="957"/>
      <c r="BP88" s="957"/>
      <c r="BR88" s="957"/>
      <c r="BS88" s="957"/>
      <c r="BT88" s="957"/>
      <c r="BU88" s="957"/>
    </row>
    <row r="89" spans="1:104" ht="13" x14ac:dyDescent="0.3">
      <c r="A89" s="872" t="str">
        <f>'HyARC Physical Property Data'!A73</f>
        <v>Residential Natural Gas</v>
      </c>
      <c r="B89" s="260">
        <v>2012</v>
      </c>
      <c r="C89" s="873">
        <f t="shared" ref="C89:C100" si="221">VLOOKUP(ref_year,DeflatorTable,2,FALSE)/VLOOKUP(B89,DeflatorTable,2,FALSE)</f>
        <v>1.0589185747008452</v>
      </c>
      <c r="D89" s="1255" t="str">
        <f>'HyARC Physical Property Data'!H73</f>
        <v>mmBtu</v>
      </c>
      <c r="E89" s="873" t="s">
        <v>1057</v>
      </c>
      <c r="F89" s="260">
        <f>'HyARC Physical Property Data'!$E$6</f>
        <v>47.141269049911173</v>
      </c>
      <c r="G89" s="260">
        <f>'HyARC Physical Property Data'!$I$6</f>
        <v>52.224661236371581</v>
      </c>
      <c r="H89" s="1065">
        <v>12.595706345448797</v>
      </c>
      <c r="I89" s="1065">
        <v>12.595706345448797</v>
      </c>
      <c r="J89" s="1065">
        <v>12.595706345448797</v>
      </c>
      <c r="K89" s="1065">
        <v>12.595706345448797</v>
      </c>
      <c r="L89" s="1065">
        <v>13.121338604068761</v>
      </c>
      <c r="M89" s="1065">
        <v>11.086947084595193</v>
      </c>
      <c r="N89" s="1065">
        <v>10.600250548835966</v>
      </c>
      <c r="O89" s="957">
        <f t="shared" ref="O89:AR89" si="222">O106*($C89/mmBTU_to_GJ*$G89/$F89)</f>
        <v>12.2087929242581</v>
      </c>
      <c r="P89" s="957">
        <f t="shared" si="222"/>
        <v>11.62926676611875</v>
      </c>
      <c r="Q89" s="957">
        <f t="shared" si="222"/>
        <v>11.549569006878718</v>
      </c>
      <c r="R89" s="957">
        <f t="shared" si="222"/>
        <v>12.451077492669647</v>
      </c>
      <c r="S89" s="957">
        <f t="shared" si="222"/>
        <v>12.228661210695314</v>
      </c>
      <c r="T89" s="957">
        <f t="shared" si="222"/>
        <v>11.880721569489316</v>
      </c>
      <c r="U89" s="957">
        <f t="shared" si="222"/>
        <v>12.243181027367417</v>
      </c>
      <c r="V89" s="957">
        <f t="shared" si="222"/>
        <v>12.738447103720736</v>
      </c>
      <c r="W89" s="957">
        <f t="shared" si="222"/>
        <v>12.928721417497503</v>
      </c>
      <c r="X89" s="957">
        <f t="shared" si="222"/>
        <v>12.889662020940529</v>
      </c>
      <c r="Y89" s="957">
        <f t="shared" si="222"/>
        <v>13.126157788188424</v>
      </c>
      <c r="Z89" s="957">
        <f t="shared" si="222"/>
        <v>13.227924378910403</v>
      </c>
      <c r="AA89" s="957">
        <f t="shared" si="222"/>
        <v>13.406700038666168</v>
      </c>
      <c r="AB89" s="957">
        <f t="shared" si="222"/>
        <v>13.682684414389822</v>
      </c>
      <c r="AC89" s="957">
        <f t="shared" si="222"/>
        <v>13.872072505629625</v>
      </c>
      <c r="AD89" s="957">
        <f t="shared" si="222"/>
        <v>13.98822325537062</v>
      </c>
      <c r="AE89" s="957">
        <f t="shared" si="222"/>
        <v>14.139968571775018</v>
      </c>
      <c r="AF89" s="957">
        <f t="shared" si="222"/>
        <v>14.341810480347306</v>
      </c>
      <c r="AG89" s="957">
        <f t="shared" si="222"/>
        <v>14.660154514221039</v>
      </c>
      <c r="AH89" s="957">
        <f t="shared" si="222"/>
        <v>15.014507871353267</v>
      </c>
      <c r="AI89" s="957">
        <f t="shared" si="222"/>
        <v>15.178056515524123</v>
      </c>
      <c r="AJ89" s="957">
        <f t="shared" si="222"/>
        <v>15.247180761459282</v>
      </c>
      <c r="AK89" s="957">
        <f t="shared" si="222"/>
        <v>15.504403238981952</v>
      </c>
      <c r="AL89" s="957">
        <f t="shared" si="222"/>
        <v>15.944730189731404</v>
      </c>
      <c r="AM89" s="957">
        <f t="shared" si="222"/>
        <v>16.240765211360355</v>
      </c>
      <c r="AN89" s="957">
        <f t="shared" si="222"/>
        <v>16.673418609126639</v>
      </c>
      <c r="AO89" s="957">
        <f t="shared" si="222"/>
        <v>16.84862158003515</v>
      </c>
      <c r="AP89" s="957">
        <f t="shared" si="222"/>
        <v>16.990523932954982</v>
      </c>
      <c r="AQ89" s="957">
        <f t="shared" si="222"/>
        <v>17.36681602365595</v>
      </c>
      <c r="AR89" s="957">
        <f t="shared" si="222"/>
        <v>17.766490156398653</v>
      </c>
      <c r="AS89" s="957">
        <f>($BB89-$AR89)/10+AR89</f>
        <v>17.817297159388684</v>
      </c>
      <c r="AT89" s="957">
        <f t="shared" ref="AT89:BA89" si="223">($BB89-$AR89)/10+AS89</f>
        <v>17.868104162378714</v>
      </c>
      <c r="AU89" s="957">
        <f t="shared" si="223"/>
        <v>17.918911165368744</v>
      </c>
      <c r="AV89" s="957">
        <f t="shared" si="223"/>
        <v>17.969718168358774</v>
      </c>
      <c r="AW89" s="957">
        <f t="shared" si="223"/>
        <v>18.020525171348805</v>
      </c>
      <c r="AX89" s="957">
        <f t="shared" si="223"/>
        <v>18.071332174338835</v>
      </c>
      <c r="AY89" s="957">
        <f t="shared" si="223"/>
        <v>18.122139177328865</v>
      </c>
      <c r="AZ89" s="957">
        <f t="shared" si="223"/>
        <v>18.172946180318895</v>
      </c>
      <c r="BA89" s="957">
        <f t="shared" si="223"/>
        <v>18.223753183308926</v>
      </c>
      <c r="BB89" s="959">
        <f>'AEO Data'!$B$30*AM89</f>
        <v>18.274560186298949</v>
      </c>
      <c r="BC89" s="957">
        <f t="shared" ref="BC89:BP92" si="224">($BQ89-$BB89)/15+BB89</f>
        <v>18.423467349139123</v>
      </c>
      <c r="BD89" s="957">
        <f t="shared" si="224"/>
        <v>18.572374511979298</v>
      </c>
      <c r="BE89" s="957">
        <f t="shared" si="224"/>
        <v>18.721281674819473</v>
      </c>
      <c r="BF89" s="957">
        <f t="shared" si="224"/>
        <v>18.870188837659647</v>
      </c>
      <c r="BG89" s="957">
        <f t="shared" si="224"/>
        <v>19.019096000499822</v>
      </c>
      <c r="BH89" s="957">
        <f t="shared" si="224"/>
        <v>19.168003163339996</v>
      </c>
      <c r="BI89" s="957">
        <f t="shared" si="224"/>
        <v>19.316910326180171</v>
      </c>
      <c r="BJ89" s="957">
        <f t="shared" si="224"/>
        <v>19.465817489020345</v>
      </c>
      <c r="BK89" s="957">
        <f t="shared" si="224"/>
        <v>19.61472465186052</v>
      </c>
      <c r="BL89" s="957">
        <f t="shared" si="224"/>
        <v>19.763631814700695</v>
      </c>
      <c r="BM89" s="957">
        <f t="shared" si="224"/>
        <v>19.912538977540869</v>
      </c>
      <c r="BN89" s="957">
        <f t="shared" si="224"/>
        <v>20.061446140381044</v>
      </c>
      <c r="BO89" s="957">
        <f t="shared" si="224"/>
        <v>20.210353303221218</v>
      </c>
      <c r="BP89" s="957">
        <f t="shared" si="224"/>
        <v>20.359260466061393</v>
      </c>
      <c r="BQ89" s="959">
        <f>'AEO Data'!$C$30*BB89</f>
        <v>20.508167628901592</v>
      </c>
      <c r="BR89" s="957">
        <f t="shared" ref="BR89:BU92" si="225">($BV89-$BQ89)/5+BQ89</f>
        <v>20.62538963666017</v>
      </c>
      <c r="BS89" s="957">
        <f t="shared" si="225"/>
        <v>20.742611644418748</v>
      </c>
      <c r="BT89" s="957">
        <f t="shared" si="225"/>
        <v>20.859833652177326</v>
      </c>
      <c r="BU89" s="957">
        <f t="shared" si="225"/>
        <v>20.977055659935903</v>
      </c>
      <c r="BV89" s="960">
        <f>'AEO Data'!$D$30*BQ89</f>
        <v>21.094277667694488</v>
      </c>
      <c r="BW89" s="1395">
        <f>+BV89*BW$133/BV$133</f>
        <v>21.164316872120814</v>
      </c>
      <c r="BX89" s="1395">
        <f t="shared" ref="BX89:CZ89" si="226">+BW89*BX$133/BW$133</f>
        <v>21.234588627300191</v>
      </c>
      <c r="BY89" s="1395">
        <f t="shared" si="226"/>
        <v>21.305093705369501</v>
      </c>
      <c r="BZ89" s="1395">
        <f t="shared" si="226"/>
        <v>21.375832881029339</v>
      </c>
      <c r="CA89" s="1395">
        <f t="shared" si="226"/>
        <v>21.446806931552544</v>
      </c>
      <c r="CB89" s="1395">
        <f t="shared" si="226"/>
        <v>21.492572878539132</v>
      </c>
      <c r="CC89" s="1395">
        <f t="shared" si="226"/>
        <v>21.538436486772465</v>
      </c>
      <c r="CD89" s="1395">
        <f t="shared" si="226"/>
        <v>21.584397964654634</v>
      </c>
      <c r="CE89" s="1395">
        <f t="shared" si="226"/>
        <v>21.630457521032444</v>
      </c>
      <c r="CF89" s="1395">
        <f t="shared" si="226"/>
        <v>21.676615365198366</v>
      </c>
      <c r="CG89" s="1395">
        <f t="shared" si="226"/>
        <v>21.691602524401322</v>
      </c>
      <c r="CH89" s="1395">
        <f t="shared" si="226"/>
        <v>21.706600045689747</v>
      </c>
      <c r="CI89" s="1395">
        <f t="shared" si="226"/>
        <v>21.721607936227954</v>
      </c>
      <c r="CJ89" s="1395">
        <f t="shared" si="226"/>
        <v>21.736626203185217</v>
      </c>
      <c r="CK89" s="1395">
        <f t="shared" si="226"/>
        <v>21.751654853735772</v>
      </c>
      <c r="CL89" s="1395">
        <f t="shared" si="226"/>
        <v>21.756748899145897</v>
      </c>
      <c r="CM89" s="1395">
        <f t="shared" si="226"/>
        <v>21.76184413753646</v>
      </c>
      <c r="CN89" s="1395">
        <f t="shared" si="226"/>
        <v>21.766940569186843</v>
      </c>
      <c r="CO89" s="1395">
        <f t="shared" si="226"/>
        <v>21.772038194376496</v>
      </c>
      <c r="CP89" s="1395">
        <f t="shared" si="226"/>
        <v>21.777137013384934</v>
      </c>
      <c r="CQ89" s="1395">
        <f t="shared" si="226"/>
        <v>21.784864763140046</v>
      </c>
      <c r="CR89" s="1395">
        <f t="shared" si="226"/>
        <v>21.792595255134241</v>
      </c>
      <c r="CS89" s="1395">
        <f t="shared" si="226"/>
        <v>21.800328490340622</v>
      </c>
      <c r="CT89" s="1395">
        <f t="shared" si="226"/>
        <v>21.808064469732635</v>
      </c>
      <c r="CU89" s="1395">
        <f t="shared" si="226"/>
        <v>21.815803194284069</v>
      </c>
      <c r="CV89" s="1395">
        <f t="shared" si="226"/>
        <v>21.827713124132313</v>
      </c>
      <c r="CW89" s="1395">
        <f t="shared" si="226"/>
        <v>21.839629555984068</v>
      </c>
      <c r="CX89" s="1395">
        <f t="shared" si="226"/>
        <v>21.851552493388983</v>
      </c>
      <c r="CY89" s="1395">
        <f t="shared" si="226"/>
        <v>21.863481939898644</v>
      </c>
      <c r="CZ89" s="1395">
        <f t="shared" si="226"/>
        <v>21.875417899066573</v>
      </c>
    </row>
    <row r="90" spans="1:104" ht="13" x14ac:dyDescent="0.3">
      <c r="A90" s="872" t="str">
        <f>'HyARC Physical Property Data'!A71</f>
        <v>Commercial Natural Gas</v>
      </c>
      <c r="B90" s="260">
        <v>2012</v>
      </c>
      <c r="C90" s="873">
        <f t="shared" si="221"/>
        <v>1.0589185747008452</v>
      </c>
      <c r="D90" s="1255" t="str">
        <f>'HyARC Physical Property Data'!H71</f>
        <v>mmBtu</v>
      </c>
      <c r="E90" s="873" t="s">
        <v>1057</v>
      </c>
      <c r="F90" s="260">
        <f>'HyARC Physical Property Data'!$E$6</f>
        <v>47.141269049911173</v>
      </c>
      <c r="G90" s="260">
        <f>'HyARC Physical Property Data'!$I$6</f>
        <v>52.224661236371581</v>
      </c>
      <c r="H90" s="1066">
        <v>10.902002401006685</v>
      </c>
      <c r="I90" s="1066">
        <v>10.902002401006685</v>
      </c>
      <c r="J90" s="1066">
        <v>10.902002401006685</v>
      </c>
      <c r="K90" s="1066">
        <v>10.902002401006685</v>
      </c>
      <c r="L90" s="1066">
        <v>11.622313273930342</v>
      </c>
      <c r="M90" s="1066">
        <v>8.8092072972420112</v>
      </c>
      <c r="N90" s="1066">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37">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37">
        <f>'AEO Data'!$C$30*BB90</f>
        <v>16.784073860837033</v>
      </c>
      <c r="BR90" s="260">
        <f t="shared" si="225"/>
        <v>16.880009434991543</v>
      </c>
      <c r="BS90" s="260">
        <f t="shared" si="225"/>
        <v>16.975945009146052</v>
      </c>
      <c r="BT90" s="260">
        <f t="shared" si="225"/>
        <v>17.071880583300562</v>
      </c>
      <c r="BU90" s="260">
        <f t="shared" si="225"/>
        <v>17.167816157455071</v>
      </c>
      <c r="BV90" s="961">
        <f>'AEO Data'!$D$30*BQ90</f>
        <v>17.263751731609581</v>
      </c>
      <c r="BW90" s="1395">
        <f>+BV90*BW$134/BV$134</f>
        <v>17.321072463598775</v>
      </c>
      <c r="BX90" s="1395">
        <f t="shared" ref="BX90:CZ90" si="229">+BW90*BX$134/BW$134</f>
        <v>17.378583517272784</v>
      </c>
      <c r="BY90" s="1395">
        <f t="shared" si="229"/>
        <v>17.436285524555561</v>
      </c>
      <c r="BZ90" s="1395">
        <f t="shared" si="229"/>
        <v>17.494179119469241</v>
      </c>
      <c r="CA90" s="1395">
        <f t="shared" si="229"/>
        <v>17.552264938141089</v>
      </c>
      <c r="CB90" s="1395">
        <f t="shared" si="229"/>
        <v>17.589720211982893</v>
      </c>
      <c r="CC90" s="1395">
        <f t="shared" si="229"/>
        <v>17.627255412691312</v>
      </c>
      <c r="CD90" s="1395">
        <f t="shared" si="229"/>
        <v>17.664870710824552</v>
      </c>
      <c r="CE90" s="1395">
        <f t="shared" si="229"/>
        <v>17.702566277304761</v>
      </c>
      <c r="CF90" s="1395">
        <f t="shared" si="229"/>
        <v>17.740342283418837</v>
      </c>
      <c r="CG90" s="1395">
        <f t="shared" si="229"/>
        <v>17.752607912975723</v>
      </c>
      <c r="CH90" s="1395">
        <f t="shared" si="229"/>
        <v>17.764882022959085</v>
      </c>
      <c r="CI90" s="1395">
        <f t="shared" si="229"/>
        <v>17.77716461923227</v>
      </c>
      <c r="CJ90" s="1395">
        <f t="shared" si="229"/>
        <v>17.789455707662682</v>
      </c>
      <c r="CK90" s="1395">
        <f t="shared" si="229"/>
        <v>17.801755294121772</v>
      </c>
      <c r="CL90" s="1395">
        <f t="shared" si="229"/>
        <v>17.805924307948906</v>
      </c>
      <c r="CM90" s="1395">
        <f t="shared" si="229"/>
        <v>17.810094298122248</v>
      </c>
      <c r="CN90" s="1395">
        <f t="shared" si="229"/>
        <v>17.81426526487045</v>
      </c>
      <c r="CO90" s="1395">
        <f t="shared" si="229"/>
        <v>17.818437208422218</v>
      </c>
      <c r="CP90" s="1395">
        <f t="shared" si="229"/>
        <v>17.822610129006311</v>
      </c>
      <c r="CQ90" s="1395">
        <f t="shared" si="229"/>
        <v>17.828934590801964</v>
      </c>
      <c r="CR90" s="1395">
        <f t="shared" si="229"/>
        <v>17.835261296871419</v>
      </c>
      <c r="CS90" s="1395">
        <f t="shared" si="229"/>
        <v>17.84159024801107</v>
      </c>
      <c r="CT90" s="1395">
        <f t="shared" si="229"/>
        <v>17.847921445017597</v>
      </c>
      <c r="CU90" s="1395">
        <f t="shared" si="229"/>
        <v>17.854254888687954</v>
      </c>
      <c r="CV90" s="1395">
        <f t="shared" si="229"/>
        <v>17.864002085310659</v>
      </c>
      <c r="CW90" s="1395">
        <f t="shared" si="229"/>
        <v>17.873754603233113</v>
      </c>
      <c r="CX90" s="1395">
        <f t="shared" si="229"/>
        <v>17.883512445360374</v>
      </c>
      <c r="CY90" s="1395">
        <f t="shared" si="229"/>
        <v>17.893275614599098</v>
      </c>
      <c r="CZ90" s="1395">
        <f t="shared" si="229"/>
        <v>17.903044113857518</v>
      </c>
    </row>
    <row r="91" spans="1:104" ht="13" x14ac:dyDescent="0.3">
      <c r="A91" s="872" t="str">
        <f>'HyARC Physical Property Data'!A72</f>
        <v>Industrial Natural Gas</v>
      </c>
      <c r="B91" s="260">
        <v>2012</v>
      </c>
      <c r="C91" s="873">
        <f t="shared" si="221"/>
        <v>1.0589185747008452</v>
      </c>
      <c r="D91" s="1255" t="str">
        <f>'HyARC Physical Property Data'!H72</f>
        <v>mmBtu</v>
      </c>
      <c r="E91" s="873" t="s">
        <v>1057</v>
      </c>
      <c r="F91" s="260">
        <f>'HyARC Physical Property Data'!$E$6</f>
        <v>47.141269049911173</v>
      </c>
      <c r="G91" s="260">
        <f>'HyARC Physical Property Data'!$I$6</f>
        <v>52.224661236371581</v>
      </c>
      <c r="H91" s="1066">
        <v>7.3783194821098821</v>
      </c>
      <c r="I91" s="1066">
        <v>7.3783194821098821</v>
      </c>
      <c r="J91" s="1066">
        <v>7.3783194821098821</v>
      </c>
      <c r="K91" s="1066">
        <v>7.3783194821098821</v>
      </c>
      <c r="L91" s="1066">
        <v>8.8676108815331158</v>
      </c>
      <c r="M91" s="1066">
        <v>4.0882509003775072</v>
      </c>
      <c r="N91" s="1066">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37">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37">
        <f>'AEO Data'!$C$30*BB91</f>
        <v>10.892608287193402</v>
      </c>
      <c r="BR91" s="260">
        <f t="shared" si="225"/>
        <v>10.954869013566299</v>
      </c>
      <c r="BS91" s="260">
        <f t="shared" si="225"/>
        <v>11.017129739939195</v>
      </c>
      <c r="BT91" s="260">
        <f t="shared" si="225"/>
        <v>11.079390466312091</v>
      </c>
      <c r="BU91" s="260">
        <f t="shared" si="225"/>
        <v>11.141651192684987</v>
      </c>
      <c r="BV91" s="961">
        <f>'AEO Data'!$D$30*BQ91</f>
        <v>11.203911919057887</v>
      </c>
      <c r="BW91" s="1395">
        <f>+BV91*BW$135/BV$135</f>
        <v>11.241112201031763</v>
      </c>
      <c r="BX91" s="1395">
        <f t="shared" ref="BX91:CZ91" si="232">+BW91*BX$135/BW$135</f>
        <v>11.278435998880177</v>
      </c>
      <c r="BY91" s="1395">
        <f t="shared" si="232"/>
        <v>11.315883722712151</v>
      </c>
      <c r="BZ91" s="1395">
        <f t="shared" si="232"/>
        <v>11.35345578399839</v>
      </c>
      <c r="CA91" s="1395">
        <f t="shared" si="232"/>
        <v>11.391152595575804</v>
      </c>
      <c r="CB91" s="1395">
        <f t="shared" si="232"/>
        <v>11.415460497794959</v>
      </c>
      <c r="CC91" s="1395">
        <f t="shared" si="232"/>
        <v>11.439820271333133</v>
      </c>
      <c r="CD91" s="1395">
        <f t="shared" si="232"/>
        <v>11.464232026880003</v>
      </c>
      <c r="CE91" s="1395">
        <f t="shared" si="232"/>
        <v>11.488695875361442</v>
      </c>
      <c r="CF91" s="1395">
        <f t="shared" si="232"/>
        <v>11.513211927940032</v>
      </c>
      <c r="CG91" s="1395">
        <f t="shared" si="232"/>
        <v>11.521172134697148</v>
      </c>
      <c r="CH91" s="1395">
        <f t="shared" si="232"/>
        <v>11.529137845121877</v>
      </c>
      <c r="CI91" s="1395">
        <f t="shared" si="232"/>
        <v>11.537109063019443</v>
      </c>
      <c r="CJ91" s="1395">
        <f t="shared" si="232"/>
        <v>11.545085792197696</v>
      </c>
      <c r="CK91" s="1395">
        <f t="shared" si="232"/>
        <v>11.553068036467128</v>
      </c>
      <c r="CL91" s="1395">
        <f t="shared" si="232"/>
        <v>11.55577366294014</v>
      </c>
      <c r="CM91" s="1395">
        <f t="shared" si="232"/>
        <v>11.558479923046971</v>
      </c>
      <c r="CN91" s="1395">
        <f t="shared" si="232"/>
        <v>11.56118681693601</v>
      </c>
      <c r="CO91" s="1395">
        <f t="shared" si="232"/>
        <v>11.563894344755685</v>
      </c>
      <c r="CP91" s="1395">
        <f t="shared" si="232"/>
        <v>11.566602506654455</v>
      </c>
      <c r="CQ91" s="1395">
        <f t="shared" si="232"/>
        <v>11.570706986028089</v>
      </c>
      <c r="CR91" s="1395">
        <f t="shared" si="232"/>
        <v>11.574812921901238</v>
      </c>
      <c r="CS91" s="1395">
        <f t="shared" si="232"/>
        <v>11.578920314790748</v>
      </c>
      <c r="CT91" s="1395">
        <f t="shared" si="232"/>
        <v>11.583029165213651</v>
      </c>
      <c r="CU91" s="1395">
        <f t="shared" si="232"/>
        <v>11.587139473687161</v>
      </c>
      <c r="CV91" s="1395">
        <f t="shared" si="232"/>
        <v>11.593465255829788</v>
      </c>
      <c r="CW91" s="1395">
        <f t="shared" si="232"/>
        <v>11.599794491414899</v>
      </c>
      <c r="CX91" s="1395">
        <f t="shared" si="232"/>
        <v>11.606127182327835</v>
      </c>
      <c r="CY91" s="1395">
        <f t="shared" si="232"/>
        <v>11.612463330454966</v>
      </c>
      <c r="CZ91" s="1395">
        <f t="shared" si="232"/>
        <v>11.618802937683697</v>
      </c>
    </row>
    <row r="92" spans="1:104" ht="13" x14ac:dyDescent="0.3">
      <c r="A92" s="872" t="str">
        <f>'HyARC Physical Property Data'!A74</f>
        <v>Electric Utility Natural Gas</v>
      </c>
      <c r="B92" s="260">
        <v>2012</v>
      </c>
      <c r="C92" s="873">
        <f t="shared" si="221"/>
        <v>1.0589185747008452</v>
      </c>
      <c r="D92" s="1255" t="str">
        <f>'HyARC Physical Property Data'!H74</f>
        <v>mmBtu</v>
      </c>
      <c r="E92" s="873" t="s">
        <v>1057</v>
      </c>
      <c r="F92" s="260">
        <f>'HyARC Physical Property Data'!$E$6</f>
        <v>47.141269049911173</v>
      </c>
      <c r="G92" s="260">
        <f>'HyARC Physical Property Data'!$I$6</f>
        <v>52.224661236371581</v>
      </c>
      <c r="H92" s="1066">
        <v>7.0668336992239764</v>
      </c>
      <c r="I92" s="1066">
        <v>7.0668336992239764</v>
      </c>
      <c r="J92" s="1066">
        <v>7.0668336992239764</v>
      </c>
      <c r="K92" s="1066">
        <v>7.0668336992239764</v>
      </c>
      <c r="L92" s="1066">
        <v>8.8481430201027482</v>
      </c>
      <c r="M92" s="1066">
        <v>4.0298473160863999</v>
      </c>
      <c r="N92" s="1066">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37">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37">
        <f>'AEO Data'!$C$30*BB92</f>
        <v>10.231578547272965</v>
      </c>
      <c r="BR92" s="260">
        <f t="shared" si="225"/>
        <v>10.2900609139843</v>
      </c>
      <c r="BS92" s="260">
        <f t="shared" si="225"/>
        <v>10.348543280695635</v>
      </c>
      <c r="BT92" s="260">
        <f t="shared" si="225"/>
        <v>10.40702564740697</v>
      </c>
      <c r="BU92" s="260">
        <f t="shared" si="225"/>
        <v>10.465508014118305</v>
      </c>
      <c r="BV92" s="961">
        <f>'AEO Data'!$D$30*BQ92</f>
        <v>10.523990380829638</v>
      </c>
      <c r="BW92" s="1395">
        <f>+BV92*BW$136/BV$136</f>
        <v>10.558933123372203</v>
      </c>
      <c r="BX92" s="1395">
        <f t="shared" ref="BX92:CZ92" si="235">+BW92*BX$136/BW$136</f>
        <v>10.593991886094585</v>
      </c>
      <c r="BY92" s="1395">
        <f t="shared" si="235"/>
        <v>10.6291670542179</v>
      </c>
      <c r="BZ92" s="1395">
        <f t="shared" si="235"/>
        <v>10.664459014242302</v>
      </c>
      <c r="CA92" s="1395">
        <f t="shared" si="235"/>
        <v>10.699868153951249</v>
      </c>
      <c r="CB92" s="1395">
        <f t="shared" si="235"/>
        <v>10.722700904777984</v>
      </c>
      <c r="CC92" s="1395">
        <f t="shared" si="235"/>
        <v>10.745582379056525</v>
      </c>
      <c r="CD92" s="1395">
        <f t="shared" si="235"/>
        <v>10.768512680759219</v>
      </c>
      <c r="CE92" s="1395">
        <f t="shared" si="235"/>
        <v>10.791491914080288</v>
      </c>
      <c r="CF92" s="1395">
        <f t="shared" si="235"/>
        <v>10.814520183436294</v>
      </c>
      <c r="CG92" s="1395">
        <f t="shared" si="235"/>
        <v>10.82199731641864</v>
      </c>
      <c r="CH92" s="1395">
        <f t="shared" si="235"/>
        <v>10.829479619072567</v>
      </c>
      <c r="CI92" s="1395">
        <f t="shared" si="235"/>
        <v>10.836967094972369</v>
      </c>
      <c r="CJ92" s="1395">
        <f t="shared" si="235"/>
        <v>10.84445974769482</v>
      </c>
      <c r="CK92" s="1395">
        <f t="shared" si="235"/>
        <v>10.851957580819162</v>
      </c>
      <c r="CL92" s="1395">
        <f t="shared" si="235"/>
        <v>10.854499013417151</v>
      </c>
      <c r="CM92" s="1395">
        <f t="shared" si="235"/>
        <v>10.857041041196203</v>
      </c>
      <c r="CN92" s="1395">
        <f t="shared" si="235"/>
        <v>10.859583664295704</v>
      </c>
      <c r="CO92" s="1395">
        <f t="shared" si="235"/>
        <v>10.862126882855071</v>
      </c>
      <c r="CP92" s="1395">
        <f t="shared" si="235"/>
        <v>10.864670697013759</v>
      </c>
      <c r="CQ92" s="1395">
        <f t="shared" si="235"/>
        <v>10.868526091607942</v>
      </c>
      <c r="CR92" s="1395">
        <f t="shared" si="235"/>
        <v>10.872382854312388</v>
      </c>
      <c r="CS92" s="1395">
        <f t="shared" si="235"/>
        <v>10.876240985612579</v>
      </c>
      <c r="CT92" s="1395">
        <f t="shared" si="235"/>
        <v>10.88010048599417</v>
      </c>
      <c r="CU92" s="1395">
        <f t="shared" si="235"/>
        <v>10.883961355942985</v>
      </c>
      <c r="CV92" s="1395">
        <f t="shared" si="235"/>
        <v>10.889903251140053</v>
      </c>
      <c r="CW92" s="1395">
        <f t="shared" si="235"/>
        <v>10.895848390203703</v>
      </c>
      <c r="CX92" s="1395">
        <f t="shared" si="235"/>
        <v>10.901796774904867</v>
      </c>
      <c r="CY92" s="1395">
        <f t="shared" si="235"/>
        <v>10.907748407015436</v>
      </c>
      <c r="CZ92" s="1395">
        <f t="shared" si="235"/>
        <v>10.913703288308273</v>
      </c>
    </row>
    <row r="93" spans="1:104" ht="13" x14ac:dyDescent="0.3">
      <c r="A93" s="872" t="str">
        <f>'HyARC Physical Property Data'!A75</f>
        <v>Bio Methane</v>
      </c>
      <c r="B93" s="260">
        <v>2007</v>
      </c>
      <c r="C93" s="873">
        <f t="shared" si="221"/>
        <v>1.1446359956438654</v>
      </c>
      <c r="D93" s="1255" t="str">
        <f>'HyARC Physical Property Data'!H75</f>
        <v>mmBtu</v>
      </c>
      <c r="E93" s="873" t="s">
        <v>1057</v>
      </c>
      <c r="F93" s="260">
        <f>'HyARC Physical Property Data'!$E$6</f>
        <v>47.141269049911173</v>
      </c>
      <c r="G93" s="260">
        <f>'HyARC Physical Property Data'!$I$6</f>
        <v>52.224661236371581</v>
      </c>
      <c r="H93" s="1066">
        <v>12.42654028436019</v>
      </c>
      <c r="I93" s="1066">
        <v>12.42654028436019</v>
      </c>
      <c r="J93" s="1066">
        <v>12.42654028436019</v>
      </c>
      <c r="K93" s="1066">
        <v>12.42654028436019</v>
      </c>
      <c r="L93" s="1066">
        <v>12.42654028436019</v>
      </c>
      <c r="M93" s="1066">
        <v>12.42654028436019</v>
      </c>
      <c r="N93" s="1066">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75">
        <f t="shared" si="237"/>
        <v>14.223865310797228</v>
      </c>
      <c r="BW93" s="1395">
        <f>+BV93*BW$136/BV$136</f>
        <v>14.271092726019944</v>
      </c>
      <c r="BX93" s="1395">
        <f t="shared" ref="BX93:CZ93" si="238">+BW93*BX$136/BW$136</f>
        <v>14.318476950147966</v>
      </c>
      <c r="BY93" s="1395">
        <f t="shared" si="238"/>
        <v>14.366018503832969</v>
      </c>
      <c r="BZ93" s="1395">
        <f t="shared" si="238"/>
        <v>14.413717909455341</v>
      </c>
      <c r="CA93" s="1395">
        <f t="shared" si="238"/>
        <v>14.461575691129934</v>
      </c>
      <c r="CB93" s="1395">
        <f t="shared" si="238"/>
        <v>14.49243565590395</v>
      </c>
      <c r="CC93" s="1395">
        <f t="shared" si="238"/>
        <v>14.523361473628309</v>
      </c>
      <c r="CD93" s="1395">
        <f t="shared" si="238"/>
        <v>14.554353284828478</v>
      </c>
      <c r="CE93" s="1395">
        <f t="shared" si="238"/>
        <v>14.585411230329802</v>
      </c>
      <c r="CF93" s="1395">
        <f t="shared" si="238"/>
        <v>14.616535451258134</v>
      </c>
      <c r="CG93" s="1395">
        <f t="shared" si="238"/>
        <v>14.626641288360148</v>
      </c>
      <c r="CH93" s="1395">
        <f t="shared" si="238"/>
        <v>14.636754112613382</v>
      </c>
      <c r="CI93" s="1395">
        <f t="shared" si="238"/>
        <v>14.646873928848736</v>
      </c>
      <c r="CJ93" s="1395">
        <f t="shared" si="238"/>
        <v>14.657000741900452</v>
      </c>
      <c r="CK93" s="1395">
        <f t="shared" si="238"/>
        <v>14.667134556606111</v>
      </c>
      <c r="CL93" s="1395">
        <f t="shared" si="238"/>
        <v>14.670569469948116</v>
      </c>
      <c r="CM93" s="1395">
        <f t="shared" si="238"/>
        <v>14.674005187716483</v>
      </c>
      <c r="CN93" s="1395">
        <f t="shared" si="238"/>
        <v>14.6774417100996</v>
      </c>
      <c r="CO93" s="1395">
        <f t="shared" si="238"/>
        <v>14.6808790372859</v>
      </c>
      <c r="CP93" s="1395">
        <f t="shared" si="238"/>
        <v>14.684317169463862</v>
      </c>
      <c r="CQ93" s="1395">
        <f t="shared" si="238"/>
        <v>14.689527988881515</v>
      </c>
      <c r="CR93" s="1395">
        <f t="shared" si="238"/>
        <v>14.69474065739019</v>
      </c>
      <c r="CS93" s="1395">
        <f t="shared" si="238"/>
        <v>14.699955175646044</v>
      </c>
      <c r="CT93" s="1395">
        <f t="shared" si="238"/>
        <v>14.705171544305472</v>
      </c>
      <c r="CU93" s="1395">
        <f t="shared" si="238"/>
        <v>14.710389764025104</v>
      </c>
      <c r="CV93" s="1395">
        <f t="shared" si="238"/>
        <v>14.718420626266095</v>
      </c>
      <c r="CW93" s="1395">
        <f t="shared" si="238"/>
        <v>14.726455872806168</v>
      </c>
      <c r="CX93" s="1395">
        <f t="shared" si="238"/>
        <v>14.734495506038849</v>
      </c>
      <c r="CY93" s="1395">
        <f t="shared" si="238"/>
        <v>14.74253952835897</v>
      </c>
      <c r="CZ93" s="1395">
        <f t="shared" si="238"/>
        <v>14.750587942162673</v>
      </c>
    </row>
    <row r="94" spans="1:104" ht="13" x14ac:dyDescent="0.3">
      <c r="A94" s="962" t="str">
        <f>'HyARC Physical Property Data'!A85</f>
        <v>Woody Biomass</v>
      </c>
      <c r="B94" s="260">
        <v>2005</v>
      </c>
      <c r="C94" s="873">
        <f t="shared" si="221"/>
        <v>1.2112501494873942</v>
      </c>
      <c r="D94" s="1257" t="str">
        <f>+'HyARC Physical Property Data'!$H$85</f>
        <v>kg</v>
      </c>
      <c r="E94" s="873" t="s">
        <v>1057</v>
      </c>
      <c r="F94" s="260">
        <f>'HyARC Physical Property Data'!$E$45</f>
        <v>19.551069237418005</v>
      </c>
      <c r="G94" s="260">
        <f>'HyARC Physical Property Data'!$I$45</f>
        <v>20.588656379262464</v>
      </c>
      <c r="H94" s="1066">
        <v>1.3438238843289665</v>
      </c>
      <c r="I94" s="1066">
        <v>1.3438238843289665</v>
      </c>
      <c r="J94" s="1066">
        <v>1.3438238843289665</v>
      </c>
      <c r="K94" s="1066">
        <v>1.3438238843289665</v>
      </c>
      <c r="L94" s="1066">
        <v>1.3438238843289665</v>
      </c>
      <c r="M94" s="1066">
        <v>1.3438238843289665</v>
      </c>
      <c r="N94" s="1066">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75">
        <f>4.99*($C$94)</f>
        <v>6.0441382459420971</v>
      </c>
      <c r="BW94" s="1395">
        <f>+BV94*BW$137/BV$137</f>
        <v>6.0586659764672328</v>
      </c>
      <c r="BX94" s="1395">
        <f t="shared" ref="BX94:CZ94" si="239">+BW94*BX$137/BW$137</f>
        <v>6.0732286259412112</v>
      </c>
      <c r="BY94" s="1395">
        <f t="shared" si="239"/>
        <v>6.0878262782954495</v>
      </c>
      <c r="BZ94" s="1395">
        <f t="shared" si="239"/>
        <v>6.1024590176630999</v>
      </c>
      <c r="CA94" s="1395">
        <f t="shared" si="239"/>
        <v>6.1171269283795393</v>
      </c>
      <c r="CB94" s="1395">
        <f t="shared" si="239"/>
        <v>6.1299667153690152</v>
      </c>
      <c r="CC94" s="1395">
        <f t="shared" si="239"/>
        <v>6.1428334529403346</v>
      </c>
      <c r="CD94" s="1395">
        <f t="shared" si="239"/>
        <v>6.155727197662495</v>
      </c>
      <c r="CE94" s="1395">
        <f t="shared" si="239"/>
        <v>6.1686480062232301</v>
      </c>
      <c r="CF94" s="1395">
        <f t="shared" si="239"/>
        <v>6.18159593542926</v>
      </c>
      <c r="CG94" s="1395">
        <f t="shared" si="239"/>
        <v>6.197524392005751</v>
      </c>
      <c r="CH94" s="1395">
        <f t="shared" si="239"/>
        <v>6.2134938923080965</v>
      </c>
      <c r="CI94" s="1395">
        <f t="shared" si="239"/>
        <v>6.229504542095909</v>
      </c>
      <c r="CJ94" s="1395">
        <f t="shared" si="239"/>
        <v>6.245556447401321</v>
      </c>
      <c r="CK94" s="1395">
        <f t="shared" si="239"/>
        <v>6.2616497145296828</v>
      </c>
      <c r="CL94" s="1395">
        <f t="shared" si="239"/>
        <v>6.2750522655841658</v>
      </c>
      <c r="CM94" s="1395">
        <f t="shared" si="239"/>
        <v>6.2884835037072264</v>
      </c>
      <c r="CN94" s="1395">
        <f t="shared" si="239"/>
        <v>6.3019434903011975</v>
      </c>
      <c r="CO94" s="1395">
        <f t="shared" si="239"/>
        <v>6.3154322868998385</v>
      </c>
      <c r="CP94" s="1395">
        <f t="shared" si="239"/>
        <v>6.3289499551686168</v>
      </c>
      <c r="CQ94" s="1395">
        <f t="shared" si="239"/>
        <v>6.3413225489579119</v>
      </c>
      <c r="CR94" s="1395">
        <f t="shared" si="239"/>
        <v>6.3537193301840116</v>
      </c>
      <c r="CS94" s="1395">
        <f t="shared" si="239"/>
        <v>6.3661403461314299</v>
      </c>
      <c r="CT94" s="1395">
        <f t="shared" si="239"/>
        <v>6.3785856441771198</v>
      </c>
      <c r="CU94" s="1395">
        <f t="shared" si="239"/>
        <v>6.3910552717906537</v>
      </c>
      <c r="CV94" s="1395">
        <f t="shared" si="239"/>
        <v>6.4057772391562917</v>
      </c>
      <c r="CW94" s="1395">
        <f t="shared" si="239"/>
        <v>6.4205331189689208</v>
      </c>
      <c r="CX94" s="1395">
        <f t="shared" si="239"/>
        <v>6.4353229893467718</v>
      </c>
      <c r="CY94" s="1395">
        <f t="shared" si="239"/>
        <v>6.4501469285880244</v>
      </c>
      <c r="CZ94" s="1395">
        <f t="shared" si="239"/>
        <v>6.4650050151712186</v>
      </c>
    </row>
    <row r="95" spans="1:104" ht="13" x14ac:dyDescent="0.3">
      <c r="A95" s="908" t="str">
        <f>'HyARC Physical Property Data'!A80</f>
        <v>Metallurgical Coal</v>
      </c>
      <c r="B95" s="260">
        <v>2012</v>
      </c>
      <c r="C95" s="873">
        <f t="shared" si="221"/>
        <v>1.0589185747008452</v>
      </c>
      <c r="D95" s="1256" t="str">
        <f>+'HyARC Physical Property Data'!H80</f>
        <v>kg</v>
      </c>
      <c r="E95" s="900" t="s">
        <v>1051</v>
      </c>
      <c r="F95" s="260">
        <f>'HyARC Physical Property Data'!$E$44</f>
        <v>28.610197070281195</v>
      </c>
      <c r="G95" s="260">
        <f>'HyARC Physical Property Data'!$I$44</f>
        <v>29.865267156269461</v>
      </c>
      <c r="H95" s="1067">
        <v>3.3844321322674711</v>
      </c>
      <c r="I95" s="1067">
        <v>3.3844321322674711</v>
      </c>
      <c r="J95" s="1067">
        <v>3.3844321322674711</v>
      </c>
      <c r="K95" s="1067">
        <v>3.3844321322674711</v>
      </c>
      <c r="L95" s="1067">
        <v>4.1181843560652975</v>
      </c>
      <c r="M95" s="1067">
        <v>4.3291381204071717</v>
      </c>
      <c r="N95" s="1067">
        <v>4.4025133427869543</v>
      </c>
      <c r="O95" s="963">
        <f t="shared" ref="O95:AR95" si="240">O111*($C95/mmBTU_to_GJ*$G95/$F95)</f>
        <v>7.4754647098413036</v>
      </c>
      <c r="P95" s="963">
        <f t="shared" si="240"/>
        <v>7.5961523788362539</v>
      </c>
      <c r="Q95" s="963">
        <f t="shared" si="240"/>
        <v>7.7888515723825718</v>
      </c>
      <c r="R95" s="963">
        <f t="shared" si="240"/>
        <v>7.8710115565120651</v>
      </c>
      <c r="S95" s="963">
        <f t="shared" si="240"/>
        <v>8.1298664269345355</v>
      </c>
      <c r="T95" s="963">
        <f t="shared" si="240"/>
        <v>8.3275528874219908</v>
      </c>
      <c r="U95" s="963">
        <f t="shared" si="240"/>
        <v>8.4326459175194799</v>
      </c>
      <c r="V95" s="963">
        <f t="shared" si="240"/>
        <v>8.5820072281905144</v>
      </c>
      <c r="W95" s="963">
        <f t="shared" si="240"/>
        <v>8.6973241555173413</v>
      </c>
      <c r="X95" s="963">
        <f t="shared" si="240"/>
        <v>8.8306675382480098</v>
      </c>
      <c r="Y95" s="963">
        <f t="shared" si="240"/>
        <v>8.9332721736007059</v>
      </c>
      <c r="Z95" s="963">
        <f t="shared" si="240"/>
        <v>9.0455694993887992</v>
      </c>
      <c r="AA95" s="963">
        <f t="shared" si="240"/>
        <v>9.1556508441725821</v>
      </c>
      <c r="AB95" s="963">
        <f t="shared" si="240"/>
        <v>9.2678109153452777</v>
      </c>
      <c r="AC95" s="963">
        <f t="shared" si="240"/>
        <v>9.379158984022304</v>
      </c>
      <c r="AD95" s="963">
        <f t="shared" si="240"/>
        <v>9.4759674931736608</v>
      </c>
      <c r="AE95" s="963">
        <f t="shared" si="240"/>
        <v>9.5858141430425672</v>
      </c>
      <c r="AF95" s="963">
        <f t="shared" si="240"/>
        <v>9.7090321165885385</v>
      </c>
      <c r="AG95" s="963">
        <f t="shared" si="240"/>
        <v>9.8280622527471682</v>
      </c>
      <c r="AH95" s="963">
        <f t="shared" si="240"/>
        <v>9.9673233001172399</v>
      </c>
      <c r="AI95" s="963">
        <f t="shared" si="240"/>
        <v>10.050780392749491</v>
      </c>
      <c r="AJ95" s="963">
        <f t="shared" si="240"/>
        <v>10.135476967900939</v>
      </c>
      <c r="AK95" s="963">
        <f t="shared" si="240"/>
        <v>10.225183860386949</v>
      </c>
      <c r="AL95" s="963">
        <f t="shared" si="240"/>
        <v>10.307087146953293</v>
      </c>
      <c r="AM95" s="963">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37">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37">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61">
        <f>('AEO Data'!$D$28*BQ95)</f>
        <v>11.669767881573351</v>
      </c>
      <c r="BW95" s="1395">
        <f t="shared" ref="BW95:CZ95" si="244">+BV95*BW$138/BV$138</f>
        <v>11.709222844508201</v>
      </c>
      <c r="BX95" s="1395">
        <f t="shared" si="244"/>
        <v>11.748811202906952</v>
      </c>
      <c r="BY95" s="1395">
        <f t="shared" si="244"/>
        <v>11.788533407773697</v>
      </c>
      <c r="BZ95" s="1395">
        <f t="shared" si="244"/>
        <v>11.828389911637355</v>
      </c>
      <c r="CA95" s="1395">
        <f t="shared" si="244"/>
        <v>11.868381168556825</v>
      </c>
      <c r="CB95" s="1395">
        <f t="shared" si="244"/>
        <v>11.902362207175498</v>
      </c>
      <c r="CC95" s="1395">
        <f t="shared" si="244"/>
        <v>11.936440538842751</v>
      </c>
      <c r="CD95" s="1395">
        <f t="shared" si="244"/>
        <v>11.970616442123857</v>
      </c>
      <c r="CE95" s="1395">
        <f t="shared" si="244"/>
        <v>12.004890196381666</v>
      </c>
      <c r="CF95" s="1395">
        <f t="shared" si="244"/>
        <v>12.039262081778887</v>
      </c>
      <c r="CG95" s="1395">
        <f t="shared" si="244"/>
        <v>12.065505052077379</v>
      </c>
      <c r="CH95" s="1395">
        <f t="shared" si="244"/>
        <v>12.091805226337826</v>
      </c>
      <c r="CI95" s="1395">
        <f t="shared" si="244"/>
        <v>12.118162729252409</v>
      </c>
      <c r="CJ95" s="1395">
        <f t="shared" si="244"/>
        <v>12.144577685785119</v>
      </c>
      <c r="CK95" s="1395">
        <f t="shared" si="244"/>
        <v>12.171050221172331</v>
      </c>
      <c r="CL95" s="1395">
        <f t="shared" si="244"/>
        <v>12.188996392854733</v>
      </c>
      <c r="CM95" s="1395">
        <f t="shared" si="244"/>
        <v>12.206969026105547</v>
      </c>
      <c r="CN95" s="1395">
        <f t="shared" si="244"/>
        <v>12.224968159942263</v>
      </c>
      <c r="CO95" s="1395">
        <f t="shared" si="244"/>
        <v>12.242993833439904</v>
      </c>
      <c r="CP95" s="1395">
        <f t="shared" si="244"/>
        <v>12.261046085731108</v>
      </c>
      <c r="CQ95" s="1395">
        <f t="shared" si="244"/>
        <v>12.267091502720543</v>
      </c>
      <c r="CR95" s="1395">
        <f t="shared" si="244"/>
        <v>12.273139900456183</v>
      </c>
      <c r="CS95" s="1395">
        <f t="shared" si="244"/>
        <v>12.27919128040771</v>
      </c>
      <c r="CT95" s="1395">
        <f t="shared" si="244"/>
        <v>12.285245644045531</v>
      </c>
      <c r="CU95" s="1395">
        <f t="shared" si="244"/>
        <v>12.291302992840782</v>
      </c>
      <c r="CV95" s="1395">
        <f t="shared" si="244"/>
        <v>12.282597276301862</v>
      </c>
      <c r="CW95" s="1395">
        <f t="shared" si="244"/>
        <v>12.273897725870841</v>
      </c>
      <c r="CX95" s="1395">
        <f t="shared" si="244"/>
        <v>12.26520433718037</v>
      </c>
      <c r="CY95" s="1395">
        <f t="shared" si="244"/>
        <v>12.256517105866193</v>
      </c>
      <c r="CZ95" s="1395">
        <f t="shared" si="244"/>
        <v>12.247836027567152</v>
      </c>
    </row>
    <row r="96" spans="1:104" ht="13" x14ac:dyDescent="0.3">
      <c r="A96" s="908" t="str">
        <f>'HyARC Physical Property Data'!A81</f>
        <v>Other Industrial Coal</v>
      </c>
      <c r="B96" s="260">
        <v>2012</v>
      </c>
      <c r="C96" s="873">
        <f t="shared" si="221"/>
        <v>1.0589185747008452</v>
      </c>
      <c r="D96" s="1256" t="str">
        <f>+'HyARC Physical Property Data'!H81</f>
        <v>kg</v>
      </c>
      <c r="E96" s="900" t="s">
        <v>1051</v>
      </c>
      <c r="F96" s="260">
        <f>'HyARC Physical Property Data'!$E$42</f>
        <v>22.7322030001394</v>
      </c>
      <c r="G96" s="260">
        <f>'HyARC Physical Property Data'!$I$42</f>
        <v>23.967615189707661</v>
      </c>
      <c r="H96" s="1067">
        <v>1.7045706620386931</v>
      </c>
      <c r="I96" s="1067">
        <v>1.7045706620386931</v>
      </c>
      <c r="J96" s="1067">
        <v>1.7045706620386931</v>
      </c>
      <c r="K96" s="1067">
        <v>1.7045706620386931</v>
      </c>
      <c r="L96" s="1067">
        <v>1.9454339077615519</v>
      </c>
      <c r="M96" s="1067">
        <v>2.0288096466656182</v>
      </c>
      <c r="N96" s="1067">
        <v>1.8805861108361666</v>
      </c>
      <c r="O96" s="963">
        <f t="shared" ref="O96:AR96" si="245">O112*($C96/mmBTU_to_GJ*$G96/$F96)</f>
        <v>3.5000719734406505</v>
      </c>
      <c r="P96" s="963">
        <f t="shared" si="245"/>
        <v>3.4283630486034649</v>
      </c>
      <c r="Q96" s="963">
        <f t="shared" si="245"/>
        <v>3.5082354103172322</v>
      </c>
      <c r="R96" s="963">
        <f t="shared" si="245"/>
        <v>3.4729360065765973</v>
      </c>
      <c r="S96" s="963">
        <f t="shared" si="245"/>
        <v>3.5728444520840283</v>
      </c>
      <c r="T96" s="963">
        <f t="shared" si="245"/>
        <v>3.6374683095257363</v>
      </c>
      <c r="U96" s="963">
        <f t="shared" si="245"/>
        <v>3.6626327333639828</v>
      </c>
      <c r="V96" s="963">
        <f t="shared" si="245"/>
        <v>3.7258057129267965</v>
      </c>
      <c r="W96" s="963">
        <f t="shared" si="245"/>
        <v>3.7685626924606996</v>
      </c>
      <c r="X96" s="963">
        <f t="shared" si="245"/>
        <v>3.8026038220962977</v>
      </c>
      <c r="Y96" s="963">
        <f t="shared" si="245"/>
        <v>3.8249701999011396</v>
      </c>
      <c r="Z96" s="963">
        <f t="shared" si="245"/>
        <v>3.8516352399554865</v>
      </c>
      <c r="AA96" s="963">
        <f t="shared" si="245"/>
        <v>3.8787257015323093</v>
      </c>
      <c r="AB96" s="963">
        <f t="shared" si="245"/>
        <v>3.9124059636575477</v>
      </c>
      <c r="AC96" s="963">
        <f t="shared" si="245"/>
        <v>3.9446681540411968</v>
      </c>
      <c r="AD96" s="963">
        <f t="shared" si="245"/>
        <v>3.9749376361491651</v>
      </c>
      <c r="AE96" s="963">
        <f t="shared" si="245"/>
        <v>4.0052642644317942</v>
      </c>
      <c r="AF96" s="963">
        <f t="shared" si="245"/>
        <v>4.0387455732082129</v>
      </c>
      <c r="AG96" s="963">
        <f t="shared" si="245"/>
        <v>4.0690235214161303</v>
      </c>
      <c r="AH96" s="963">
        <f t="shared" si="245"/>
        <v>4.1108047829308205</v>
      </c>
      <c r="AI96" s="963">
        <f t="shared" si="245"/>
        <v>4.1436733577233733</v>
      </c>
      <c r="AJ96" s="963">
        <f t="shared" si="245"/>
        <v>4.1746317687147547</v>
      </c>
      <c r="AK96" s="963">
        <f t="shared" si="245"/>
        <v>4.2078082978929805</v>
      </c>
      <c r="AL96" s="963">
        <f t="shared" si="245"/>
        <v>4.2335251347529512</v>
      </c>
      <c r="AM96" s="963">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37">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37">
        <f>('AEO Data'!$C$28*BB96)</f>
        <v>4.705145808410248</v>
      </c>
      <c r="BR96" s="260">
        <f t="shared" si="243"/>
        <v>4.7202300397216757</v>
      </c>
      <c r="BS96" s="260">
        <f t="shared" si="243"/>
        <v>4.7353142710331033</v>
      </c>
      <c r="BT96" s="260">
        <f t="shared" si="243"/>
        <v>4.750398502344531</v>
      </c>
      <c r="BU96" s="260">
        <f t="shared" si="243"/>
        <v>4.7654827336559586</v>
      </c>
      <c r="BV96" s="961">
        <f>('AEO Data'!$D$28*BQ96)</f>
        <v>4.7805669649673872</v>
      </c>
      <c r="BW96" s="1395">
        <f t="shared" ref="BW96:CZ96" si="248">+BV96*BW$138/BV$138</f>
        <v>4.7967298479248255</v>
      </c>
      <c r="BX96" s="1395">
        <f t="shared" si="248"/>
        <v>4.8129473768661839</v>
      </c>
      <c r="BY96" s="1395">
        <f t="shared" si="248"/>
        <v>4.8292197365470884</v>
      </c>
      <c r="BZ96" s="1395">
        <f t="shared" si="248"/>
        <v>4.8455471123478153</v>
      </c>
      <c r="CA96" s="1395">
        <f t="shared" si="248"/>
        <v>4.8619296902754039</v>
      </c>
      <c r="CB96" s="1395">
        <f t="shared" si="248"/>
        <v>4.8758501583004978</v>
      </c>
      <c r="CC96" s="1395">
        <f t="shared" si="248"/>
        <v>4.8898104828110576</v>
      </c>
      <c r="CD96" s="1395">
        <f t="shared" si="248"/>
        <v>4.9038107779224589</v>
      </c>
      <c r="CE96" s="1395">
        <f t="shared" si="248"/>
        <v>4.9178511580768074</v>
      </c>
      <c r="CF96" s="1395">
        <f t="shared" si="248"/>
        <v>4.9319317380438736</v>
      </c>
      <c r="CG96" s="1395">
        <f t="shared" si="248"/>
        <v>4.9426822755134054</v>
      </c>
      <c r="CH96" s="1395">
        <f t="shared" si="248"/>
        <v>4.9534562468141461</v>
      </c>
      <c r="CI96" s="1395">
        <f t="shared" si="248"/>
        <v>4.9642537030267464</v>
      </c>
      <c r="CJ96" s="1395">
        <f t="shared" si="248"/>
        <v>4.9750746953432019</v>
      </c>
      <c r="CK96" s="1395">
        <f t="shared" si="248"/>
        <v>4.9859192750670944</v>
      </c>
      <c r="CL96" s="1395">
        <f t="shared" si="248"/>
        <v>4.993270995886494</v>
      </c>
      <c r="CM96" s="1395">
        <f t="shared" si="248"/>
        <v>5.0006335567929519</v>
      </c>
      <c r="CN96" s="1395">
        <f t="shared" si="248"/>
        <v>5.0080069737701391</v>
      </c>
      <c r="CO96" s="1395">
        <f t="shared" si="248"/>
        <v>5.015391262825295</v>
      </c>
      <c r="CP96" s="1395">
        <f t="shared" si="248"/>
        <v>5.0227864399892601</v>
      </c>
      <c r="CQ96" s="1395">
        <f t="shared" si="248"/>
        <v>5.0252629691749675</v>
      </c>
      <c r="CR96" s="1395">
        <f t="shared" si="248"/>
        <v>5.0277407194352479</v>
      </c>
      <c r="CS96" s="1395">
        <f t="shared" si="248"/>
        <v>5.0302196913721628</v>
      </c>
      <c r="CT96" s="1395">
        <f t="shared" si="248"/>
        <v>5.0326998855880705</v>
      </c>
      <c r="CU96" s="1395">
        <f t="shared" si="248"/>
        <v>5.0351813026856274</v>
      </c>
      <c r="CV96" s="1395">
        <f t="shared" si="248"/>
        <v>5.0316149711771789</v>
      </c>
      <c r="CW96" s="1395">
        <f t="shared" si="248"/>
        <v>5.0280511656394289</v>
      </c>
      <c r="CX96" s="1395">
        <f t="shared" si="248"/>
        <v>5.024489884283275</v>
      </c>
      <c r="CY96" s="1395">
        <f t="shared" si="248"/>
        <v>5.0209311253208835</v>
      </c>
      <c r="CZ96" s="1395">
        <f t="shared" si="248"/>
        <v>5.0173748869656869</v>
      </c>
    </row>
    <row r="97" spans="1:104" ht="13" x14ac:dyDescent="0.3">
      <c r="A97" s="908" t="str">
        <f>'HyARC Physical Property Data'!A79</f>
        <v>Electric Utility Steam Coal</v>
      </c>
      <c r="B97" s="260">
        <v>2012</v>
      </c>
      <c r="C97" s="873">
        <f t="shared" si="221"/>
        <v>1.0589185747008452</v>
      </c>
      <c r="D97" s="1257" t="str">
        <f>+'HyARC Physical Property Data'!$H$79</f>
        <v>kg</v>
      </c>
      <c r="E97" s="900" t="s">
        <v>1051</v>
      </c>
      <c r="F97" s="260">
        <f>'HyARC Physical Property Data'!$E$42</f>
        <v>22.7322030001394</v>
      </c>
      <c r="G97" s="260">
        <f>'HyARC Physical Property Data'!$I$42</f>
        <v>23.967615189707661</v>
      </c>
      <c r="H97" s="1066">
        <v>1.6675147780813302</v>
      </c>
      <c r="I97" s="1066">
        <v>1.6675147780813302</v>
      </c>
      <c r="J97" s="1066">
        <v>1.6675147780813302</v>
      </c>
      <c r="K97" s="1066">
        <v>1.6675147780813302</v>
      </c>
      <c r="L97" s="1066">
        <v>1.899114052814848</v>
      </c>
      <c r="M97" s="1066">
        <v>1.9917537627082553</v>
      </c>
      <c r="N97" s="1066">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37">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37">
        <f>('AEO Data'!$C$28*BB97)</f>
        <v>3.5615609910697135</v>
      </c>
      <c r="BR97" s="260">
        <f t="shared" si="243"/>
        <v>3.5729790027545003</v>
      </c>
      <c r="BS97" s="260">
        <f t="shared" si="243"/>
        <v>3.5843970144392872</v>
      </c>
      <c r="BT97" s="260">
        <f t="shared" si="243"/>
        <v>3.595815026124074</v>
      </c>
      <c r="BU97" s="260">
        <f t="shared" si="243"/>
        <v>3.6072330378088608</v>
      </c>
      <c r="BV97" s="961">
        <f>('AEO Data'!$D$28*BQ97)</f>
        <v>3.6186510494936472</v>
      </c>
      <c r="BW97" s="1395">
        <f t="shared" ref="BW97:CZ97" si="252">+BV97*BW$138/BV$138</f>
        <v>3.6308855467416481</v>
      </c>
      <c r="BX97" s="1395">
        <f t="shared" si="252"/>
        <v>3.6431614082772978</v>
      </c>
      <c r="BY97" s="1395">
        <f t="shared" si="252"/>
        <v>3.6554787739514016</v>
      </c>
      <c r="BZ97" s="1395">
        <f t="shared" si="252"/>
        <v>3.6678377840875944</v>
      </c>
      <c r="CA97" s="1395">
        <f t="shared" si="252"/>
        <v>3.6802385794839378</v>
      </c>
      <c r="CB97" s="1395">
        <f t="shared" si="252"/>
        <v>3.6907756803336049</v>
      </c>
      <c r="CC97" s="1395">
        <f t="shared" si="252"/>
        <v>3.701342950557327</v>
      </c>
      <c r="CD97" s="1395">
        <f t="shared" si="252"/>
        <v>3.7119404765347586</v>
      </c>
      <c r="CE97" s="1395">
        <f t="shared" si="252"/>
        <v>3.7225683448928724</v>
      </c>
      <c r="CF97" s="1395">
        <f t="shared" si="252"/>
        <v>3.7332266425066685</v>
      </c>
      <c r="CG97" s="1395">
        <f t="shared" si="252"/>
        <v>3.7413642638352314</v>
      </c>
      <c r="CH97" s="1395">
        <f t="shared" si="252"/>
        <v>3.7495196234066683</v>
      </c>
      <c r="CI97" s="1395">
        <f t="shared" si="252"/>
        <v>3.7576927598864862</v>
      </c>
      <c r="CJ97" s="1395">
        <f t="shared" si="252"/>
        <v>3.7658837120244759</v>
      </c>
      <c r="CK97" s="1395">
        <f t="shared" si="252"/>
        <v>3.7740925186548933</v>
      </c>
      <c r="CL97" s="1395">
        <f t="shared" si="252"/>
        <v>3.7796574050906777</v>
      </c>
      <c r="CM97" s="1395">
        <f t="shared" si="252"/>
        <v>3.785230496932368</v>
      </c>
      <c r="CN97" s="1395">
        <f t="shared" si="252"/>
        <v>3.7908118062788079</v>
      </c>
      <c r="CO97" s="1395">
        <f t="shared" si="252"/>
        <v>3.7964013452466796</v>
      </c>
      <c r="CP97" s="1395">
        <f t="shared" si="252"/>
        <v>3.8019991259705304</v>
      </c>
      <c r="CQ97" s="1395">
        <f t="shared" si="252"/>
        <v>3.803873735196305</v>
      </c>
      <c r="CR97" s="1395">
        <f t="shared" si="252"/>
        <v>3.8057492687147039</v>
      </c>
      <c r="CS97" s="1395">
        <f t="shared" si="252"/>
        <v>3.807625726981458</v>
      </c>
      <c r="CT97" s="1395">
        <f t="shared" si="252"/>
        <v>3.8095031104525217</v>
      </c>
      <c r="CU97" s="1395">
        <f t="shared" si="252"/>
        <v>3.8113814195840758</v>
      </c>
      <c r="CV97" s="1395">
        <f t="shared" si="252"/>
        <v>3.808681884288271</v>
      </c>
      <c r="CW97" s="1395">
        <f t="shared" si="252"/>
        <v>3.8059842610264538</v>
      </c>
      <c r="CX97" s="1395">
        <f t="shared" si="252"/>
        <v>3.8032885484443635</v>
      </c>
      <c r="CY97" s="1395">
        <f t="shared" si="252"/>
        <v>3.8005947451886986</v>
      </c>
      <c r="CZ97" s="1395">
        <f t="shared" si="252"/>
        <v>3.7979028499071168</v>
      </c>
    </row>
    <row r="98" spans="1:104" ht="13" x14ac:dyDescent="0.3">
      <c r="A98" s="876" t="str">
        <f>'HyARC Physical Property Data'!A76</f>
        <v>Commercial Electricity</v>
      </c>
      <c r="B98" s="260">
        <v>2012</v>
      </c>
      <c r="C98" s="873">
        <f t="shared" si="221"/>
        <v>1.0589185747008452</v>
      </c>
      <c r="D98" s="1245" t="str">
        <f>'HyARC Physical Property Data'!$H$76</f>
        <v>kWh</v>
      </c>
      <c r="E98" s="873" t="s">
        <v>1070</v>
      </c>
      <c r="F98" s="877"/>
      <c r="G98" s="873"/>
      <c r="H98" s="1066">
        <v>26.706046857142852</v>
      </c>
      <c r="I98" s="1066">
        <v>26.706046857142852</v>
      </c>
      <c r="J98" s="1066">
        <v>26.706046857142852</v>
      </c>
      <c r="K98" s="1066">
        <v>26.706046857142852</v>
      </c>
      <c r="L98" s="1066">
        <v>28.244819428571425</v>
      </c>
      <c r="M98" s="1066">
        <v>26.82655314285714</v>
      </c>
      <c r="N98" s="1066">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37">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37">
        <f>'AEO Data'!$C$33*BB98</f>
        <v>33.312642882218888</v>
      </c>
      <c r="BR98" s="260">
        <f t="shared" si="243"/>
        <v>33.29021180684974</v>
      </c>
      <c r="BS98" s="260">
        <f t="shared" si="243"/>
        <v>33.267780731480592</v>
      </c>
      <c r="BT98" s="260">
        <f t="shared" si="243"/>
        <v>33.245349656111443</v>
      </c>
      <c r="BU98" s="260">
        <f t="shared" si="243"/>
        <v>33.222918580742295</v>
      </c>
      <c r="BV98" s="961">
        <f>'AEO Data'!$D$33*BQ98</f>
        <v>33.200487505373161</v>
      </c>
      <c r="BW98" s="1395">
        <f>+BV98*BW$139/BV$139</f>
        <v>33.185869205539639</v>
      </c>
      <c r="BX98" s="1395">
        <f t="shared" ref="BX98:CZ98" si="256">+BW98*BX$139/BW$139</f>
        <v>33.171257342198651</v>
      </c>
      <c r="BY98" s="1395">
        <f t="shared" si="256"/>
        <v>33.156651912516189</v>
      </c>
      <c r="BZ98" s="1395">
        <f t="shared" si="256"/>
        <v>33.142052913659484</v>
      </c>
      <c r="CA98" s="1395">
        <f t="shared" si="256"/>
        <v>33.127460342797029</v>
      </c>
      <c r="CB98" s="1395">
        <f t="shared" si="256"/>
        <v>33.100925764400195</v>
      </c>
      <c r="CC98" s="1395">
        <f t="shared" si="256"/>
        <v>33.074412439786272</v>
      </c>
      <c r="CD98" s="1395">
        <f t="shared" si="256"/>
        <v>33.047920351931317</v>
      </c>
      <c r="CE98" s="1395">
        <f t="shared" si="256"/>
        <v>33.021449483825023</v>
      </c>
      <c r="CF98" s="1395">
        <f t="shared" si="256"/>
        <v>32.994999818470696</v>
      </c>
      <c r="CG98" s="1395">
        <f t="shared" si="256"/>
        <v>32.958563922192354</v>
      </c>
      <c r="CH98" s="1395">
        <f t="shared" si="256"/>
        <v>32.922168261541977</v>
      </c>
      <c r="CI98" s="1395">
        <f t="shared" si="256"/>
        <v>32.885812792087954</v>
      </c>
      <c r="CJ98" s="1395">
        <f t="shared" si="256"/>
        <v>32.849497469447741</v>
      </c>
      <c r="CK98" s="1395">
        <f t="shared" si="256"/>
        <v>32.81322224928779</v>
      </c>
      <c r="CL98" s="1395">
        <f t="shared" si="256"/>
        <v>32.773673393987664</v>
      </c>
      <c r="CM98" s="1395">
        <f t="shared" si="256"/>
        <v>32.734172205812207</v>
      </c>
      <c r="CN98" s="1395">
        <f t="shared" si="256"/>
        <v>32.694718627309562</v>
      </c>
      <c r="CO98" s="1395">
        <f t="shared" si="256"/>
        <v>32.65531260109713</v>
      </c>
      <c r="CP98" s="1395">
        <f t="shared" si="256"/>
        <v>32.615954069861473</v>
      </c>
      <c r="CQ98" s="1395">
        <f t="shared" si="256"/>
        <v>32.57036661325251</v>
      </c>
      <c r="CR98" s="1395">
        <f t="shared" si="256"/>
        <v>32.524842874423982</v>
      </c>
      <c r="CS98" s="1395">
        <f t="shared" si="256"/>
        <v>32.479382764317279</v>
      </c>
      <c r="CT98" s="1395">
        <f t="shared" si="256"/>
        <v>32.433986193998265</v>
      </c>
      <c r="CU98" s="1395">
        <f t="shared" si="256"/>
        <v>32.388653074657114</v>
      </c>
      <c r="CV98" s="1395">
        <f t="shared" si="256"/>
        <v>32.344399879459552</v>
      </c>
      <c r="CW98" s="1395">
        <f t="shared" si="256"/>
        <v>32.300207148193003</v>
      </c>
      <c r="CX98" s="1395">
        <f t="shared" si="256"/>
        <v>32.256074798244526</v>
      </c>
      <c r="CY98" s="1395">
        <f t="shared" si="256"/>
        <v>32.212002747114042</v>
      </c>
      <c r="CZ98" s="1395">
        <f t="shared" si="256"/>
        <v>32.167990912414197</v>
      </c>
    </row>
    <row r="99" spans="1:104" ht="13" x14ac:dyDescent="0.3">
      <c r="A99" s="876" t="str">
        <f>'HyARC Physical Property Data'!A77</f>
        <v>Industrial Electricity</v>
      </c>
      <c r="B99" s="260">
        <v>2012</v>
      </c>
      <c r="C99" s="873">
        <f t="shared" si="221"/>
        <v>1.0589185747008452</v>
      </c>
      <c r="D99" s="1245" t="str">
        <f>'HyARC Physical Property Data'!$H$77</f>
        <v>kWh</v>
      </c>
      <c r="E99" s="873" t="s">
        <v>1070</v>
      </c>
      <c r="F99" s="884"/>
      <c r="G99" s="222"/>
      <c r="H99" s="1066">
        <v>17.630996571428568</v>
      </c>
      <c r="I99" s="1066">
        <v>17.630996571428568</v>
      </c>
      <c r="J99" s="1066">
        <v>17.630996571428568</v>
      </c>
      <c r="K99" s="1066">
        <v>17.630996571428568</v>
      </c>
      <c r="L99" s="1066">
        <v>18.734092571428569</v>
      </c>
      <c r="M99" s="1066">
        <v>18.576507428571425</v>
      </c>
      <c r="N99" s="1066">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37">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37">
        <f>'AEO Data'!$C$33*BB99</f>
        <v>23.863725395110453</v>
      </c>
      <c r="BR99" s="260">
        <f t="shared" si="243"/>
        <v>23.847656750397427</v>
      </c>
      <c r="BS99" s="260">
        <f t="shared" si="243"/>
        <v>23.8315881056844</v>
      </c>
      <c r="BT99" s="260">
        <f t="shared" si="243"/>
        <v>23.815519460971373</v>
      </c>
      <c r="BU99" s="260">
        <f t="shared" si="243"/>
        <v>23.799450816258346</v>
      </c>
      <c r="BV99" s="961">
        <f>'AEO Data'!$D$33*BQ99</f>
        <v>23.783382171545323</v>
      </c>
      <c r="BW99" s="1395">
        <f>+BV99*BW$140/BV$140</f>
        <v>23.79056855003947</v>
      </c>
      <c r="BX99" s="1395">
        <f t="shared" ref="BX99:CZ99" si="260">+BW99*BX$140/BW$140</f>
        <v>23.797757099967246</v>
      </c>
      <c r="BY99" s="1395">
        <f t="shared" si="260"/>
        <v>23.804947821984772</v>
      </c>
      <c r="BZ99" s="1395">
        <f t="shared" si="260"/>
        <v>23.812140716748367</v>
      </c>
      <c r="CA99" s="1395">
        <f t="shared" si="260"/>
        <v>23.819335784914539</v>
      </c>
      <c r="CB99" s="1395">
        <f t="shared" si="260"/>
        <v>23.816642001078176</v>
      </c>
      <c r="CC99" s="1395">
        <f t="shared" si="260"/>
        <v>23.813948521888062</v>
      </c>
      <c r="CD99" s="1395">
        <f t="shared" si="260"/>
        <v>23.811255347309746</v>
      </c>
      <c r="CE99" s="1395">
        <f t="shared" si="260"/>
        <v>23.808562477308776</v>
      </c>
      <c r="CF99" s="1395">
        <f t="shared" si="260"/>
        <v>23.805869911850717</v>
      </c>
      <c r="CG99" s="1395">
        <f t="shared" si="260"/>
        <v>23.795071358532098</v>
      </c>
      <c r="CH99" s="1395">
        <f t="shared" si="260"/>
        <v>23.784277703532847</v>
      </c>
      <c r="CI99" s="1395">
        <f t="shared" si="260"/>
        <v>23.773488944631048</v>
      </c>
      <c r="CJ99" s="1395">
        <f t="shared" si="260"/>
        <v>23.762705079605791</v>
      </c>
      <c r="CK99" s="1395">
        <f t="shared" si="260"/>
        <v>23.751926106237168</v>
      </c>
      <c r="CL99" s="1395">
        <f t="shared" si="260"/>
        <v>23.738702519984074</v>
      </c>
      <c r="CM99" s="1395">
        <f t="shared" si="260"/>
        <v>23.725486295796383</v>
      </c>
      <c r="CN99" s="1395">
        <f t="shared" si="260"/>
        <v>23.712277429575355</v>
      </c>
      <c r="CO99" s="1395">
        <f t="shared" si="260"/>
        <v>23.699075917224537</v>
      </c>
      <c r="CP99" s="1395">
        <f t="shared" si="260"/>
        <v>23.685881754649749</v>
      </c>
      <c r="CQ99" s="1395">
        <f t="shared" si="260"/>
        <v>23.667805095398695</v>
      </c>
      <c r="CR99" s="1395">
        <f t="shared" si="260"/>
        <v>23.649742231944352</v>
      </c>
      <c r="CS99" s="1395">
        <f t="shared" si="260"/>
        <v>23.631693153758011</v>
      </c>
      <c r="CT99" s="1395">
        <f t="shared" si="260"/>
        <v>23.613657850318987</v>
      </c>
      <c r="CU99" s="1395">
        <f t="shared" si="260"/>
        <v>23.595636311114628</v>
      </c>
      <c r="CV99" s="1395">
        <f t="shared" si="260"/>
        <v>23.578692647144699</v>
      </c>
      <c r="CW99" s="1395">
        <f t="shared" si="260"/>
        <v>23.561761150159583</v>
      </c>
      <c r="CX99" s="1395">
        <f t="shared" si="260"/>
        <v>23.544841811422359</v>
      </c>
      <c r="CY99" s="1395">
        <f t="shared" si="260"/>
        <v>23.527934622202373</v>
      </c>
      <c r="CZ99" s="1395">
        <f t="shared" si="260"/>
        <v>23.511039573775246</v>
      </c>
    </row>
    <row r="100" spans="1:104" ht="13.5" thickBot="1" x14ac:dyDescent="0.35">
      <c r="A100" s="878" t="str">
        <f>'HyARC Physical Property Data'!A78</f>
        <v>Residential Electricity</v>
      </c>
      <c r="B100" s="879">
        <v>2012</v>
      </c>
      <c r="C100" s="880">
        <f t="shared" si="221"/>
        <v>1.0589185747008452</v>
      </c>
      <c r="D100" s="1246" t="str">
        <f>'HyARC Physical Property Data'!$H$78</f>
        <v>kWh</v>
      </c>
      <c r="E100" s="880" t="s">
        <v>1070</v>
      </c>
      <c r="F100" s="885"/>
      <c r="G100" s="568"/>
      <c r="H100" s="1068">
        <v>29.496230857142855</v>
      </c>
      <c r="I100" s="1068">
        <v>29.496230857142855</v>
      </c>
      <c r="J100" s="1068">
        <v>29.496230857142855</v>
      </c>
      <c r="K100" s="1068">
        <v>29.496230857142855</v>
      </c>
      <c r="L100" s="1068">
        <v>30.858878857142852</v>
      </c>
      <c r="M100" s="1068">
        <v>29.96898628571428</v>
      </c>
      <c r="N100" s="1068">
        <v>28.680495999999998</v>
      </c>
      <c r="O100" s="879">
        <f t="shared" ref="O100:AR100" si="261">O116*($C100)</f>
        <v>37.012259165882554</v>
      </c>
      <c r="P100" s="879">
        <f t="shared" si="261"/>
        <v>36.883387716422881</v>
      </c>
      <c r="Q100" s="879">
        <f t="shared" si="261"/>
        <v>36.020153058652454</v>
      </c>
      <c r="R100" s="879">
        <f t="shared" si="261"/>
        <v>36.437036594489285</v>
      </c>
      <c r="S100" s="879">
        <f t="shared" si="261"/>
        <v>37.000471284308979</v>
      </c>
      <c r="T100" s="879">
        <f t="shared" si="261"/>
        <v>37.234901031887702</v>
      </c>
      <c r="U100" s="879">
        <f t="shared" si="261"/>
        <v>37.611895105015549</v>
      </c>
      <c r="V100" s="879">
        <f t="shared" si="261"/>
        <v>38.029256213129564</v>
      </c>
      <c r="W100" s="879">
        <f t="shared" si="261"/>
        <v>38.30980398247366</v>
      </c>
      <c r="X100" s="879">
        <f t="shared" si="261"/>
        <v>38.276616415423959</v>
      </c>
      <c r="Y100" s="879">
        <f t="shared" si="261"/>
        <v>38.186511974984086</v>
      </c>
      <c r="Z100" s="879">
        <f t="shared" si="261"/>
        <v>37.913659366922346</v>
      </c>
      <c r="AA100" s="879">
        <f t="shared" si="261"/>
        <v>37.798756112381561</v>
      </c>
      <c r="AB100" s="879">
        <f t="shared" si="261"/>
        <v>38.164246094113849</v>
      </c>
      <c r="AC100" s="879">
        <f t="shared" si="261"/>
        <v>38.270815659471751</v>
      </c>
      <c r="AD100" s="879">
        <f t="shared" si="261"/>
        <v>38.382554865311334</v>
      </c>
      <c r="AE100" s="879">
        <f t="shared" si="261"/>
        <v>38.619545078003675</v>
      </c>
      <c r="AF100" s="879">
        <f t="shared" si="261"/>
        <v>38.734851780521424</v>
      </c>
      <c r="AG100" s="879">
        <f t="shared" si="261"/>
        <v>38.88910974389097</v>
      </c>
      <c r="AH100" s="879">
        <f t="shared" si="261"/>
        <v>39.160747772347534</v>
      </c>
      <c r="AI100" s="879">
        <f t="shared" si="261"/>
        <v>39.451321382756888</v>
      </c>
      <c r="AJ100" s="879">
        <f t="shared" si="261"/>
        <v>39.535438697575401</v>
      </c>
      <c r="AK100" s="879">
        <f t="shared" si="261"/>
        <v>39.570735630425908</v>
      </c>
      <c r="AL100" s="879">
        <f t="shared" si="261"/>
        <v>39.780803897275057</v>
      </c>
      <c r="AM100" s="879">
        <f t="shared" si="261"/>
        <v>40.046078884016239</v>
      </c>
      <c r="AN100" s="879">
        <f t="shared" si="261"/>
        <v>40.326008244912707</v>
      </c>
      <c r="AO100" s="879">
        <f t="shared" si="261"/>
        <v>40.555429307633098</v>
      </c>
      <c r="AP100" s="879">
        <f t="shared" si="261"/>
        <v>40.630021649872177</v>
      </c>
      <c r="AQ100" s="879">
        <f t="shared" si="261"/>
        <v>40.855427293357288</v>
      </c>
      <c r="AR100" s="879">
        <f t="shared" si="261"/>
        <v>41.122689870263187</v>
      </c>
      <c r="AS100" s="879">
        <f t="shared" ref="AS100:BA100" si="262">($BB100-$AR100)/10+AR100</f>
        <v>40.915200036704469</v>
      </c>
      <c r="AT100" s="879">
        <f t="shared" si="262"/>
        <v>40.707710203145751</v>
      </c>
      <c r="AU100" s="879">
        <f t="shared" si="262"/>
        <v>40.500220369587034</v>
      </c>
      <c r="AV100" s="879">
        <f t="shared" si="262"/>
        <v>40.292730536028316</v>
      </c>
      <c r="AW100" s="879">
        <f t="shared" si="262"/>
        <v>40.085240702469598</v>
      </c>
      <c r="AX100" s="879">
        <f t="shared" si="262"/>
        <v>39.87775086891088</v>
      </c>
      <c r="AY100" s="879">
        <f t="shared" si="262"/>
        <v>39.670261035352162</v>
      </c>
      <c r="AZ100" s="879">
        <f t="shared" si="262"/>
        <v>39.462771201793444</v>
      </c>
      <c r="BA100" s="879">
        <f t="shared" si="262"/>
        <v>39.255281368234726</v>
      </c>
      <c r="BB100" s="966">
        <f>'AEO Data'!$B$33*AM100</f>
        <v>39.047791534675994</v>
      </c>
      <c r="BC100" s="879">
        <f t="shared" ref="BC100:BP100" si="263">($BQ100-$BB100)/15+BB100</f>
        <v>39.070541707817128</v>
      </c>
      <c r="BD100" s="879">
        <f t="shared" si="263"/>
        <v>39.093291880958262</v>
      </c>
      <c r="BE100" s="879">
        <f t="shared" si="263"/>
        <v>39.116042054099395</v>
      </c>
      <c r="BF100" s="879">
        <f t="shared" si="263"/>
        <v>39.138792227240529</v>
      </c>
      <c r="BG100" s="879">
        <f t="shared" si="263"/>
        <v>39.161542400381663</v>
      </c>
      <c r="BH100" s="879">
        <f t="shared" si="263"/>
        <v>39.184292573522796</v>
      </c>
      <c r="BI100" s="879">
        <f t="shared" si="263"/>
        <v>39.20704274666393</v>
      </c>
      <c r="BJ100" s="879">
        <f t="shared" si="263"/>
        <v>39.229792919805064</v>
      </c>
      <c r="BK100" s="879">
        <f t="shared" si="263"/>
        <v>39.252543092946198</v>
      </c>
      <c r="BL100" s="879">
        <f t="shared" si="263"/>
        <v>39.275293266087331</v>
      </c>
      <c r="BM100" s="879">
        <f t="shared" si="263"/>
        <v>39.298043439228465</v>
      </c>
      <c r="BN100" s="879">
        <f t="shared" si="263"/>
        <v>39.320793612369599</v>
      </c>
      <c r="BO100" s="879">
        <f t="shared" si="263"/>
        <v>39.343543785510732</v>
      </c>
      <c r="BP100" s="879">
        <f t="shared" si="263"/>
        <v>39.366293958651866</v>
      </c>
      <c r="BQ100" s="966">
        <f>'AEO Data'!$C$33*BB100</f>
        <v>39.389044131793007</v>
      </c>
      <c r="BR100" s="879">
        <f t="shared" si="243"/>
        <v>39.362521510313748</v>
      </c>
      <c r="BS100" s="879">
        <f t="shared" si="243"/>
        <v>39.335998888834489</v>
      </c>
      <c r="BT100" s="879">
        <f t="shared" si="243"/>
        <v>39.30947626735523</v>
      </c>
      <c r="BU100" s="879">
        <f t="shared" si="243"/>
        <v>39.28295364587597</v>
      </c>
      <c r="BV100" s="967">
        <f>'AEO Data'!$D$33*BQ100</f>
        <v>39.256431024396711</v>
      </c>
      <c r="BW100" s="1395">
        <f>+BV100*BW$141/BV$141</f>
        <v>39.239146269797381</v>
      </c>
      <c r="BX100" s="1395">
        <f t="shared" ref="BX100:CZ100" si="264">+BW100*BX$141/BW$141</f>
        <v>39.221869125740675</v>
      </c>
      <c r="BY100" s="1395">
        <f t="shared" si="264"/>
        <v>39.204599588875645</v>
      </c>
      <c r="BZ100" s="1395">
        <f t="shared" si="264"/>
        <v>39.187337655852808</v>
      </c>
      <c r="CA100" s="1395">
        <f t="shared" si="264"/>
        <v>39.170083323324171</v>
      </c>
      <c r="CB100" s="1395">
        <f t="shared" si="264"/>
        <v>39.138708698285058</v>
      </c>
      <c r="CC100" s="1395">
        <f t="shared" si="264"/>
        <v>39.107359203830633</v>
      </c>
      <c r="CD100" s="1395">
        <f t="shared" si="264"/>
        <v>39.076034819831698</v>
      </c>
      <c r="CE100" s="1395">
        <f t="shared" si="264"/>
        <v>39.044735526175167</v>
      </c>
      <c r="CF100" s="1395">
        <f t="shared" si="264"/>
        <v>39.013461302764064</v>
      </c>
      <c r="CG100" s="1395">
        <f t="shared" si="264"/>
        <v>38.970379307391816</v>
      </c>
      <c r="CH100" s="1395">
        <f t="shared" si="264"/>
        <v>38.927344886837673</v>
      </c>
      <c r="CI100" s="1395">
        <f t="shared" si="264"/>
        <v>38.884357988565462</v>
      </c>
      <c r="CJ100" s="1395">
        <f t="shared" si="264"/>
        <v>38.841418560097019</v>
      </c>
      <c r="CK100" s="1395">
        <f t="shared" si="264"/>
        <v>38.798526549012138</v>
      </c>
      <c r="CL100" s="1395">
        <f t="shared" si="264"/>
        <v>38.751763774521798</v>
      </c>
      <c r="CM100" s="1395">
        <f t="shared" si="264"/>
        <v>38.70505736189034</v>
      </c>
      <c r="CN100" s="1395">
        <f t="shared" si="264"/>
        <v>38.658407243186389</v>
      </c>
      <c r="CO100" s="1395">
        <f t="shared" si="264"/>
        <v>38.61181335056046</v>
      </c>
      <c r="CP100" s="1395">
        <f t="shared" si="264"/>
        <v>38.565275616244847</v>
      </c>
      <c r="CQ100" s="1395">
        <f t="shared" si="264"/>
        <v>38.511372767810535</v>
      </c>
      <c r="CR100" s="1395">
        <f t="shared" si="264"/>
        <v>38.457545259614896</v>
      </c>
      <c r="CS100" s="1395">
        <f t="shared" si="264"/>
        <v>38.403792986354553</v>
      </c>
      <c r="CT100" s="1395">
        <f t="shared" si="264"/>
        <v>38.350115842873322</v>
      </c>
      <c r="CU100" s="1395">
        <f t="shared" si="264"/>
        <v>38.296513724162004</v>
      </c>
      <c r="CV100" s="1395">
        <f t="shared" si="264"/>
        <v>38.244188513437287</v>
      </c>
      <c r="CW100" s="1395">
        <f t="shared" si="264"/>
        <v>38.191934795582569</v>
      </c>
      <c r="CX100" s="1395">
        <f t="shared" si="264"/>
        <v>38.139752472915873</v>
      </c>
      <c r="CY100" s="1395">
        <f t="shared" si="264"/>
        <v>38.087641447888679</v>
      </c>
      <c r="CZ100" s="1395">
        <f t="shared" si="264"/>
        <v>38.035601623085753</v>
      </c>
    </row>
    <row r="101" spans="1:104" ht="13" thickTop="1" x14ac:dyDescent="0.25">
      <c r="D101" s="1093"/>
    </row>
    <row r="102" spans="1:104" ht="13" thickBot="1" x14ac:dyDescent="0.3">
      <c r="D102" s="1093"/>
    </row>
    <row r="103" spans="1:104" s="1050" customFormat="1" ht="13" x14ac:dyDescent="0.3">
      <c r="A103" s="1046" t="s">
        <v>1158</v>
      </c>
      <c r="B103" s="1047"/>
      <c r="C103" s="1048"/>
      <c r="D103" s="1249"/>
      <c r="E103" s="1048"/>
      <c r="F103" s="1047"/>
      <c r="G103" s="1047"/>
      <c r="H103" s="1047"/>
      <c r="I103" s="1047"/>
      <c r="J103" s="1047"/>
      <c r="K103" s="1047"/>
      <c r="L103" s="1047"/>
      <c r="M103" s="1047"/>
      <c r="N103" s="1047"/>
      <c r="O103" s="1047"/>
      <c r="P103" s="1047"/>
      <c r="Q103" s="1047"/>
      <c r="R103" s="1047"/>
      <c r="S103" s="1047"/>
      <c r="T103" s="1047"/>
      <c r="U103" s="1047"/>
      <c r="V103" s="1047"/>
      <c r="W103" s="1047"/>
      <c r="X103" s="1047"/>
      <c r="Y103" s="1047"/>
      <c r="Z103" s="1047"/>
      <c r="AA103" s="1047"/>
      <c r="AB103" s="1047"/>
      <c r="AC103" s="1047"/>
      <c r="AD103" s="1047"/>
      <c r="AE103" s="1047"/>
      <c r="AF103" s="1047"/>
      <c r="AG103" s="1047"/>
      <c r="AH103" s="1047"/>
      <c r="AI103" s="1047"/>
      <c r="AJ103" s="1047"/>
      <c r="AK103" s="1047"/>
      <c r="AL103" s="1047"/>
      <c r="AM103" s="1047"/>
      <c r="AN103" s="1047"/>
      <c r="AO103" s="1047"/>
      <c r="AP103" s="1047"/>
      <c r="AQ103" s="1047"/>
      <c r="AR103" s="1047"/>
      <c r="AS103" s="1047"/>
      <c r="AT103" s="1047"/>
      <c r="AU103" s="1047"/>
      <c r="AV103" s="1047"/>
      <c r="AW103" s="1047"/>
      <c r="AX103" s="1047"/>
      <c r="AY103" s="1047"/>
      <c r="AZ103" s="1047"/>
      <c r="BA103" s="1047"/>
      <c r="BB103" s="1047"/>
      <c r="BC103" s="1047"/>
      <c r="BD103" s="1047"/>
      <c r="BE103" s="1047"/>
      <c r="BF103" s="1047"/>
      <c r="BG103" s="1047"/>
      <c r="BH103" s="1047"/>
      <c r="BI103" s="1047"/>
      <c r="BJ103" s="1047"/>
      <c r="BK103" s="1047"/>
      <c r="BL103" s="1047"/>
      <c r="BM103" s="1047"/>
      <c r="BN103" s="1047"/>
      <c r="BO103" s="1047"/>
      <c r="BP103" s="1047"/>
      <c r="BQ103" s="1047"/>
      <c r="BR103" s="1047"/>
      <c r="BS103" s="1047"/>
      <c r="BT103" s="1047"/>
      <c r="BU103" s="1047"/>
      <c r="BV103" s="1049"/>
    </row>
    <row r="104" spans="1:104" s="1050" customFormat="1" ht="13" x14ac:dyDescent="0.3">
      <c r="A104" s="1051" t="s">
        <v>1112</v>
      </c>
      <c r="B104" s="1052"/>
      <c r="C104" s="1053"/>
      <c r="D104" s="1250"/>
      <c r="E104" s="1053"/>
      <c r="F104" s="1052"/>
      <c r="G104" s="1052"/>
      <c r="H104" s="1052"/>
      <c r="I104" s="1052"/>
      <c r="J104" s="1052"/>
      <c r="K104" s="1052"/>
      <c r="L104" s="1052"/>
      <c r="M104" s="1052"/>
      <c r="N104" s="1052"/>
      <c r="O104" s="1052"/>
      <c r="P104" s="1052"/>
      <c r="Q104" s="1052"/>
      <c r="R104" s="1052"/>
      <c r="S104" s="1052"/>
      <c r="T104" s="1052"/>
      <c r="U104" s="1052"/>
      <c r="V104" s="1052"/>
      <c r="W104" s="1052"/>
      <c r="X104" s="1052"/>
      <c r="Y104" s="1052"/>
      <c r="Z104" s="1052"/>
      <c r="AA104" s="1052"/>
      <c r="AB104" s="1052"/>
      <c r="AC104" s="1052"/>
      <c r="AD104" s="1052"/>
      <c r="AE104" s="1052"/>
      <c r="AF104" s="1052"/>
      <c r="AG104" s="1052"/>
      <c r="AH104" s="1052"/>
      <c r="AI104" s="1052"/>
      <c r="AJ104" s="1052"/>
      <c r="AK104" s="1052"/>
      <c r="AL104" s="1052"/>
      <c r="AM104" s="1052"/>
      <c r="AN104" s="1052"/>
      <c r="AO104" s="1052"/>
      <c r="AP104" s="1052"/>
      <c r="AQ104" s="1052"/>
      <c r="AR104" s="1052"/>
      <c r="AS104" s="1052"/>
      <c r="AT104" s="1052"/>
      <c r="AU104" s="1052"/>
      <c r="AV104" s="1052"/>
      <c r="AW104" s="1052"/>
      <c r="AX104" s="1052"/>
      <c r="AY104" s="1052"/>
      <c r="AZ104" s="1052"/>
      <c r="BA104" s="1052"/>
      <c r="BB104" s="1052"/>
      <c r="BC104" s="1052"/>
      <c r="BD104" s="1052"/>
      <c r="BE104" s="1052"/>
      <c r="BF104" s="1052"/>
      <c r="BG104" s="1052"/>
      <c r="BH104" s="1052"/>
      <c r="BI104" s="1052"/>
      <c r="BJ104" s="1052"/>
      <c r="BK104" s="1052"/>
      <c r="BL104" s="1052"/>
      <c r="BM104" s="1052"/>
      <c r="BN104" s="1052"/>
      <c r="BO104" s="1052"/>
      <c r="BP104" s="1052"/>
      <c r="BQ104" s="1052"/>
      <c r="BR104" s="1052"/>
      <c r="BS104" s="1052"/>
      <c r="BT104" s="1052"/>
      <c r="BU104" s="1052"/>
      <c r="BV104" s="1054"/>
    </row>
    <row r="105" spans="1:104" s="1050" customFormat="1" x14ac:dyDescent="0.25">
      <c r="A105" s="1055"/>
      <c r="B105" s="1052"/>
      <c r="C105" s="1053"/>
      <c r="D105" s="1250"/>
      <c r="E105" s="1053"/>
      <c r="F105" s="1052"/>
      <c r="G105" s="1052"/>
      <c r="H105" s="1052"/>
      <c r="I105" s="1052"/>
      <c r="J105" s="1052"/>
      <c r="K105" s="1052"/>
      <c r="L105" s="1052"/>
      <c r="M105" s="1052"/>
      <c r="N105" s="1052"/>
      <c r="O105" s="1052"/>
      <c r="P105" s="1052"/>
      <c r="Q105" s="1052"/>
      <c r="R105" s="1052"/>
      <c r="S105" s="1052"/>
      <c r="T105" s="1052"/>
      <c r="U105" s="1052"/>
      <c r="V105" s="1052"/>
      <c r="W105" s="1052"/>
      <c r="X105" s="1052"/>
      <c r="Y105" s="1052"/>
      <c r="Z105" s="1052"/>
      <c r="AA105" s="1052"/>
      <c r="AB105" s="1052"/>
      <c r="AC105" s="1052"/>
      <c r="AD105" s="1052"/>
      <c r="AE105" s="1052"/>
      <c r="AF105" s="1052"/>
      <c r="AG105" s="1052"/>
      <c r="AH105" s="1052"/>
      <c r="AI105" s="1052"/>
      <c r="AJ105" s="1052"/>
      <c r="AK105" s="1052"/>
      <c r="AL105" s="1052"/>
      <c r="AM105" s="1052"/>
      <c r="AN105" s="1052"/>
      <c r="AO105" s="1052"/>
      <c r="AP105" s="1052"/>
      <c r="AQ105" s="1052"/>
      <c r="AR105" s="1052"/>
      <c r="AS105" s="1052"/>
      <c r="AT105" s="1052"/>
      <c r="AU105" s="1052"/>
      <c r="AV105" s="1052"/>
      <c r="AW105" s="1052"/>
      <c r="AX105" s="1052"/>
      <c r="AY105" s="1052"/>
      <c r="AZ105" s="1052"/>
      <c r="BA105" s="1052"/>
      <c r="BB105" s="1052"/>
      <c r="BC105" s="1052"/>
      <c r="BD105" s="1052"/>
      <c r="BE105" s="1052"/>
      <c r="BF105" s="1052"/>
      <c r="BG105" s="1052"/>
      <c r="BH105" s="1052"/>
      <c r="BI105" s="1052"/>
      <c r="BJ105" s="1052"/>
      <c r="BK105" s="1052"/>
      <c r="BL105" s="1052"/>
      <c r="BM105" s="1052"/>
      <c r="BN105" s="1052"/>
      <c r="BO105" s="1052"/>
      <c r="BP105" s="1052"/>
      <c r="BQ105" s="1052"/>
      <c r="BR105" s="1052"/>
      <c r="BS105" s="1052"/>
      <c r="BT105" s="1052"/>
      <c r="BU105" s="1052"/>
      <c r="BV105" s="1054"/>
    </row>
    <row r="106" spans="1:104" s="1050" customFormat="1" x14ac:dyDescent="0.25">
      <c r="A106" s="1055" t="s">
        <v>681</v>
      </c>
      <c r="B106" s="1052"/>
      <c r="C106" s="1053"/>
      <c r="D106" s="1250"/>
      <c r="E106" s="1053"/>
      <c r="F106" s="1052"/>
      <c r="G106" s="1052"/>
      <c r="H106" s="1052"/>
      <c r="I106" s="1052"/>
      <c r="J106" s="1052"/>
      <c r="K106" s="1052"/>
      <c r="L106" s="1052"/>
      <c r="M106" s="1052"/>
      <c r="N106" s="1052"/>
      <c r="O106" s="1056">
        <v>10.979644</v>
      </c>
      <c r="P106" s="1056">
        <v>10.458463</v>
      </c>
      <c r="Q106" s="1056">
        <v>10.386789</v>
      </c>
      <c r="R106" s="1056">
        <v>11.197535999999999</v>
      </c>
      <c r="S106" s="1056">
        <v>10.997512</v>
      </c>
      <c r="T106" s="1056">
        <v>10.684602</v>
      </c>
      <c r="U106" s="1056">
        <v>11.01057</v>
      </c>
      <c r="V106" s="1056">
        <v>11.455973999999999</v>
      </c>
      <c r="W106" s="1056">
        <v>11.627091999999999</v>
      </c>
      <c r="X106" s="1056">
        <v>11.591965</v>
      </c>
      <c r="Y106" s="1056">
        <v>11.804651</v>
      </c>
      <c r="Z106" s="1056">
        <v>11.896172</v>
      </c>
      <c r="AA106" s="1056">
        <v>12.056948999999999</v>
      </c>
      <c r="AB106" s="1056">
        <v>12.305148000000001</v>
      </c>
      <c r="AC106" s="1056">
        <v>12.475469</v>
      </c>
      <c r="AD106" s="1056">
        <v>12.579926</v>
      </c>
      <c r="AE106" s="1056">
        <v>12.716393999999999</v>
      </c>
      <c r="AF106" s="1056">
        <v>12.897914999999999</v>
      </c>
      <c r="AG106" s="1056">
        <v>13.184208999999999</v>
      </c>
      <c r="AH106" s="1056">
        <v>13.502886999999999</v>
      </c>
      <c r="AI106" s="1056">
        <v>13.64997</v>
      </c>
      <c r="AJ106" s="1056">
        <v>13.712135</v>
      </c>
      <c r="AK106" s="1056">
        <v>13.943460999999999</v>
      </c>
      <c r="AL106" s="1056">
        <v>14.339456999999999</v>
      </c>
      <c r="AM106" s="1056">
        <v>14.605688000000001</v>
      </c>
      <c r="AN106" s="1056">
        <v>14.994783</v>
      </c>
      <c r="AO106" s="1056">
        <v>15.152347000000001</v>
      </c>
      <c r="AP106" s="1056">
        <v>15.279963</v>
      </c>
      <c r="AQ106" s="1056">
        <v>15.618371</v>
      </c>
      <c r="AR106" s="1056">
        <v>15.977807</v>
      </c>
      <c r="AS106" s="1052"/>
      <c r="AT106" s="1052"/>
      <c r="AU106" s="1052"/>
      <c r="AV106" s="1052"/>
      <c r="AW106" s="1052"/>
      <c r="AX106" s="1052"/>
      <c r="AY106" s="1052"/>
      <c r="AZ106" s="1052"/>
      <c r="BA106" s="1052"/>
      <c r="BB106" s="1052"/>
      <c r="BC106" s="1052"/>
      <c r="BD106" s="1052"/>
      <c r="BE106" s="1052"/>
      <c r="BF106" s="1052"/>
      <c r="BG106" s="1052"/>
      <c r="BH106" s="1052"/>
      <c r="BI106" s="1052"/>
      <c r="BJ106" s="1052"/>
      <c r="BK106" s="1052"/>
      <c r="BL106" s="1052"/>
      <c r="BM106" s="1052"/>
      <c r="BN106" s="1052"/>
      <c r="BO106" s="1052"/>
      <c r="BP106" s="1052"/>
      <c r="BQ106" s="1052"/>
      <c r="BR106" s="1052"/>
      <c r="BS106" s="1052"/>
      <c r="BT106" s="1052"/>
      <c r="BU106" s="1052"/>
      <c r="BV106" s="1054"/>
    </row>
    <row r="107" spans="1:104" s="1050" customFormat="1" x14ac:dyDescent="0.25">
      <c r="A107" s="1055" t="s">
        <v>1084</v>
      </c>
      <c r="B107" s="1052"/>
      <c r="C107" s="1053"/>
      <c r="D107" s="1250"/>
      <c r="E107" s="1053"/>
      <c r="F107" s="1052"/>
      <c r="G107" s="1052"/>
      <c r="H107" s="1052"/>
      <c r="I107" s="1052"/>
      <c r="J107" s="1052"/>
      <c r="K107" s="1052"/>
      <c r="L107" s="1052"/>
      <c r="M107" s="1052"/>
      <c r="N107" s="1052"/>
      <c r="O107" s="1056">
        <v>8.9608349999999994</v>
      </c>
      <c r="P107" s="1056">
        <v>8.1128640000000001</v>
      </c>
      <c r="Q107" s="1056">
        <v>8.3120530000000006</v>
      </c>
      <c r="R107" s="1056">
        <v>9.0860579999999995</v>
      </c>
      <c r="S107" s="1056">
        <v>8.9185510000000008</v>
      </c>
      <c r="T107" s="1056">
        <v>8.7230709999999991</v>
      </c>
      <c r="U107" s="1056">
        <v>9.0072580000000002</v>
      </c>
      <c r="V107" s="1056">
        <v>9.4091780000000007</v>
      </c>
      <c r="W107" s="1056">
        <v>9.5464699999999993</v>
      </c>
      <c r="X107" s="1056">
        <v>9.490774</v>
      </c>
      <c r="Y107" s="1056">
        <v>9.6849690000000006</v>
      </c>
      <c r="Z107" s="1056">
        <v>9.7584820000000008</v>
      </c>
      <c r="AA107" s="1056">
        <v>9.8987529999999992</v>
      </c>
      <c r="AB107" s="1056">
        <v>10.127039999999999</v>
      </c>
      <c r="AC107" s="1056">
        <v>10.286922000000001</v>
      </c>
      <c r="AD107" s="1056">
        <v>10.380953999999999</v>
      </c>
      <c r="AE107" s="1056">
        <v>10.496881999999999</v>
      </c>
      <c r="AF107" s="1056">
        <v>10.657225</v>
      </c>
      <c r="AG107" s="1056">
        <v>10.911016</v>
      </c>
      <c r="AH107" s="1056">
        <v>11.192325</v>
      </c>
      <c r="AI107" s="1056">
        <v>11.294316</v>
      </c>
      <c r="AJ107" s="1056">
        <v>11.292712999999999</v>
      </c>
      <c r="AK107" s="1056">
        <v>11.478382999999999</v>
      </c>
      <c r="AL107" s="1056">
        <v>11.747921</v>
      </c>
      <c r="AM107" s="1056">
        <v>11.953430000000001</v>
      </c>
      <c r="AN107" s="1056">
        <v>12.263629999999999</v>
      </c>
      <c r="AO107" s="1056">
        <v>12.368285999999999</v>
      </c>
      <c r="AP107" s="1056">
        <v>12.459205000000001</v>
      </c>
      <c r="AQ107" s="1056">
        <v>12.755896</v>
      </c>
      <c r="AR107" s="1056">
        <v>13.077387</v>
      </c>
      <c r="AS107" s="1052"/>
      <c r="AT107" s="1052"/>
      <c r="AU107" s="1052"/>
      <c r="AV107" s="1052"/>
      <c r="AW107" s="1052"/>
      <c r="AX107" s="1052"/>
      <c r="AY107" s="1052"/>
      <c r="AZ107" s="1052"/>
      <c r="BA107" s="1052"/>
      <c r="BB107" s="1052"/>
      <c r="BC107" s="1052"/>
      <c r="BD107" s="1052"/>
      <c r="BE107" s="1052"/>
      <c r="BF107" s="1052"/>
      <c r="BG107" s="1052"/>
      <c r="BH107" s="1052"/>
      <c r="BI107" s="1052"/>
      <c r="BJ107" s="1052"/>
      <c r="BK107" s="1052"/>
      <c r="BL107" s="1052"/>
      <c r="BM107" s="1052"/>
      <c r="BN107" s="1052"/>
      <c r="BO107" s="1052"/>
      <c r="BP107" s="1052"/>
      <c r="BQ107" s="1052"/>
      <c r="BR107" s="1052"/>
      <c r="BS107" s="1052"/>
      <c r="BT107" s="1052"/>
      <c r="BU107" s="1052"/>
      <c r="BV107" s="1054"/>
    </row>
    <row r="108" spans="1:104" s="1050" customFormat="1" x14ac:dyDescent="0.25">
      <c r="A108" s="1055" t="s">
        <v>283</v>
      </c>
      <c r="B108" s="1052"/>
      <c r="C108" s="1053"/>
      <c r="D108" s="1250"/>
      <c r="E108" s="1053"/>
      <c r="F108" s="1052"/>
      <c r="G108" s="1052"/>
      <c r="H108" s="1052"/>
      <c r="I108" s="1052"/>
      <c r="J108" s="1052"/>
      <c r="K108" s="1052"/>
      <c r="L108" s="1052"/>
      <c r="M108" s="1052"/>
      <c r="N108" s="1052"/>
      <c r="O108" s="1056">
        <v>5.093718</v>
      </c>
      <c r="P108" s="1056">
        <v>3.77142</v>
      </c>
      <c r="Q108" s="1056">
        <v>4.594805</v>
      </c>
      <c r="R108" s="1056">
        <v>4.7995720000000004</v>
      </c>
      <c r="S108" s="1056">
        <v>4.9392990000000001</v>
      </c>
      <c r="T108" s="1056">
        <v>5.148549</v>
      </c>
      <c r="U108" s="1056">
        <v>5.425808</v>
      </c>
      <c r="V108" s="1056">
        <v>5.8458810000000003</v>
      </c>
      <c r="W108" s="1056">
        <v>5.9476060000000004</v>
      </c>
      <c r="X108" s="1056">
        <v>5.7923239999999998</v>
      </c>
      <c r="Y108" s="1056">
        <v>5.9347989999999999</v>
      </c>
      <c r="Z108" s="1056">
        <v>5.9545320000000004</v>
      </c>
      <c r="AA108" s="1056">
        <v>6.0522600000000004</v>
      </c>
      <c r="AB108" s="1056">
        <v>6.2273719999999999</v>
      </c>
      <c r="AC108" s="1056">
        <v>6.3209530000000003</v>
      </c>
      <c r="AD108" s="1056">
        <v>6.356109</v>
      </c>
      <c r="AE108" s="1056">
        <v>6.4293370000000003</v>
      </c>
      <c r="AF108" s="1056">
        <v>6.531498</v>
      </c>
      <c r="AG108" s="1056">
        <v>6.7357209999999998</v>
      </c>
      <c r="AH108" s="1056">
        <v>6.9891050000000003</v>
      </c>
      <c r="AI108" s="1056">
        <v>7.1038509999999997</v>
      </c>
      <c r="AJ108" s="1056">
        <v>7.224164</v>
      </c>
      <c r="AK108" s="1056">
        <v>7.420331</v>
      </c>
      <c r="AL108" s="1056">
        <v>7.5726420000000001</v>
      </c>
      <c r="AM108" s="1056">
        <v>7.7575940000000001</v>
      </c>
      <c r="AN108" s="1056">
        <v>8.0432100000000002</v>
      </c>
      <c r="AO108" s="1056">
        <v>8.0942129999999999</v>
      </c>
      <c r="AP108" s="1056">
        <v>8.1302479999999999</v>
      </c>
      <c r="AQ108" s="1056">
        <v>8.3372609999999998</v>
      </c>
      <c r="AR108" s="1056">
        <v>8.5934050000000006</v>
      </c>
      <c r="AS108" s="1052"/>
      <c r="AT108" s="1052"/>
      <c r="AU108" s="1052"/>
      <c r="AV108" s="1052"/>
      <c r="AW108" s="1052"/>
      <c r="AX108" s="1052"/>
      <c r="AY108" s="1052"/>
      <c r="AZ108" s="1052"/>
      <c r="BA108" s="1052"/>
      <c r="BB108" s="1052"/>
      <c r="BC108" s="1052"/>
      <c r="BD108" s="1052"/>
      <c r="BE108" s="1052"/>
      <c r="BF108" s="1052"/>
      <c r="BG108" s="1052"/>
      <c r="BH108" s="1052"/>
      <c r="BI108" s="1052"/>
      <c r="BJ108" s="1052"/>
      <c r="BK108" s="1052"/>
      <c r="BL108" s="1052"/>
      <c r="BM108" s="1052"/>
      <c r="BN108" s="1052"/>
      <c r="BO108" s="1052"/>
      <c r="BP108" s="1052"/>
      <c r="BQ108" s="1052"/>
      <c r="BR108" s="1052"/>
      <c r="BS108" s="1052"/>
      <c r="BT108" s="1052"/>
      <c r="BU108" s="1052"/>
      <c r="BV108" s="1054"/>
    </row>
    <row r="109" spans="1:104" s="1050" customFormat="1" x14ac:dyDescent="0.25">
      <c r="A109" s="1057" t="str">
        <f>'HyARC Physical Property Data'!$A$74</f>
        <v>Electric Utility Natural Gas</v>
      </c>
      <c r="B109" s="1052"/>
      <c r="C109" s="1053"/>
      <c r="D109" s="1250"/>
      <c r="E109" s="1053"/>
      <c r="F109" s="1052"/>
      <c r="G109" s="1052"/>
      <c r="H109" s="1052"/>
      <c r="I109" s="1052"/>
      <c r="J109" s="1052"/>
      <c r="K109" s="1052"/>
      <c r="L109" s="1052"/>
      <c r="M109" s="1052"/>
      <c r="N109" s="1052"/>
      <c r="O109" s="1056">
        <v>4.881901</v>
      </c>
      <c r="P109" s="1056">
        <v>3.4378730000000002</v>
      </c>
      <c r="Q109" s="1056">
        <v>4.3206319999999998</v>
      </c>
      <c r="R109" s="1056">
        <v>4.4694140000000004</v>
      </c>
      <c r="S109" s="1056">
        <v>4.4284980000000003</v>
      </c>
      <c r="T109" s="1056">
        <v>4.4748020000000004</v>
      </c>
      <c r="U109" s="1056">
        <v>4.6905669999999997</v>
      </c>
      <c r="V109" s="1056">
        <v>5.0621029999999996</v>
      </c>
      <c r="W109" s="1056">
        <v>5.1794200000000004</v>
      </c>
      <c r="X109" s="1056">
        <v>5.0744109999999996</v>
      </c>
      <c r="Y109" s="1056">
        <v>5.242337</v>
      </c>
      <c r="Z109" s="1056">
        <v>5.2943420000000003</v>
      </c>
      <c r="AA109" s="1056">
        <v>5.4200609999999996</v>
      </c>
      <c r="AB109" s="1056">
        <v>5.622217</v>
      </c>
      <c r="AC109" s="1056">
        <v>5.7577170000000004</v>
      </c>
      <c r="AD109" s="1056">
        <v>5.8140010000000002</v>
      </c>
      <c r="AE109" s="1056">
        <v>5.9051999999999998</v>
      </c>
      <c r="AF109" s="1056">
        <v>6.0276690000000004</v>
      </c>
      <c r="AG109" s="1056">
        <v>6.2437040000000001</v>
      </c>
      <c r="AH109" s="1056">
        <v>6.4934279999999998</v>
      </c>
      <c r="AI109" s="1056">
        <v>6.6170710000000001</v>
      </c>
      <c r="AJ109" s="1056">
        <v>6.726566</v>
      </c>
      <c r="AK109" s="1056">
        <v>6.9305599999999998</v>
      </c>
      <c r="AL109" s="1056">
        <v>7.0909170000000001</v>
      </c>
      <c r="AM109" s="1056">
        <v>7.286816</v>
      </c>
      <c r="AN109" s="1056">
        <v>7.5708000000000002</v>
      </c>
      <c r="AO109" s="1056">
        <v>7.630439</v>
      </c>
      <c r="AP109" s="1056">
        <v>7.6782940000000002</v>
      </c>
      <c r="AQ109" s="1056">
        <v>7.8974500000000001</v>
      </c>
      <c r="AR109" s="1056">
        <v>8.1587669999999992</v>
      </c>
      <c r="AS109" s="1052"/>
      <c r="AT109" s="1052"/>
      <c r="AU109" s="1052"/>
      <c r="AV109" s="1052"/>
      <c r="AW109" s="1052"/>
      <c r="AX109" s="1052"/>
      <c r="AY109" s="1052"/>
      <c r="AZ109" s="1052"/>
      <c r="BA109" s="1052"/>
      <c r="BB109" s="1052"/>
      <c r="BC109" s="1052"/>
      <c r="BD109" s="1052"/>
      <c r="BE109" s="1052"/>
      <c r="BF109" s="1052"/>
      <c r="BG109" s="1052"/>
      <c r="BH109" s="1052"/>
      <c r="BI109" s="1052"/>
      <c r="BJ109" s="1052"/>
      <c r="BK109" s="1052"/>
      <c r="BL109" s="1052"/>
      <c r="BM109" s="1052"/>
      <c r="BN109" s="1052"/>
      <c r="BO109" s="1052"/>
      <c r="BP109" s="1052"/>
      <c r="BQ109" s="1052"/>
      <c r="BR109" s="1052"/>
      <c r="BS109" s="1052"/>
      <c r="BT109" s="1052"/>
      <c r="BU109" s="1052"/>
      <c r="BV109" s="1054"/>
    </row>
    <row r="110" spans="1:104" s="1050" customFormat="1" x14ac:dyDescent="0.25">
      <c r="A110" s="1052" t="s">
        <v>1080</v>
      </c>
      <c r="B110" s="1052"/>
      <c r="C110" s="1053"/>
      <c r="D110" s="1250"/>
      <c r="E110" s="1053"/>
      <c r="F110" s="1052"/>
      <c r="G110" s="1052"/>
      <c r="H110" s="1052"/>
      <c r="I110" s="1052"/>
      <c r="J110" s="1052"/>
      <c r="K110" s="1052"/>
      <c r="L110" s="1052"/>
      <c r="M110" s="1052"/>
      <c r="N110" s="1052"/>
      <c r="O110" s="1056"/>
      <c r="P110" s="1056"/>
      <c r="Q110" s="1056"/>
      <c r="R110" s="1056"/>
      <c r="S110" s="1056"/>
      <c r="T110" s="1056"/>
      <c r="U110" s="1056"/>
      <c r="V110" s="1056"/>
      <c r="W110" s="1056"/>
      <c r="X110" s="1056"/>
      <c r="Y110" s="1056"/>
      <c r="Z110" s="1056"/>
      <c r="AA110" s="1056"/>
      <c r="AB110" s="1056"/>
      <c r="AC110" s="1056"/>
      <c r="AD110" s="1056"/>
      <c r="AE110" s="1056"/>
      <c r="AF110" s="1056"/>
      <c r="AG110" s="1056"/>
      <c r="AH110" s="1056"/>
      <c r="AI110" s="1056"/>
      <c r="AJ110" s="1056"/>
      <c r="AK110" s="1056"/>
      <c r="AL110" s="1056"/>
      <c r="AM110" s="1056"/>
      <c r="AN110" s="1056"/>
      <c r="AO110" s="1056"/>
      <c r="AP110" s="1056"/>
      <c r="AQ110" s="1056"/>
      <c r="AR110" s="1056"/>
      <c r="AS110" s="1052"/>
      <c r="AT110" s="1052"/>
      <c r="AU110" s="1052"/>
      <c r="AV110" s="1052"/>
      <c r="AW110" s="1052"/>
      <c r="AX110" s="1052"/>
      <c r="AY110" s="1052"/>
      <c r="AZ110" s="1052"/>
      <c r="BA110" s="1052"/>
      <c r="BB110" s="1052"/>
      <c r="BC110" s="1052"/>
      <c r="BD110" s="1052"/>
      <c r="BE110" s="1052"/>
      <c r="BF110" s="1052"/>
      <c r="BG110" s="1052"/>
      <c r="BH110" s="1052"/>
      <c r="BI110" s="1052"/>
      <c r="BJ110" s="1052"/>
      <c r="BK110" s="1052"/>
      <c r="BL110" s="1052"/>
      <c r="BM110" s="1052"/>
      <c r="BN110" s="1052"/>
      <c r="BO110" s="1052"/>
      <c r="BP110" s="1052"/>
      <c r="BQ110" s="1052"/>
      <c r="BR110" s="1052"/>
      <c r="BS110" s="1052"/>
      <c r="BT110" s="1052"/>
      <c r="BU110" s="1052"/>
      <c r="BV110" s="1054"/>
    </row>
    <row r="111" spans="1:104" s="1050" customFormat="1" x14ac:dyDescent="0.25">
      <c r="A111" s="1072" t="s">
        <v>716</v>
      </c>
      <c r="B111" s="1052"/>
      <c r="C111" s="1053"/>
      <c r="D111" s="1250"/>
      <c r="E111" s="1053"/>
      <c r="F111" s="1052"/>
      <c r="G111" s="1052"/>
      <c r="H111" s="1052"/>
      <c r="I111" s="1052"/>
      <c r="J111" s="1052"/>
      <c r="K111" s="1052"/>
      <c r="L111" s="1052"/>
      <c r="M111" s="1052"/>
      <c r="N111" s="1052"/>
      <c r="O111" s="1056">
        <v>7.1348120000000002</v>
      </c>
      <c r="P111" s="1056">
        <v>7.25</v>
      </c>
      <c r="Q111" s="1056">
        <v>7.4339180000000002</v>
      </c>
      <c r="R111" s="1056">
        <v>7.5123340000000001</v>
      </c>
      <c r="S111" s="1056">
        <v>7.7593930000000002</v>
      </c>
      <c r="T111" s="1056">
        <v>7.9480709999999997</v>
      </c>
      <c r="U111" s="1056">
        <v>8.0483750000000001</v>
      </c>
      <c r="V111" s="1056">
        <v>8.1909299999999998</v>
      </c>
      <c r="W111" s="1056">
        <v>8.3009920000000008</v>
      </c>
      <c r="X111" s="1056">
        <v>8.4282590000000006</v>
      </c>
      <c r="Y111" s="1056">
        <v>8.5261879999999994</v>
      </c>
      <c r="Z111" s="1056">
        <v>8.6333680000000008</v>
      </c>
      <c r="AA111" s="1056">
        <v>8.7384330000000006</v>
      </c>
      <c r="AB111" s="1056">
        <v>8.8454820000000005</v>
      </c>
      <c r="AC111" s="1056">
        <v>8.9517559999999996</v>
      </c>
      <c r="AD111" s="1056">
        <v>9.0441529999999997</v>
      </c>
      <c r="AE111" s="1056">
        <v>9.1489940000000001</v>
      </c>
      <c r="AF111" s="1056">
        <v>9.2665970000000009</v>
      </c>
      <c r="AG111" s="1056">
        <v>9.3802029999999998</v>
      </c>
      <c r="AH111" s="1056">
        <v>9.5131180000000004</v>
      </c>
      <c r="AI111" s="1056">
        <v>9.5927720000000001</v>
      </c>
      <c r="AJ111" s="1056">
        <v>9.6736090000000008</v>
      </c>
      <c r="AK111" s="1056">
        <v>9.7592280000000002</v>
      </c>
      <c r="AL111" s="1056">
        <v>9.8373989999999996</v>
      </c>
      <c r="AM111" s="1056">
        <v>9.9349030000000003</v>
      </c>
      <c r="AN111" s="1056">
        <v>10.012817</v>
      </c>
      <c r="AO111" s="1056">
        <v>10.10066</v>
      </c>
      <c r="AP111" s="1056">
        <v>10.107113</v>
      </c>
      <c r="AQ111" s="1056">
        <v>10.135842</v>
      </c>
      <c r="AR111" s="1056">
        <v>10.197044999999999</v>
      </c>
      <c r="AS111" s="1052"/>
      <c r="AT111" s="1052"/>
      <c r="AU111" s="1052"/>
      <c r="AV111" s="1052"/>
      <c r="AW111" s="1052"/>
      <c r="AX111" s="1052"/>
      <c r="AY111" s="1052"/>
      <c r="AZ111" s="1052"/>
      <c r="BA111" s="1052"/>
      <c r="BB111" s="1052"/>
      <c r="BC111" s="1052"/>
      <c r="BD111" s="1052"/>
      <c r="BE111" s="1052"/>
      <c r="BF111" s="1052"/>
      <c r="BG111" s="1052"/>
      <c r="BH111" s="1052"/>
      <c r="BI111" s="1052"/>
      <c r="BJ111" s="1052"/>
      <c r="BK111" s="1052"/>
      <c r="BL111" s="1052"/>
      <c r="BM111" s="1052"/>
      <c r="BN111" s="1052"/>
      <c r="BO111" s="1052"/>
      <c r="BP111" s="1052"/>
      <c r="BQ111" s="1052"/>
      <c r="BR111" s="1052"/>
      <c r="BS111" s="1052"/>
      <c r="BT111" s="1052"/>
      <c r="BU111" s="1052"/>
      <c r="BV111" s="1054"/>
    </row>
    <row r="112" spans="1:104" s="1050" customFormat="1" x14ac:dyDescent="0.25">
      <c r="A112" s="1072" t="s">
        <v>717</v>
      </c>
      <c r="B112" s="1052"/>
      <c r="C112" s="1053"/>
      <c r="D112" s="1250"/>
      <c r="E112" s="1053"/>
      <c r="F112" s="1052"/>
      <c r="G112" s="1052"/>
      <c r="H112" s="1052"/>
      <c r="I112" s="1052"/>
      <c r="J112" s="1052"/>
      <c r="K112" s="1052"/>
      <c r="L112" s="1052"/>
      <c r="M112" s="1052"/>
      <c r="N112" s="1052"/>
      <c r="O112" s="1056">
        <v>3.3073760000000001</v>
      </c>
      <c r="P112" s="1056">
        <v>3.2396150000000001</v>
      </c>
      <c r="Q112" s="1056">
        <v>3.3150900000000001</v>
      </c>
      <c r="R112" s="1056">
        <v>3.2817340000000002</v>
      </c>
      <c r="S112" s="1056">
        <v>3.3761420000000002</v>
      </c>
      <c r="T112" s="1056">
        <v>3.437208</v>
      </c>
      <c r="U112" s="1056">
        <v>3.4609869999999998</v>
      </c>
      <c r="V112" s="1056">
        <v>3.5206819999999999</v>
      </c>
      <c r="W112" s="1056">
        <v>3.5610849999999998</v>
      </c>
      <c r="X112" s="1056">
        <v>3.5932520000000001</v>
      </c>
      <c r="Y112" s="1056">
        <v>3.6143869999999998</v>
      </c>
      <c r="Z112" s="1056">
        <v>3.6395840000000002</v>
      </c>
      <c r="AA112" s="1056">
        <v>3.6651829999999999</v>
      </c>
      <c r="AB112" s="1056">
        <v>3.697009</v>
      </c>
      <c r="AC112" s="1056">
        <v>3.7274949999999998</v>
      </c>
      <c r="AD112" s="1056">
        <v>3.7560980000000002</v>
      </c>
      <c r="AE112" s="1056">
        <v>3.7847550000000001</v>
      </c>
      <c r="AF112" s="1056">
        <v>3.8163930000000001</v>
      </c>
      <c r="AG112" s="1056">
        <v>3.8450039999999999</v>
      </c>
      <c r="AH112" s="1056">
        <v>3.8844850000000002</v>
      </c>
      <c r="AI112" s="1056">
        <v>3.9155440000000001</v>
      </c>
      <c r="AJ112" s="1056">
        <v>3.944798</v>
      </c>
      <c r="AK112" s="1056">
        <v>3.9761479999999998</v>
      </c>
      <c r="AL112" s="1056">
        <v>4.0004489999999997</v>
      </c>
      <c r="AM112" s="1056">
        <v>4.0294249999999998</v>
      </c>
      <c r="AN112" s="1056">
        <v>4.0600360000000002</v>
      </c>
      <c r="AO112" s="1056">
        <v>4.0903939999999999</v>
      </c>
      <c r="AP112" s="1056">
        <v>4.1171660000000001</v>
      </c>
      <c r="AQ112" s="1056">
        <v>4.1493070000000003</v>
      </c>
      <c r="AR112" s="1056">
        <v>4.1898999999999997</v>
      </c>
      <c r="AS112" s="1052"/>
      <c r="AT112" s="1052"/>
      <c r="AU112" s="1052"/>
      <c r="AV112" s="1052"/>
      <c r="AW112" s="1052"/>
      <c r="AX112" s="1052"/>
      <c r="AY112" s="1052"/>
      <c r="AZ112" s="1052"/>
      <c r="BA112" s="1052"/>
      <c r="BB112" s="1052"/>
      <c r="BC112" s="1052"/>
      <c r="BD112" s="1052"/>
      <c r="BE112" s="1052"/>
      <c r="BF112" s="1052"/>
      <c r="BG112" s="1052"/>
      <c r="BH112" s="1052"/>
      <c r="BI112" s="1052"/>
      <c r="BJ112" s="1052"/>
      <c r="BK112" s="1052"/>
      <c r="BL112" s="1052"/>
      <c r="BM112" s="1052"/>
      <c r="BN112" s="1052"/>
      <c r="BO112" s="1052"/>
      <c r="BP112" s="1052"/>
      <c r="BQ112" s="1052"/>
      <c r="BR112" s="1052"/>
      <c r="BS112" s="1052"/>
      <c r="BT112" s="1052"/>
      <c r="BU112" s="1052"/>
      <c r="BV112" s="1054"/>
    </row>
    <row r="113" spans="1:74" s="1050" customFormat="1" x14ac:dyDescent="0.25">
      <c r="A113" s="1055" t="s">
        <v>1086</v>
      </c>
      <c r="B113" s="1052"/>
      <c r="C113" s="1053"/>
      <c r="D113" s="1250"/>
      <c r="E113" s="1053"/>
      <c r="F113" s="1052"/>
      <c r="G113" s="1052"/>
      <c r="H113" s="1052"/>
      <c r="I113" s="1052"/>
      <c r="J113" s="1052"/>
      <c r="K113" s="1052"/>
      <c r="L113" s="1052"/>
      <c r="M113" s="1052"/>
      <c r="N113" s="1052"/>
      <c r="O113" s="1056">
        <v>2.4223750000000002</v>
      </c>
      <c r="P113" s="1056">
        <v>2.39</v>
      </c>
      <c r="Q113" s="1056">
        <v>2.37385</v>
      </c>
      <c r="R113" s="1056">
        <v>2.329834</v>
      </c>
      <c r="S113" s="1056">
        <v>2.4039359999999999</v>
      </c>
      <c r="T113" s="1056">
        <v>2.422212</v>
      </c>
      <c r="U113" s="1056">
        <v>2.4863749999999998</v>
      </c>
      <c r="V113" s="1056">
        <v>2.5503130000000001</v>
      </c>
      <c r="W113" s="1056">
        <v>2.589102</v>
      </c>
      <c r="X113" s="1056">
        <v>2.6113439999999999</v>
      </c>
      <c r="Y113" s="1056">
        <v>2.6429999999999998</v>
      </c>
      <c r="Z113" s="1056">
        <v>2.675691</v>
      </c>
      <c r="AA113" s="1056">
        <v>2.7024710000000001</v>
      </c>
      <c r="AB113" s="1056">
        <v>2.7390279999999998</v>
      </c>
      <c r="AC113" s="1056">
        <v>2.7738589999999999</v>
      </c>
      <c r="AD113" s="1056">
        <v>2.807261</v>
      </c>
      <c r="AE113" s="1056">
        <v>2.8368190000000002</v>
      </c>
      <c r="AF113" s="1056">
        <v>2.8649870000000002</v>
      </c>
      <c r="AG113" s="1056">
        <v>2.8913859999999998</v>
      </c>
      <c r="AH113" s="1056">
        <v>2.9256030000000002</v>
      </c>
      <c r="AI113" s="1056">
        <v>2.9494180000000001</v>
      </c>
      <c r="AJ113" s="1056">
        <v>2.9743849999999998</v>
      </c>
      <c r="AK113" s="1056">
        <v>3.0006210000000002</v>
      </c>
      <c r="AL113" s="1056">
        <v>3.0244930000000001</v>
      </c>
      <c r="AM113" s="1056">
        <v>3.050074</v>
      </c>
      <c r="AN113" s="1056">
        <v>3.076149</v>
      </c>
      <c r="AO113" s="1056">
        <v>3.099027</v>
      </c>
      <c r="AP113" s="1056">
        <v>3.1208209999999998</v>
      </c>
      <c r="AQ113" s="1056">
        <v>3.153797</v>
      </c>
      <c r="AR113" s="1056">
        <v>3.1896749999999998</v>
      </c>
      <c r="AS113" s="1052"/>
      <c r="AT113" s="1052"/>
      <c r="AU113" s="1052"/>
      <c r="AV113" s="1052"/>
      <c r="AW113" s="1052"/>
      <c r="AX113" s="1052"/>
      <c r="AY113" s="1052"/>
      <c r="AZ113" s="1052"/>
      <c r="BA113" s="1052"/>
      <c r="BB113" s="1052"/>
      <c r="BC113" s="1052"/>
      <c r="BD113" s="1052"/>
      <c r="BE113" s="1052"/>
      <c r="BF113" s="1052"/>
      <c r="BG113" s="1052"/>
      <c r="BH113" s="1052"/>
      <c r="BI113" s="1052"/>
      <c r="BJ113" s="1052"/>
      <c r="BK113" s="1052"/>
      <c r="BL113" s="1052"/>
      <c r="BM113" s="1052"/>
      <c r="BN113" s="1052"/>
      <c r="BO113" s="1052"/>
      <c r="BP113" s="1052"/>
      <c r="BQ113" s="1052"/>
      <c r="BR113" s="1052"/>
      <c r="BS113" s="1052"/>
      <c r="BT113" s="1052"/>
      <c r="BU113" s="1052"/>
      <c r="BV113" s="1054"/>
    </row>
    <row r="114" spans="1:74" s="1050" customFormat="1" x14ac:dyDescent="0.25">
      <c r="A114" s="1055" t="s">
        <v>683</v>
      </c>
      <c r="B114" s="1052"/>
      <c r="C114" s="1053"/>
      <c r="D114" s="1250"/>
      <c r="E114" s="1053"/>
      <c r="F114" s="1052"/>
      <c r="G114" s="1052"/>
      <c r="H114" s="1052"/>
      <c r="I114" s="1052"/>
      <c r="J114" s="1052"/>
      <c r="K114" s="1052"/>
      <c r="L114" s="1052"/>
      <c r="M114" s="1052"/>
      <c r="N114" s="1052"/>
      <c r="O114" s="1056">
        <v>30.531154999999998</v>
      </c>
      <c r="P114" s="1056">
        <v>29.553346999999999</v>
      </c>
      <c r="Q114" s="1056">
        <v>29.462689999999998</v>
      </c>
      <c r="R114" s="1056">
        <v>29.619807999999999</v>
      </c>
      <c r="S114" s="1056">
        <v>29.992000999999998</v>
      </c>
      <c r="T114" s="1056">
        <v>30.137812</v>
      </c>
      <c r="U114" s="1056">
        <v>30.368880999999998</v>
      </c>
      <c r="V114" s="1056">
        <v>30.723389000000001</v>
      </c>
      <c r="W114" s="1056">
        <v>31.014326000000001</v>
      </c>
      <c r="X114" s="1056">
        <v>30.799534000000001</v>
      </c>
      <c r="Y114" s="1056">
        <v>30.631943</v>
      </c>
      <c r="Z114" s="1056">
        <v>30.294862999999999</v>
      </c>
      <c r="AA114" s="1056">
        <v>30.159492</v>
      </c>
      <c r="AB114" s="1056">
        <v>30.497467</v>
      </c>
      <c r="AC114" s="1056">
        <v>30.549484</v>
      </c>
      <c r="AD114" s="1056">
        <v>30.628119000000002</v>
      </c>
      <c r="AE114" s="1056">
        <v>30.831617000000001</v>
      </c>
      <c r="AF114" s="1056">
        <v>30.906943999999999</v>
      </c>
      <c r="AG114" s="1056">
        <v>31.016119</v>
      </c>
      <c r="AH114" s="1056">
        <v>31.259630000000001</v>
      </c>
      <c r="AI114" s="1056">
        <v>31.506346000000001</v>
      </c>
      <c r="AJ114" s="1056">
        <v>31.548763000000001</v>
      </c>
      <c r="AK114" s="1056">
        <v>31.537307999999999</v>
      </c>
      <c r="AL114" s="1056">
        <v>31.727125000000001</v>
      </c>
      <c r="AM114" s="1056">
        <v>31.983875000000001</v>
      </c>
      <c r="AN114" s="1056">
        <v>32.252009999999999</v>
      </c>
      <c r="AO114" s="1056">
        <v>32.456364000000001</v>
      </c>
      <c r="AP114" s="1056">
        <v>32.526015999999998</v>
      </c>
      <c r="AQ114" s="1056">
        <v>32.747635000000002</v>
      </c>
      <c r="AR114" s="1056">
        <v>33.007354999999997</v>
      </c>
      <c r="AS114" s="1052"/>
      <c r="AT114" s="1052"/>
      <c r="AU114" s="1052"/>
      <c r="AV114" s="1052"/>
      <c r="AW114" s="1052"/>
      <c r="AX114" s="1052"/>
      <c r="AY114" s="1052"/>
      <c r="AZ114" s="1052"/>
      <c r="BA114" s="1052"/>
      <c r="BB114" s="1052"/>
      <c r="BC114" s="1052"/>
      <c r="BD114" s="1052"/>
      <c r="BE114" s="1052"/>
      <c r="BF114" s="1052"/>
      <c r="BG114" s="1052"/>
      <c r="BH114" s="1052"/>
      <c r="BI114" s="1052"/>
      <c r="BJ114" s="1052"/>
      <c r="BK114" s="1052"/>
      <c r="BL114" s="1052"/>
      <c r="BM114" s="1052"/>
      <c r="BN114" s="1052"/>
      <c r="BO114" s="1052"/>
      <c r="BP114" s="1052"/>
      <c r="BQ114" s="1052"/>
      <c r="BR114" s="1052"/>
      <c r="BS114" s="1052"/>
      <c r="BT114" s="1052"/>
      <c r="BU114" s="1052"/>
      <c r="BV114" s="1054"/>
    </row>
    <row r="115" spans="1:74" s="1050" customFormat="1" x14ac:dyDescent="0.25">
      <c r="A115" s="1055" t="s">
        <v>698</v>
      </c>
      <c r="B115" s="1052"/>
      <c r="C115" s="1053"/>
      <c r="D115" s="1250"/>
      <c r="E115" s="1053"/>
      <c r="F115" s="1052"/>
      <c r="G115" s="1052"/>
      <c r="H115" s="1052"/>
      <c r="I115" s="1052"/>
      <c r="J115" s="1052"/>
      <c r="K115" s="1052"/>
      <c r="L115" s="1052"/>
      <c r="M115" s="1052"/>
      <c r="N115" s="1052"/>
      <c r="O115" s="1056">
        <v>20.348036</v>
      </c>
      <c r="P115" s="1056">
        <v>19.495602000000002</v>
      </c>
      <c r="Q115" s="1056">
        <v>20.081951</v>
      </c>
      <c r="R115" s="1056">
        <v>19.872589000000001</v>
      </c>
      <c r="S115" s="1056">
        <v>20.106300000000001</v>
      </c>
      <c r="T115" s="1056">
        <v>20.110336</v>
      </c>
      <c r="U115" s="1056">
        <v>20.286434</v>
      </c>
      <c r="V115" s="1056">
        <v>20.591933999999998</v>
      </c>
      <c r="W115" s="1056">
        <v>20.859487999999999</v>
      </c>
      <c r="X115" s="1056">
        <v>20.769625000000001</v>
      </c>
      <c r="Y115" s="1056">
        <v>20.751276000000001</v>
      </c>
      <c r="Z115" s="1056">
        <v>20.654140000000002</v>
      </c>
      <c r="AA115" s="1056">
        <v>20.663025000000001</v>
      </c>
      <c r="AB115" s="1056">
        <v>20.946209</v>
      </c>
      <c r="AC115" s="1056">
        <v>21.079236999999999</v>
      </c>
      <c r="AD115" s="1056">
        <v>21.236912</v>
      </c>
      <c r="AE115" s="1056">
        <v>21.461658</v>
      </c>
      <c r="AF115" s="1056">
        <v>21.586451</v>
      </c>
      <c r="AG115" s="1056">
        <v>21.737777999999999</v>
      </c>
      <c r="AH115" s="1056">
        <v>21.988303999999999</v>
      </c>
      <c r="AI115" s="1056">
        <v>22.237325999999999</v>
      </c>
      <c r="AJ115" s="1056">
        <v>22.342414999999999</v>
      </c>
      <c r="AK115" s="1056">
        <v>22.437189</v>
      </c>
      <c r="AL115" s="1056">
        <v>22.654578999999998</v>
      </c>
      <c r="AM115" s="1056">
        <v>22.911854000000002</v>
      </c>
      <c r="AN115" s="1056">
        <v>23.191139</v>
      </c>
      <c r="AO115" s="1056">
        <v>23.409314999999999</v>
      </c>
      <c r="AP115" s="1056">
        <v>23.521646</v>
      </c>
      <c r="AQ115" s="1056">
        <v>23.76399</v>
      </c>
      <c r="AR115" s="1056">
        <v>24.052772999999998</v>
      </c>
      <c r="AS115" s="1052"/>
      <c r="AT115" s="1052"/>
      <c r="AU115" s="1052"/>
      <c r="AV115" s="1052"/>
      <c r="AW115" s="1052"/>
      <c r="AX115" s="1052"/>
      <c r="AY115" s="1052"/>
      <c r="AZ115" s="1052"/>
      <c r="BA115" s="1052"/>
      <c r="BB115" s="1052"/>
      <c r="BC115" s="1052"/>
      <c r="BD115" s="1052"/>
      <c r="BE115" s="1052"/>
      <c r="BF115" s="1052"/>
      <c r="BG115" s="1052"/>
      <c r="BH115" s="1052"/>
      <c r="BI115" s="1052"/>
      <c r="BJ115" s="1052"/>
      <c r="BK115" s="1052"/>
      <c r="BL115" s="1052"/>
      <c r="BM115" s="1052"/>
      <c r="BN115" s="1052"/>
      <c r="BO115" s="1052"/>
      <c r="BP115" s="1052"/>
      <c r="BQ115" s="1052"/>
      <c r="BR115" s="1052"/>
      <c r="BS115" s="1052"/>
      <c r="BT115" s="1052"/>
      <c r="BU115" s="1052"/>
      <c r="BV115" s="1054"/>
    </row>
    <row r="116" spans="1:74" s="1050" customFormat="1" ht="13" thickBot="1" x14ac:dyDescent="0.3">
      <c r="A116" s="1059" t="s">
        <v>684</v>
      </c>
      <c r="B116" s="1060"/>
      <c r="C116" s="1061"/>
      <c r="D116" s="1061"/>
      <c r="E116" s="1061"/>
      <c r="F116" s="1060"/>
      <c r="G116" s="1060"/>
      <c r="H116" s="1060"/>
      <c r="I116" s="1060"/>
      <c r="J116" s="1060"/>
      <c r="K116" s="1060"/>
      <c r="L116" s="1060"/>
      <c r="M116" s="1060"/>
      <c r="N116" s="1060"/>
      <c r="O116" s="1062">
        <v>34.952885000000002</v>
      </c>
      <c r="P116" s="1062">
        <v>34.831184</v>
      </c>
      <c r="Q116" s="1062">
        <v>34.015979999999999</v>
      </c>
      <c r="R116" s="1062">
        <v>34.409668000000003</v>
      </c>
      <c r="S116" s="1062">
        <v>34.941752999999999</v>
      </c>
      <c r="T116" s="1062">
        <v>35.163139000000001</v>
      </c>
      <c r="U116" s="1062">
        <v>35.519157</v>
      </c>
      <c r="V116" s="1062">
        <v>35.913296000000003</v>
      </c>
      <c r="W116" s="1062">
        <v>36.178234000000003</v>
      </c>
      <c r="X116" s="1062">
        <v>36.146892999999999</v>
      </c>
      <c r="Y116" s="1062">
        <v>36.061802</v>
      </c>
      <c r="Z116" s="1062">
        <v>35.804130999999998</v>
      </c>
      <c r="AA116" s="1062">
        <v>35.695621000000003</v>
      </c>
      <c r="AB116" s="1062">
        <v>36.040774999999996</v>
      </c>
      <c r="AC116" s="1062">
        <v>36.141415000000002</v>
      </c>
      <c r="AD116" s="1062">
        <v>36.246937000000003</v>
      </c>
      <c r="AE116" s="1062">
        <v>36.470740999999997</v>
      </c>
      <c r="AF116" s="1062">
        <v>36.579631999999997</v>
      </c>
      <c r="AG116" s="1062">
        <v>36.725307000000001</v>
      </c>
      <c r="AH116" s="1062">
        <v>36.981831</v>
      </c>
      <c r="AI116" s="1062">
        <v>37.256236999999999</v>
      </c>
      <c r="AJ116" s="1062">
        <v>37.335673999999997</v>
      </c>
      <c r="AK116" s="1062">
        <v>37.369007000000003</v>
      </c>
      <c r="AL116" s="1062">
        <v>37.567386999999997</v>
      </c>
      <c r="AM116" s="1062">
        <v>37.817901999999997</v>
      </c>
      <c r="AN116" s="1062">
        <v>38.082256000000001</v>
      </c>
      <c r="AO116" s="1062">
        <v>38.298912000000001</v>
      </c>
      <c r="AP116" s="1062">
        <v>38.369354000000001</v>
      </c>
      <c r="AQ116" s="1062">
        <v>38.582217999999997</v>
      </c>
      <c r="AR116" s="1062">
        <v>38.834609999999998</v>
      </c>
      <c r="AS116" s="1060"/>
      <c r="AT116" s="1060"/>
      <c r="AU116" s="1060"/>
      <c r="AV116" s="1060"/>
      <c r="AW116" s="1060"/>
      <c r="AX116" s="1060"/>
      <c r="AY116" s="1060"/>
      <c r="AZ116" s="1060"/>
      <c r="BA116" s="1060"/>
      <c r="BB116" s="1060"/>
      <c r="BC116" s="1060"/>
      <c r="BD116" s="1060"/>
      <c r="BE116" s="1060"/>
      <c r="BF116" s="1060"/>
      <c r="BG116" s="1060"/>
      <c r="BH116" s="1060"/>
      <c r="BI116" s="1060"/>
      <c r="BJ116" s="1060"/>
      <c r="BK116" s="1060"/>
      <c r="BL116" s="1060"/>
      <c r="BM116" s="1060"/>
      <c r="BN116" s="1060"/>
      <c r="BO116" s="1060"/>
      <c r="BP116" s="1060"/>
      <c r="BQ116" s="1060"/>
      <c r="BR116" s="1060"/>
      <c r="BS116" s="1060"/>
      <c r="BT116" s="1060"/>
      <c r="BU116" s="1060"/>
      <c r="BV116" s="1063"/>
    </row>
    <row r="129" spans="1:104" ht="13" thickBot="1" x14ac:dyDescent="0.3"/>
    <row r="130" spans="1:104" ht="13" x14ac:dyDescent="0.3">
      <c r="A130" s="1379" t="s">
        <v>1289</v>
      </c>
      <c r="B130" s="1380" t="str">
        <f>"Prices are in $(" &amp; ref_year&amp;")/GJ LHV"</f>
        <v>Prices are in $(2016)/GJ LHV</v>
      </c>
      <c r="C130" s="1380"/>
      <c r="D130" s="1381"/>
      <c r="E130" s="1380"/>
      <c r="F130" s="957"/>
      <c r="G130" s="957"/>
      <c r="H130" s="957"/>
      <c r="I130" s="957"/>
      <c r="J130" s="957"/>
      <c r="K130" s="957"/>
      <c r="L130" s="957"/>
      <c r="M130" s="957"/>
      <c r="N130" s="957"/>
      <c r="O130" s="957"/>
      <c r="P130" s="957"/>
      <c r="Q130" s="957"/>
      <c r="R130" s="957"/>
      <c r="S130" s="957"/>
      <c r="T130" s="957"/>
      <c r="U130" s="957"/>
      <c r="V130" s="957"/>
      <c r="W130" s="957"/>
      <c r="X130" s="957"/>
      <c r="Y130" s="957"/>
      <c r="Z130" s="957"/>
      <c r="AA130" s="957"/>
      <c r="AB130" s="957"/>
      <c r="AC130" s="957"/>
      <c r="AD130" s="957"/>
      <c r="AE130" s="957"/>
      <c r="AF130" s="957"/>
      <c r="AG130" s="957"/>
      <c r="AH130" s="957"/>
      <c r="AI130" s="957"/>
      <c r="AJ130" s="957"/>
      <c r="AK130" s="957"/>
      <c r="AL130" s="957"/>
      <c r="AM130" s="957"/>
      <c r="AN130" s="957"/>
      <c r="AO130" s="957"/>
      <c r="AP130" s="957"/>
      <c r="AQ130" s="957"/>
      <c r="AR130" s="957"/>
      <c r="AS130" s="1382"/>
      <c r="AT130" s="1382"/>
      <c r="AU130" s="1382"/>
      <c r="AV130" s="1382"/>
      <c r="AW130" s="1382"/>
      <c r="AX130" s="1382"/>
      <c r="AY130" s="1382"/>
      <c r="AZ130" s="1382"/>
      <c r="BA130" s="1382"/>
      <c r="BB130" s="1383" t="s">
        <v>1290</v>
      </c>
      <c r="BC130" s="1384"/>
      <c r="BD130" s="1384"/>
      <c r="BE130" s="1384"/>
      <c r="BF130" s="1384"/>
      <c r="BG130" s="1384"/>
      <c r="BH130" s="1384"/>
      <c r="BI130" s="1384"/>
      <c r="BJ130" s="1384"/>
      <c r="BK130" s="1384"/>
      <c r="BL130" s="1384"/>
      <c r="BM130" s="1384"/>
      <c r="BN130" s="1384"/>
      <c r="BO130" s="1384"/>
      <c r="BP130" s="1384"/>
      <c r="BQ130" s="1384"/>
      <c r="BR130" s="1384"/>
      <c r="BS130" s="1384"/>
      <c r="BT130" s="1384"/>
      <c r="BU130" s="1384"/>
      <c r="BV130" s="1384"/>
      <c r="BW130" s="1384"/>
      <c r="BX130" s="1384"/>
      <c r="BY130" s="1384"/>
      <c r="BZ130" s="1384"/>
      <c r="CA130" s="1384"/>
      <c r="CB130" s="1384"/>
      <c r="CC130" s="1384"/>
      <c r="CD130" s="1384"/>
      <c r="CE130" s="1384"/>
      <c r="CF130" s="1384"/>
      <c r="CG130" s="1384"/>
      <c r="CH130" s="1384"/>
      <c r="CI130" s="1384"/>
      <c r="CJ130" s="1384"/>
      <c r="CK130" s="1384"/>
      <c r="CL130" s="1384"/>
      <c r="CM130" s="1384"/>
      <c r="CN130" s="1384"/>
      <c r="CO130" s="1384"/>
      <c r="CP130" s="1384"/>
      <c r="CQ130" s="1384"/>
      <c r="CR130" s="1384"/>
      <c r="CS130" s="1384"/>
      <c r="CT130" s="1384"/>
      <c r="CU130" s="1384"/>
      <c r="CV130" s="1384"/>
      <c r="CW130" s="1384"/>
      <c r="CX130" s="1384"/>
      <c r="CY130" s="1384"/>
      <c r="CZ130" s="1385"/>
    </row>
    <row r="131" spans="1:104" ht="39.5" thickBot="1" x14ac:dyDescent="0.35">
      <c r="A131" s="1386" t="s">
        <v>1083</v>
      </c>
      <c r="B131" s="1120" t="s">
        <v>678</v>
      </c>
      <c r="C131" s="1120" t="s">
        <v>679</v>
      </c>
      <c r="D131" s="1253" t="s">
        <v>690</v>
      </c>
      <c r="E131" s="1120" t="s">
        <v>691</v>
      </c>
      <c r="F131" s="1121" t="s">
        <v>680</v>
      </c>
      <c r="G131" s="1121" t="s">
        <v>692</v>
      </c>
      <c r="H131" s="888">
        <v>2004</v>
      </c>
      <c r="I131" s="888">
        <f>+H131+1</f>
        <v>2005</v>
      </c>
      <c r="J131" s="888">
        <f t="shared" ref="J131:BU131" si="265">+I131+1</f>
        <v>2006</v>
      </c>
      <c r="K131" s="888">
        <f t="shared" si="265"/>
        <v>2007</v>
      </c>
      <c r="L131" s="888">
        <f t="shared" si="265"/>
        <v>2008</v>
      </c>
      <c r="M131" s="888">
        <f t="shared" si="265"/>
        <v>2009</v>
      </c>
      <c r="N131" s="888">
        <f t="shared" si="265"/>
        <v>2010</v>
      </c>
      <c r="O131" s="888">
        <f t="shared" si="265"/>
        <v>2011</v>
      </c>
      <c r="P131" s="888">
        <f t="shared" si="265"/>
        <v>2012</v>
      </c>
      <c r="Q131" s="888">
        <f t="shared" si="265"/>
        <v>2013</v>
      </c>
      <c r="R131" s="888">
        <f t="shared" si="265"/>
        <v>2014</v>
      </c>
      <c r="S131" s="888">
        <f t="shared" si="265"/>
        <v>2015</v>
      </c>
      <c r="T131" s="888">
        <f t="shared" si="265"/>
        <v>2016</v>
      </c>
      <c r="U131" s="888">
        <f t="shared" si="265"/>
        <v>2017</v>
      </c>
      <c r="V131" s="888">
        <f t="shared" si="265"/>
        <v>2018</v>
      </c>
      <c r="W131" s="888">
        <f t="shared" si="265"/>
        <v>2019</v>
      </c>
      <c r="X131" s="888">
        <f t="shared" si="265"/>
        <v>2020</v>
      </c>
      <c r="Y131" s="888">
        <f t="shared" si="265"/>
        <v>2021</v>
      </c>
      <c r="Z131" s="888">
        <f t="shared" si="265"/>
        <v>2022</v>
      </c>
      <c r="AA131" s="888">
        <f t="shared" si="265"/>
        <v>2023</v>
      </c>
      <c r="AB131" s="888">
        <f t="shared" si="265"/>
        <v>2024</v>
      </c>
      <c r="AC131" s="888">
        <f t="shared" si="265"/>
        <v>2025</v>
      </c>
      <c r="AD131" s="888">
        <f t="shared" si="265"/>
        <v>2026</v>
      </c>
      <c r="AE131" s="888">
        <f t="shared" si="265"/>
        <v>2027</v>
      </c>
      <c r="AF131" s="888">
        <f t="shared" si="265"/>
        <v>2028</v>
      </c>
      <c r="AG131" s="888">
        <f t="shared" si="265"/>
        <v>2029</v>
      </c>
      <c r="AH131" s="888">
        <f t="shared" si="265"/>
        <v>2030</v>
      </c>
      <c r="AI131" s="888">
        <f t="shared" si="265"/>
        <v>2031</v>
      </c>
      <c r="AJ131" s="888">
        <f t="shared" si="265"/>
        <v>2032</v>
      </c>
      <c r="AK131" s="888">
        <f t="shared" si="265"/>
        <v>2033</v>
      </c>
      <c r="AL131" s="888">
        <f t="shared" si="265"/>
        <v>2034</v>
      </c>
      <c r="AM131" s="888">
        <f t="shared" si="265"/>
        <v>2035</v>
      </c>
      <c r="AN131" s="888">
        <f t="shared" si="265"/>
        <v>2036</v>
      </c>
      <c r="AO131" s="888">
        <f t="shared" si="265"/>
        <v>2037</v>
      </c>
      <c r="AP131" s="888">
        <f t="shared" si="265"/>
        <v>2038</v>
      </c>
      <c r="AQ131" s="888">
        <f t="shared" si="265"/>
        <v>2039</v>
      </c>
      <c r="AR131" s="888">
        <f t="shared" si="265"/>
        <v>2040</v>
      </c>
      <c r="AS131" s="888">
        <f t="shared" si="265"/>
        <v>2041</v>
      </c>
      <c r="AT131" s="888">
        <f t="shared" si="265"/>
        <v>2042</v>
      </c>
      <c r="AU131" s="888">
        <f t="shared" si="265"/>
        <v>2043</v>
      </c>
      <c r="AV131" s="888">
        <f t="shared" si="265"/>
        <v>2044</v>
      </c>
      <c r="AW131" s="888">
        <f t="shared" si="265"/>
        <v>2045</v>
      </c>
      <c r="AX131" s="888">
        <f t="shared" si="265"/>
        <v>2046</v>
      </c>
      <c r="AY131" s="888">
        <f t="shared" si="265"/>
        <v>2047</v>
      </c>
      <c r="AZ131" s="888">
        <f t="shared" si="265"/>
        <v>2048</v>
      </c>
      <c r="BA131" s="888">
        <f t="shared" si="265"/>
        <v>2049</v>
      </c>
      <c r="BB131" s="888">
        <f t="shared" si="265"/>
        <v>2050</v>
      </c>
      <c r="BC131" s="888">
        <f t="shared" si="265"/>
        <v>2051</v>
      </c>
      <c r="BD131" s="888">
        <f t="shared" si="265"/>
        <v>2052</v>
      </c>
      <c r="BE131" s="888">
        <f t="shared" si="265"/>
        <v>2053</v>
      </c>
      <c r="BF131" s="888">
        <f t="shared" si="265"/>
        <v>2054</v>
      </c>
      <c r="BG131" s="888">
        <f t="shared" si="265"/>
        <v>2055</v>
      </c>
      <c r="BH131" s="888">
        <f t="shared" si="265"/>
        <v>2056</v>
      </c>
      <c r="BI131" s="888">
        <f t="shared" si="265"/>
        <v>2057</v>
      </c>
      <c r="BJ131" s="888">
        <f t="shared" si="265"/>
        <v>2058</v>
      </c>
      <c r="BK131" s="888">
        <f t="shared" si="265"/>
        <v>2059</v>
      </c>
      <c r="BL131" s="888">
        <f t="shared" si="265"/>
        <v>2060</v>
      </c>
      <c r="BM131" s="888">
        <f t="shared" si="265"/>
        <v>2061</v>
      </c>
      <c r="BN131" s="888">
        <f t="shared" si="265"/>
        <v>2062</v>
      </c>
      <c r="BO131" s="888">
        <f t="shared" si="265"/>
        <v>2063</v>
      </c>
      <c r="BP131" s="888">
        <f t="shared" si="265"/>
        <v>2064</v>
      </c>
      <c r="BQ131" s="888">
        <f t="shared" si="265"/>
        <v>2065</v>
      </c>
      <c r="BR131" s="888">
        <f t="shared" si="265"/>
        <v>2066</v>
      </c>
      <c r="BS131" s="888">
        <f t="shared" si="265"/>
        <v>2067</v>
      </c>
      <c r="BT131" s="888">
        <f t="shared" si="265"/>
        <v>2068</v>
      </c>
      <c r="BU131" s="888">
        <f t="shared" si="265"/>
        <v>2069</v>
      </c>
      <c r="BV131" s="888">
        <f t="shared" ref="BV131:CZ131" si="266">+BU131+1</f>
        <v>2070</v>
      </c>
      <c r="BW131" s="888">
        <f t="shared" si="266"/>
        <v>2071</v>
      </c>
      <c r="BX131" s="888">
        <f t="shared" si="266"/>
        <v>2072</v>
      </c>
      <c r="BY131" s="888">
        <f t="shared" si="266"/>
        <v>2073</v>
      </c>
      <c r="BZ131" s="888">
        <f t="shared" si="266"/>
        <v>2074</v>
      </c>
      <c r="CA131" s="888">
        <f t="shared" si="266"/>
        <v>2075</v>
      </c>
      <c r="CB131" s="888">
        <f t="shared" si="266"/>
        <v>2076</v>
      </c>
      <c r="CC131" s="888">
        <f t="shared" si="266"/>
        <v>2077</v>
      </c>
      <c r="CD131" s="888">
        <f t="shared" si="266"/>
        <v>2078</v>
      </c>
      <c r="CE131" s="888">
        <f t="shared" si="266"/>
        <v>2079</v>
      </c>
      <c r="CF131" s="888">
        <f t="shared" si="266"/>
        <v>2080</v>
      </c>
      <c r="CG131" s="888">
        <f t="shared" si="266"/>
        <v>2081</v>
      </c>
      <c r="CH131" s="888">
        <f t="shared" si="266"/>
        <v>2082</v>
      </c>
      <c r="CI131" s="888">
        <f t="shared" si="266"/>
        <v>2083</v>
      </c>
      <c r="CJ131" s="888">
        <f t="shared" si="266"/>
        <v>2084</v>
      </c>
      <c r="CK131" s="888">
        <f t="shared" si="266"/>
        <v>2085</v>
      </c>
      <c r="CL131" s="888">
        <f t="shared" si="266"/>
        <v>2086</v>
      </c>
      <c r="CM131" s="888">
        <f t="shared" si="266"/>
        <v>2087</v>
      </c>
      <c r="CN131" s="888">
        <f t="shared" si="266"/>
        <v>2088</v>
      </c>
      <c r="CO131" s="888">
        <f t="shared" si="266"/>
        <v>2089</v>
      </c>
      <c r="CP131" s="888">
        <f t="shared" si="266"/>
        <v>2090</v>
      </c>
      <c r="CQ131" s="888">
        <f t="shared" si="266"/>
        <v>2091</v>
      </c>
      <c r="CR131" s="888">
        <f t="shared" si="266"/>
        <v>2092</v>
      </c>
      <c r="CS131" s="888">
        <f t="shared" si="266"/>
        <v>2093</v>
      </c>
      <c r="CT131" s="888">
        <f t="shared" si="266"/>
        <v>2094</v>
      </c>
      <c r="CU131" s="888">
        <f t="shared" si="266"/>
        <v>2095</v>
      </c>
      <c r="CV131" s="888">
        <f t="shared" si="266"/>
        <v>2096</v>
      </c>
      <c r="CW131" s="888">
        <f t="shared" si="266"/>
        <v>2097</v>
      </c>
      <c r="CX131" s="888">
        <f t="shared" si="266"/>
        <v>2098</v>
      </c>
      <c r="CY131" s="888">
        <f t="shared" si="266"/>
        <v>2099</v>
      </c>
      <c r="CZ131" s="1387">
        <f t="shared" si="266"/>
        <v>2100</v>
      </c>
    </row>
    <row r="132" spans="1:104" ht="13" thickBot="1" x14ac:dyDescent="0.3">
      <c r="A132" s="1388" t="s">
        <v>1089</v>
      </c>
      <c r="B132" s="870"/>
      <c r="C132" s="870"/>
      <c r="D132" s="1254"/>
      <c r="E132" s="870"/>
      <c r="F132" s="870"/>
      <c r="G132" s="870"/>
      <c r="H132" s="957"/>
      <c r="I132" s="957"/>
      <c r="J132" s="957"/>
      <c r="K132" s="957"/>
      <c r="L132" s="957"/>
      <c r="M132" s="957"/>
      <c r="N132" s="957"/>
      <c r="O132" s="957"/>
      <c r="P132" s="957"/>
      <c r="Q132" s="957"/>
      <c r="R132" s="957"/>
      <c r="S132" s="957"/>
      <c r="T132" s="957"/>
      <c r="U132" s="957"/>
      <c r="V132" s="957"/>
      <c r="W132" s="957"/>
      <c r="X132" s="957"/>
      <c r="Y132" s="957"/>
      <c r="Z132" s="957"/>
      <c r="AA132" s="957"/>
      <c r="AB132" s="957"/>
      <c r="AC132" s="957"/>
      <c r="AD132" s="957"/>
      <c r="AE132" s="957"/>
      <c r="AF132" s="957"/>
      <c r="AG132" s="957"/>
      <c r="AH132" s="957"/>
      <c r="AI132" s="957"/>
      <c r="AJ132" s="957"/>
      <c r="AK132" s="957"/>
      <c r="AL132" s="957"/>
      <c r="AM132" s="957"/>
      <c r="AN132" s="957"/>
      <c r="AO132" s="957"/>
      <c r="AP132" s="957"/>
      <c r="AQ132" s="957"/>
      <c r="AR132" s="957"/>
      <c r="AS132" s="957"/>
      <c r="AT132" s="957"/>
      <c r="AU132" s="957"/>
      <c r="AV132" s="957"/>
      <c r="AW132" s="957"/>
      <c r="AX132" s="957"/>
      <c r="AY132" s="957"/>
      <c r="AZ132" s="957"/>
      <c r="BA132" s="957"/>
      <c r="BB132" s="957"/>
      <c r="BC132" s="957"/>
      <c r="BD132" s="957"/>
      <c r="BE132" s="957"/>
      <c r="BF132" s="957"/>
      <c r="BG132" s="957"/>
      <c r="BH132" s="957"/>
      <c r="BI132" s="957"/>
      <c r="BJ132" s="957"/>
      <c r="BK132" s="957"/>
      <c r="BL132" s="957"/>
      <c r="BM132" s="957"/>
      <c r="BN132" s="957"/>
      <c r="BO132" s="957"/>
      <c r="BP132" s="957"/>
      <c r="BQ132" s="957"/>
      <c r="BR132" s="957"/>
      <c r="BS132" s="957"/>
      <c r="BT132" s="957"/>
      <c r="BU132" s="957"/>
      <c r="BV132" s="957"/>
      <c r="BW132" s="957"/>
      <c r="BX132" s="957"/>
      <c r="BY132" s="957"/>
      <c r="BZ132" s="957"/>
      <c r="CA132" s="957"/>
      <c r="CB132" s="957"/>
      <c r="CC132" s="957"/>
      <c r="CD132" s="957"/>
      <c r="CE132" s="957"/>
      <c r="CF132" s="957"/>
      <c r="CG132" s="957"/>
      <c r="CH132" s="957"/>
      <c r="CI132" s="957"/>
      <c r="CJ132" s="957"/>
      <c r="CK132" s="957"/>
      <c r="CL132" s="957"/>
      <c r="CM132" s="957"/>
      <c r="CN132" s="957"/>
      <c r="CO132" s="957"/>
      <c r="CP132" s="957"/>
      <c r="CQ132" s="957"/>
      <c r="CR132" s="957"/>
      <c r="CS132" s="957"/>
      <c r="CT132" s="957"/>
      <c r="CU132" s="957"/>
      <c r="CV132" s="957"/>
      <c r="CW132" s="957"/>
      <c r="CX132" s="957"/>
      <c r="CY132" s="957"/>
      <c r="CZ132" s="1389"/>
    </row>
    <row r="133" spans="1:104" ht="13" x14ac:dyDescent="0.3">
      <c r="A133" s="1527" t="s">
        <v>681</v>
      </c>
      <c r="B133" s="260">
        <v>2016</v>
      </c>
      <c r="C133" s="873">
        <f t="shared" ref="C133:C141" si="267">VLOOKUP(ref_year,DeflatorTable,2,FALSE)/VLOOKUP(B133,DeflatorTable,2,FALSE)</f>
        <v>1</v>
      </c>
      <c r="D133" s="1255" t="s">
        <v>863</v>
      </c>
      <c r="E133" s="873" t="s">
        <v>1057</v>
      </c>
      <c r="F133" s="260">
        <v>47.141269049911173</v>
      </c>
      <c r="G133" s="260">
        <v>52.224661236371581</v>
      </c>
      <c r="H133" s="1065">
        <f>+H153*$C133</f>
        <v>13.604875014867702</v>
      </c>
      <c r="I133" s="1065">
        <f t="shared" ref="I133:BT141" si="268">+I153*$C133</f>
        <v>15.571757228276402</v>
      </c>
      <c r="J133" s="1065">
        <f t="shared" si="268"/>
        <v>16.331995797204218</v>
      </c>
      <c r="K133" s="1065">
        <f t="shared" si="268"/>
        <v>15.155672177020728</v>
      </c>
      <c r="L133" s="1065">
        <f t="shared" si="268"/>
        <v>15.783516201764996</v>
      </c>
      <c r="M133" s="1065">
        <f t="shared" si="268"/>
        <v>13.69149010361817</v>
      </c>
      <c r="N133" s="1065">
        <f t="shared" si="268"/>
        <v>12.691188457250465</v>
      </c>
      <c r="O133" s="957">
        <f t="shared" si="268"/>
        <v>12.04142243701838</v>
      </c>
      <c r="P133" s="957">
        <f t="shared" si="268"/>
        <v>11.415954621928984</v>
      </c>
      <c r="Q133" s="957">
        <f t="shared" si="268"/>
        <v>10.886628367710442</v>
      </c>
      <c r="R133" s="957">
        <f t="shared" si="268"/>
        <v>11.368469484946878</v>
      </c>
      <c r="S133" s="957">
        <f t="shared" si="268"/>
        <v>9.7183315387998359</v>
      </c>
      <c r="T133" s="957">
        <f t="shared" si="268"/>
        <v>9.390001099467705</v>
      </c>
      <c r="U133" s="957">
        <f t="shared" si="268"/>
        <v>10.023002570479671</v>
      </c>
      <c r="V133" s="957">
        <f t="shared" si="268"/>
        <v>10.033707215541167</v>
      </c>
      <c r="W133" s="957">
        <f t="shared" si="268"/>
        <v>10.158951752324048</v>
      </c>
      <c r="X133" s="957">
        <f t="shared" si="268"/>
        <v>10.289627280447673</v>
      </c>
      <c r="Y133" s="957">
        <f t="shared" si="268"/>
        <v>10.38663350570965</v>
      </c>
      <c r="Z133" s="957">
        <f t="shared" si="268"/>
        <v>10.458822090960101</v>
      </c>
      <c r="AA133" s="957">
        <f t="shared" si="268"/>
        <v>10.541361785535555</v>
      </c>
      <c r="AB133" s="957">
        <f t="shared" si="268"/>
        <v>10.671303703310535</v>
      </c>
      <c r="AC133" s="957">
        <f t="shared" si="268"/>
        <v>10.821196220864106</v>
      </c>
      <c r="AD133" s="957">
        <f t="shared" si="268"/>
        <v>10.961130973142659</v>
      </c>
      <c r="AE133" s="957">
        <f t="shared" si="268"/>
        <v>11.387951919139837</v>
      </c>
      <c r="AF133" s="957">
        <f t="shared" si="268"/>
        <v>11.524366479125279</v>
      </c>
      <c r="AG133" s="957">
        <f t="shared" si="268"/>
        <v>11.653679994237272</v>
      </c>
      <c r="AH133" s="957">
        <f t="shared" si="268"/>
        <v>11.727599293307653</v>
      </c>
      <c r="AI133" s="957">
        <f t="shared" si="268"/>
        <v>11.827238554162054</v>
      </c>
      <c r="AJ133" s="957">
        <f t="shared" si="268"/>
        <v>11.877874728924342</v>
      </c>
      <c r="AK133" s="957">
        <f t="shared" si="268"/>
        <v>11.891573527850655</v>
      </c>
      <c r="AL133" s="957">
        <f t="shared" si="268"/>
        <v>11.9827791131466</v>
      </c>
      <c r="AM133" s="957">
        <f t="shared" si="268"/>
        <v>12.163475682807357</v>
      </c>
      <c r="AN133" s="957">
        <f t="shared" si="268"/>
        <v>12.259449735369497</v>
      </c>
      <c r="AO133" s="957">
        <f t="shared" si="268"/>
        <v>12.356256919064013</v>
      </c>
      <c r="AP133" s="957">
        <f t="shared" si="268"/>
        <v>12.41256198723101</v>
      </c>
      <c r="AQ133" s="957">
        <f t="shared" si="268"/>
        <v>12.490714236969412</v>
      </c>
      <c r="AR133" s="957">
        <f t="shared" si="268"/>
        <v>12.496378391289182</v>
      </c>
      <c r="AS133" s="957">
        <f t="shared" si="268"/>
        <v>12.55376491863939</v>
      </c>
      <c r="AT133" s="957">
        <f t="shared" si="268"/>
        <v>12.651412816002184</v>
      </c>
      <c r="AU133" s="957">
        <f t="shared" si="268"/>
        <v>12.770777096192051</v>
      </c>
      <c r="AV133" s="957">
        <f t="shared" si="268"/>
        <v>12.886454368298935</v>
      </c>
      <c r="AW133" s="957">
        <f t="shared" si="268"/>
        <v>13.010888521557151</v>
      </c>
      <c r="AX133" s="957">
        <f t="shared" si="268"/>
        <v>13.118997475015544</v>
      </c>
      <c r="AY133" s="957">
        <f t="shared" si="268"/>
        <v>13.217679440712152</v>
      </c>
      <c r="AZ133" s="957">
        <f t="shared" si="268"/>
        <v>13.363983523149482</v>
      </c>
      <c r="BA133" s="957">
        <f t="shared" si="268"/>
        <v>13.453606254075613</v>
      </c>
      <c r="BB133" s="957">
        <f t="shared" si="268"/>
        <v>13.593337225701765</v>
      </c>
      <c r="BC133" s="957">
        <f t="shared" si="268"/>
        <v>13.668907227280409</v>
      </c>
      <c r="BD133" s="957">
        <f t="shared" si="268"/>
        <v>13.744897348292845</v>
      </c>
      <c r="BE133" s="957">
        <f t="shared" si="268"/>
        <v>13.821309924326409</v>
      </c>
      <c r="BF133" s="957">
        <f t="shared" si="268"/>
        <v>13.898147303952761</v>
      </c>
      <c r="BG133" s="957">
        <f t="shared" si="268"/>
        <v>13.975411848800078</v>
      </c>
      <c r="BH133" s="957">
        <f t="shared" si="268"/>
        <v>14.050424531225174</v>
      </c>
      <c r="BI133" s="957">
        <f t="shared" si="268"/>
        <v>14.12583984239463</v>
      </c>
      <c r="BJ133" s="957">
        <f t="shared" si="268"/>
        <v>14.201659943408417</v>
      </c>
      <c r="BK133" s="957">
        <f t="shared" si="268"/>
        <v>14.277887006966159</v>
      </c>
      <c r="BL133" s="957">
        <f t="shared" si="268"/>
        <v>14.354523217429389</v>
      </c>
      <c r="BM133" s="957">
        <f t="shared" si="268"/>
        <v>14.422221698840277</v>
      </c>
      <c r="BN133" s="957">
        <f t="shared" si="268"/>
        <v>14.490239458315362</v>
      </c>
      <c r="BO133" s="957">
        <f t="shared" si="268"/>
        <v>14.558578001626712</v>
      </c>
      <c r="BP133" s="957">
        <f t="shared" si="268"/>
        <v>14.627238841647882</v>
      </c>
      <c r="BQ133" s="957">
        <f t="shared" si="268"/>
        <v>14.696223498387408</v>
      </c>
      <c r="BR133" s="957">
        <f t="shared" si="268"/>
        <v>14.75529333521281</v>
      </c>
      <c r="BS133" s="957">
        <f t="shared" si="268"/>
        <v>14.814600596681556</v>
      </c>
      <c r="BT133" s="957">
        <f t="shared" si="268"/>
        <v>14.874146237095607</v>
      </c>
      <c r="BU133" s="957">
        <f t="shared" ref="BU133:CZ140" si="269">+BU153*$C133</f>
        <v>14.933931214592636</v>
      </c>
      <c r="BV133" s="957">
        <f t="shared" si="269"/>
        <v>14.993956491161448</v>
      </c>
      <c r="BW133" s="957">
        <f t="shared" si="269"/>
        <v>15.043740835540882</v>
      </c>
      <c r="BX133" s="957">
        <f t="shared" si="269"/>
        <v>15.093690478582264</v>
      </c>
      <c r="BY133" s="957">
        <f t="shared" si="269"/>
        <v>15.143805969125756</v>
      </c>
      <c r="BZ133" s="957">
        <f t="shared" si="269"/>
        <v>15.19408785783383</v>
      </c>
      <c r="CA133" s="957">
        <f t="shared" si="269"/>
        <v>15.244536697197322</v>
      </c>
      <c r="CB133" s="957">
        <f t="shared" si="269"/>
        <v>15.277067444573643</v>
      </c>
      <c r="CC133" s="957">
        <f t="shared" si="269"/>
        <v>15.309667610230484</v>
      </c>
      <c r="CD133" s="957">
        <f t="shared" si="269"/>
        <v>15.342337342301477</v>
      </c>
      <c r="CE133" s="957">
        <f t="shared" si="269"/>
        <v>15.375076789236356</v>
      </c>
      <c r="CF133" s="957">
        <f t="shared" si="269"/>
        <v>15.407886099801638</v>
      </c>
      <c r="CG133" s="957">
        <f t="shared" si="269"/>
        <v>15.41853907481957</v>
      </c>
      <c r="CH133" s="957">
        <f t="shared" si="269"/>
        <v>15.42919941527855</v>
      </c>
      <c r="CI133" s="957">
        <f t="shared" si="269"/>
        <v>15.439867126271025</v>
      </c>
      <c r="CJ133" s="957">
        <f t="shared" si="269"/>
        <v>15.450542212892964</v>
      </c>
      <c r="CK133" s="957">
        <f t="shared" si="269"/>
        <v>15.461224680243861</v>
      </c>
      <c r="CL133" s="957">
        <f t="shared" si="269"/>
        <v>15.464845562477739</v>
      </c>
      <c r="CM133" s="957">
        <f t="shared" si="269"/>
        <v>15.468467292690251</v>
      </c>
      <c r="CN133" s="957">
        <f t="shared" si="269"/>
        <v>15.472089871079984</v>
      </c>
      <c r="CO133" s="957">
        <f t="shared" si="269"/>
        <v>15.475713297845573</v>
      </c>
      <c r="CP133" s="957">
        <f t="shared" si="269"/>
        <v>15.479337573185701</v>
      </c>
      <c r="CQ133" s="957">
        <f t="shared" si="269"/>
        <v>15.484830510437597</v>
      </c>
      <c r="CR133" s="957">
        <f t="shared" si="269"/>
        <v>15.490325396891745</v>
      </c>
      <c r="CS133" s="957">
        <f t="shared" si="269"/>
        <v>15.49582223323983</v>
      </c>
      <c r="CT133" s="957">
        <f t="shared" si="269"/>
        <v>15.501321020173785</v>
      </c>
      <c r="CU133" s="957">
        <f t="shared" si="269"/>
        <v>15.506821758385787</v>
      </c>
      <c r="CV133" s="957">
        <f t="shared" si="269"/>
        <v>15.515287417782641</v>
      </c>
      <c r="CW133" s="957">
        <f t="shared" si="269"/>
        <v>15.523757698847955</v>
      </c>
      <c r="CX133" s="957">
        <f t="shared" si="269"/>
        <v>15.532232604104841</v>
      </c>
      <c r="CY133" s="957">
        <f t="shared" si="269"/>
        <v>15.540712136077792</v>
      </c>
      <c r="CZ133" s="1389">
        <f t="shared" si="269"/>
        <v>15.549196297292674</v>
      </c>
    </row>
    <row r="134" spans="1:104" ht="13" x14ac:dyDescent="0.3">
      <c r="A134" s="1527" t="s">
        <v>1084</v>
      </c>
      <c r="B134" s="260">
        <v>2016</v>
      </c>
      <c r="C134" s="873">
        <f t="shared" si="267"/>
        <v>1</v>
      </c>
      <c r="D134" s="1255" t="s">
        <v>863</v>
      </c>
      <c r="E134" s="873" t="s">
        <v>1057</v>
      </c>
      <c r="F134" s="260">
        <v>47.141269049911173</v>
      </c>
      <c r="G134" s="260">
        <v>52.224661236371581</v>
      </c>
      <c r="H134" s="1066">
        <f t="shared" ref="H134:BS137" si="270">+H154*$C134</f>
        <v>11.934322920018829</v>
      </c>
      <c r="I134" s="1066">
        <f t="shared" si="270"/>
        <v>13.90423046997279</v>
      </c>
      <c r="J134" s="1066">
        <f t="shared" si="270"/>
        <v>14.274140536522257</v>
      </c>
      <c r="K134" s="1066">
        <f t="shared" si="270"/>
        <v>13.139550648884942</v>
      </c>
      <c r="L134" s="1066">
        <f t="shared" si="270"/>
        <v>13.897221248926272</v>
      </c>
      <c r="M134" s="1066">
        <f t="shared" si="270"/>
        <v>11.345666428533674</v>
      </c>
      <c r="N134" s="1066">
        <f t="shared" si="270"/>
        <v>10.551848524158197</v>
      </c>
      <c r="O134" s="260">
        <f t="shared" si="270"/>
        <v>9.7270239269114924</v>
      </c>
      <c r="P134" s="260">
        <f t="shared" si="270"/>
        <v>8.6825570363966911</v>
      </c>
      <c r="Q134" s="260">
        <f t="shared" si="270"/>
        <v>8.5236392646415098</v>
      </c>
      <c r="R134" s="260">
        <f t="shared" si="270"/>
        <v>9.2232797097563566</v>
      </c>
      <c r="S134" s="260">
        <f t="shared" si="270"/>
        <v>7.6085885488542795</v>
      </c>
      <c r="T134" s="260">
        <f t="shared" si="270"/>
        <v>6.813801352724405</v>
      </c>
      <c r="U134" s="260">
        <f t="shared" si="270"/>
        <v>7.4731047451509687</v>
      </c>
      <c r="V134" s="260">
        <f t="shared" si="270"/>
        <v>7.9843107853990691</v>
      </c>
      <c r="W134" s="260">
        <f t="shared" si="270"/>
        <v>8.5650780622071245</v>
      </c>
      <c r="X134" s="260">
        <f t="shared" si="270"/>
        <v>9.1477570858798014</v>
      </c>
      <c r="Y134" s="260">
        <f t="shared" si="270"/>
        <v>9.2514909161219876</v>
      </c>
      <c r="Z134" s="260">
        <f t="shared" si="270"/>
        <v>9.3094669856386769</v>
      </c>
      <c r="AA134" s="260">
        <f t="shared" si="270"/>
        <v>9.3761326413005577</v>
      </c>
      <c r="AB134" s="260">
        <f t="shared" si="270"/>
        <v>9.4891655040111615</v>
      </c>
      <c r="AC134" s="260">
        <f t="shared" si="270"/>
        <v>9.6143446414218783</v>
      </c>
      <c r="AD134" s="260">
        <f t="shared" si="270"/>
        <v>9.7258827967425425</v>
      </c>
      <c r="AE134" s="260">
        <f t="shared" si="270"/>
        <v>10.087086372666475</v>
      </c>
      <c r="AF134" s="260">
        <f t="shared" si="270"/>
        <v>10.198695614261233</v>
      </c>
      <c r="AG134" s="260">
        <f t="shared" si="270"/>
        <v>10.304737378868989</v>
      </c>
      <c r="AH134" s="260">
        <f t="shared" si="270"/>
        <v>10.357640731866367</v>
      </c>
      <c r="AI134" s="260">
        <f t="shared" si="270"/>
        <v>10.427655972763532</v>
      </c>
      <c r="AJ134" s="260">
        <f t="shared" si="270"/>
        <v>10.453569289213085</v>
      </c>
      <c r="AK134" s="260">
        <f t="shared" si="270"/>
        <v>10.441948105124277</v>
      </c>
      <c r="AL134" s="260">
        <f t="shared" si="270"/>
        <v>10.506270757192036</v>
      </c>
      <c r="AM134" s="260">
        <f t="shared" si="270"/>
        <v>10.658282593530579</v>
      </c>
      <c r="AN134" s="260">
        <f t="shared" si="270"/>
        <v>10.722901912315555</v>
      </c>
      <c r="AO134" s="260">
        <f t="shared" si="270"/>
        <v>10.786351624937444</v>
      </c>
      <c r="AP134" s="260">
        <f t="shared" si="270"/>
        <v>10.817805879498341</v>
      </c>
      <c r="AQ134" s="260">
        <f t="shared" si="270"/>
        <v>10.86596540847121</v>
      </c>
      <c r="AR134" s="260">
        <f t="shared" si="270"/>
        <v>10.838793391061706</v>
      </c>
      <c r="AS134" s="260">
        <f t="shared" si="270"/>
        <v>10.868085675073171</v>
      </c>
      <c r="AT134" s="260">
        <f t="shared" si="270"/>
        <v>10.937640276914211</v>
      </c>
      <c r="AU134" s="260">
        <f t="shared" si="270"/>
        <v>11.027299024885883</v>
      </c>
      <c r="AV134" s="260">
        <f t="shared" si="270"/>
        <v>11.114692490256441</v>
      </c>
      <c r="AW134" s="260">
        <f t="shared" si="270"/>
        <v>11.212257927541287</v>
      </c>
      <c r="AX134" s="260">
        <f t="shared" si="270"/>
        <v>11.293368314098968</v>
      </c>
      <c r="AY134" s="260">
        <f t="shared" si="270"/>
        <v>11.35816487466068</v>
      </c>
      <c r="AZ134" s="260">
        <f t="shared" si="270"/>
        <v>11.46581792814789</v>
      </c>
      <c r="BA134" s="260">
        <f t="shared" si="270"/>
        <v>11.521194135666732</v>
      </c>
      <c r="BB134" s="260">
        <f t="shared" si="270"/>
        <v>11.628119265707223</v>
      </c>
      <c r="BC134" s="260">
        <f t="shared" si="270"/>
        <v>11.692763949840026</v>
      </c>
      <c r="BD134" s="260">
        <f t="shared" si="270"/>
        <v>11.757768015837698</v>
      </c>
      <c r="BE134" s="260">
        <f t="shared" si="270"/>
        <v>11.823133461626696</v>
      </c>
      <c r="BF134" s="260">
        <f t="shared" si="270"/>
        <v>11.888862296240635</v>
      </c>
      <c r="BG134" s="260">
        <f t="shared" si="270"/>
        <v>11.954956539882032</v>
      </c>
      <c r="BH134" s="260">
        <f t="shared" si="270"/>
        <v>12.019124477688386</v>
      </c>
      <c r="BI134" s="260">
        <f t="shared" si="270"/>
        <v>12.083636835336717</v>
      </c>
      <c r="BJ134" s="260">
        <f t="shared" si="270"/>
        <v>12.148495461492134</v>
      </c>
      <c r="BK134" s="260">
        <f t="shared" si="270"/>
        <v>12.213702214742405</v>
      </c>
      <c r="BL134" s="260">
        <f t="shared" si="270"/>
        <v>12.279258963651227</v>
      </c>
      <c r="BM134" s="260">
        <f t="shared" si="270"/>
        <v>12.337170130194249</v>
      </c>
      <c r="BN134" s="260">
        <f t="shared" si="270"/>
        <v>12.395354416085945</v>
      </c>
      <c r="BO134" s="260">
        <f t="shared" si="270"/>
        <v>12.453813109405683</v>
      </c>
      <c r="BP134" s="260">
        <f t="shared" si="270"/>
        <v>12.512547504307637</v>
      </c>
      <c r="BQ134" s="260">
        <f t="shared" si="270"/>
        <v>12.571558901049444</v>
      </c>
      <c r="BR134" s="260">
        <f t="shared" si="270"/>
        <v>12.622088884688262</v>
      </c>
      <c r="BS134" s="260">
        <f t="shared" si="270"/>
        <v>12.672821967979766</v>
      </c>
      <c r="BT134" s="260">
        <f t="shared" si="268"/>
        <v>12.723758967260437</v>
      </c>
      <c r="BU134" s="260">
        <f t="shared" si="269"/>
        <v>12.774900702147928</v>
      </c>
      <c r="BV134" s="260">
        <f t="shared" si="269"/>
        <v>12.826247995554251</v>
      </c>
      <c r="BW134" s="260">
        <f t="shared" si="269"/>
        <v>12.868834910334423</v>
      </c>
      <c r="BX134" s="260">
        <f t="shared" si="269"/>
        <v>12.911563226193937</v>
      </c>
      <c r="BY134" s="260">
        <f t="shared" si="269"/>
        <v>12.954433412625956</v>
      </c>
      <c r="BZ134" s="260">
        <f t="shared" si="269"/>
        <v>12.997445940682496</v>
      </c>
      <c r="CA134" s="260">
        <f t="shared" si="269"/>
        <v>13.040601282979605</v>
      </c>
      <c r="CB134" s="260">
        <f t="shared" si="269"/>
        <v>13.06842899033459</v>
      </c>
      <c r="CC134" s="260">
        <f t="shared" si="269"/>
        <v>13.096316080020177</v>
      </c>
      <c r="CD134" s="260">
        <f t="shared" si="269"/>
        <v>13.124262678753999</v>
      </c>
      <c r="CE134" s="260">
        <f t="shared" si="269"/>
        <v>13.152268913524093</v>
      </c>
      <c r="CF134" s="260">
        <f t="shared" si="269"/>
        <v>13.180334911589481</v>
      </c>
      <c r="CG134" s="260">
        <f t="shared" si="269"/>
        <v>13.189447763127433</v>
      </c>
      <c r="CH134" s="260">
        <f t="shared" si="269"/>
        <v>13.198566915268799</v>
      </c>
      <c r="CI134" s="260">
        <f t="shared" si="269"/>
        <v>13.207692372369801</v>
      </c>
      <c r="CJ134" s="260">
        <f t="shared" si="269"/>
        <v>13.216824138789674</v>
      </c>
      <c r="CK134" s="260">
        <f t="shared" si="269"/>
        <v>13.225962218890665</v>
      </c>
      <c r="CL134" s="260">
        <f t="shared" si="269"/>
        <v>13.22905962240266</v>
      </c>
      <c r="CM134" s="260">
        <f t="shared" si="269"/>
        <v>13.232157751299196</v>
      </c>
      <c r="CN134" s="260">
        <f t="shared" si="269"/>
        <v>13.23525660575015</v>
      </c>
      <c r="CO134" s="260">
        <f t="shared" si="269"/>
        <v>13.23835618592544</v>
      </c>
      <c r="CP134" s="260">
        <f t="shared" si="269"/>
        <v>13.241456491995026</v>
      </c>
      <c r="CQ134" s="260">
        <f t="shared" si="269"/>
        <v>13.246155303510076</v>
      </c>
      <c r="CR134" s="260">
        <f t="shared" si="269"/>
        <v>13.250855782427021</v>
      </c>
      <c r="CS134" s="260">
        <f t="shared" si="269"/>
        <v>13.255557929337549</v>
      </c>
      <c r="CT134" s="260">
        <f t="shared" si="269"/>
        <v>13.260261744833558</v>
      </c>
      <c r="CU134" s="260">
        <f t="shared" si="269"/>
        <v>13.264967229507157</v>
      </c>
      <c r="CV134" s="260">
        <f t="shared" si="269"/>
        <v>13.272208990341527</v>
      </c>
      <c r="CW134" s="260">
        <f t="shared" si="269"/>
        <v>13.279454704679821</v>
      </c>
      <c r="CX134" s="260">
        <f t="shared" si="269"/>
        <v>13.286704374680379</v>
      </c>
      <c r="CY134" s="260">
        <f t="shared" si="269"/>
        <v>13.293958002502723</v>
      </c>
      <c r="CZ134" s="448">
        <f t="shared" si="269"/>
        <v>13.30121559030755</v>
      </c>
    </row>
    <row r="135" spans="1:104" ht="13" x14ac:dyDescent="0.3">
      <c r="A135" s="1527" t="s">
        <v>283</v>
      </c>
      <c r="B135" s="260">
        <v>2016</v>
      </c>
      <c r="C135" s="873">
        <f t="shared" si="267"/>
        <v>1</v>
      </c>
      <c r="D135" s="1255" t="s">
        <v>863</v>
      </c>
      <c r="E135" s="873" t="s">
        <v>1057</v>
      </c>
      <c r="F135" s="260">
        <v>47.141269049911173</v>
      </c>
      <c r="G135" s="260">
        <v>52.224661236371581</v>
      </c>
      <c r="H135" s="1066">
        <f t="shared" si="270"/>
        <v>8.2641705904266125</v>
      </c>
      <c r="I135" s="1066">
        <f t="shared" si="270"/>
        <v>10.495609596381577</v>
      </c>
      <c r="J135" s="1066">
        <f t="shared" si="270"/>
        <v>9.3614571685358463</v>
      </c>
      <c r="K135" s="1066">
        <f t="shared" si="270"/>
        <v>8.8987432965993278</v>
      </c>
      <c r="L135" s="1066">
        <f t="shared" si="270"/>
        <v>10.965509816201024</v>
      </c>
      <c r="M135" s="1066">
        <f t="shared" si="270"/>
        <v>6.0111731674040234</v>
      </c>
      <c r="N135" s="1066">
        <f t="shared" si="270"/>
        <v>6.1171751211856922</v>
      </c>
      <c r="O135" s="260">
        <f t="shared" si="270"/>
        <v>5.6004077154944953</v>
      </c>
      <c r="P135" s="260">
        <f t="shared" si="270"/>
        <v>4.1590520124961925</v>
      </c>
      <c r="Q135" s="260">
        <f t="shared" si="270"/>
        <v>4.894763142071362</v>
      </c>
      <c r="R135" s="260">
        <f t="shared" si="270"/>
        <v>5.8241384234641265</v>
      </c>
      <c r="S135" s="260">
        <f t="shared" si="270"/>
        <v>3.5390282601113117</v>
      </c>
      <c r="T135" s="260">
        <f t="shared" si="270"/>
        <v>3.3168400539876552</v>
      </c>
      <c r="U135" s="260">
        <f t="shared" si="270"/>
        <v>3.8686572087168831</v>
      </c>
      <c r="V135" s="260">
        <f t="shared" si="270"/>
        <v>4.230424735748624</v>
      </c>
      <c r="W135" s="260">
        <f t="shared" si="270"/>
        <v>4.6374903322667231</v>
      </c>
      <c r="X135" s="260">
        <f t="shared" si="270"/>
        <v>5.0398775041324821</v>
      </c>
      <c r="Y135" s="260">
        <f t="shared" si="270"/>
        <v>5.0452222441273262</v>
      </c>
      <c r="Z135" s="260">
        <f t="shared" si="270"/>
        <v>4.9894479534735598</v>
      </c>
      <c r="AA135" s="260">
        <f t="shared" si="270"/>
        <v>5.0008757828968315</v>
      </c>
      <c r="AB135" s="260">
        <f t="shared" si="270"/>
        <v>5.0866427943161305</v>
      </c>
      <c r="AC135" s="260">
        <f t="shared" si="270"/>
        <v>5.1985543895300337</v>
      </c>
      <c r="AD135" s="260">
        <f t="shared" si="270"/>
        <v>5.3142743134013735</v>
      </c>
      <c r="AE135" s="260">
        <f t="shared" si="270"/>
        <v>5.4069765017212355</v>
      </c>
      <c r="AF135" s="260">
        <f t="shared" si="270"/>
        <v>5.498883471588238</v>
      </c>
      <c r="AG135" s="260">
        <f t="shared" si="270"/>
        <v>5.5761078084954727</v>
      </c>
      <c r="AH135" s="260">
        <f t="shared" si="270"/>
        <v>5.5953977798334869</v>
      </c>
      <c r="AI135" s="260">
        <f t="shared" si="270"/>
        <v>5.6194116710392619</v>
      </c>
      <c r="AJ135" s="260">
        <f t="shared" si="270"/>
        <v>5.6053299540498323</v>
      </c>
      <c r="AK135" s="260">
        <f t="shared" si="270"/>
        <v>5.5496627667157004</v>
      </c>
      <c r="AL135" s="260">
        <f t="shared" si="270"/>
        <v>5.5482476759527453</v>
      </c>
      <c r="AM135" s="260">
        <f t="shared" si="270"/>
        <v>5.6344516310034729</v>
      </c>
      <c r="AN135" s="260">
        <f t="shared" si="270"/>
        <v>5.6381945602887429</v>
      </c>
      <c r="AO135" s="260">
        <f t="shared" si="270"/>
        <v>5.6485162872871211</v>
      </c>
      <c r="AP135" s="260">
        <f t="shared" si="270"/>
        <v>5.6430123140383071</v>
      </c>
      <c r="AQ135" s="260">
        <f t="shared" si="270"/>
        <v>5.6644386648670784</v>
      </c>
      <c r="AR135" s="260">
        <f t="shared" si="270"/>
        <v>5.6215300420072483</v>
      </c>
      <c r="AS135" s="260">
        <f t="shared" si="270"/>
        <v>5.6260767200982693</v>
      </c>
      <c r="AT135" s="260">
        <f t="shared" si="270"/>
        <v>5.6802473044084865</v>
      </c>
      <c r="AU135" s="260">
        <f t="shared" si="270"/>
        <v>5.7631623345111542</v>
      </c>
      <c r="AV135" s="260">
        <f t="shared" si="270"/>
        <v>5.819991545472468</v>
      </c>
      <c r="AW135" s="260">
        <f t="shared" si="270"/>
        <v>5.8947240715184783</v>
      </c>
      <c r="AX135" s="260">
        <f t="shared" si="270"/>
        <v>5.9518546882819487</v>
      </c>
      <c r="AY135" s="260">
        <f t="shared" si="270"/>
        <v>6.0145186606208574</v>
      </c>
      <c r="AZ135" s="260">
        <f t="shared" si="270"/>
        <v>6.1247620979360331</v>
      </c>
      <c r="BA135" s="260">
        <f t="shared" si="270"/>
        <v>6.1606322318436177</v>
      </c>
      <c r="BB135" s="260">
        <f t="shared" si="270"/>
        <v>6.238633778680942</v>
      </c>
      <c r="BC135" s="260">
        <f t="shared" si="270"/>
        <v>6.2733164733478626</v>
      </c>
      <c r="BD135" s="260">
        <f t="shared" si="270"/>
        <v>6.3081919809530058</v>
      </c>
      <c r="BE135" s="260">
        <f t="shared" si="270"/>
        <v>6.3432613734093088</v>
      </c>
      <c r="BF135" s="260">
        <f t="shared" si="270"/>
        <v>6.3785257285888406</v>
      </c>
      <c r="BG135" s="260">
        <f t="shared" si="270"/>
        <v>6.4139861303559274</v>
      </c>
      <c r="BH135" s="260">
        <f t="shared" si="270"/>
        <v>6.4484130445592944</v>
      </c>
      <c r="BI135" s="260">
        <f t="shared" si="270"/>
        <v>6.4830247443854354</v>
      </c>
      <c r="BJ135" s="260">
        <f t="shared" si="270"/>
        <v>6.5178222216666768</v>
      </c>
      <c r="BK135" s="260">
        <f t="shared" si="270"/>
        <v>6.5528064735589808</v>
      </c>
      <c r="BL135" s="260">
        <f t="shared" si="270"/>
        <v>6.5879785025705191</v>
      </c>
      <c r="BM135" s="260">
        <f t="shared" si="270"/>
        <v>6.6190485794679574</v>
      </c>
      <c r="BN135" s="260">
        <f t="shared" si="270"/>
        <v>6.6502651883672899</v>
      </c>
      <c r="BO135" s="260">
        <f t="shared" si="270"/>
        <v>6.6816290203394662</v>
      </c>
      <c r="BP135" s="260">
        <f t="shared" si="270"/>
        <v>6.7131407697146503</v>
      </c>
      <c r="BQ135" s="260">
        <f t="shared" si="270"/>
        <v>6.7448011340975915</v>
      </c>
      <c r="BR135" s="260">
        <f t="shared" si="270"/>
        <v>6.7719111125525773</v>
      </c>
      <c r="BS135" s="260">
        <f t="shared" si="270"/>
        <v>6.7991300565526132</v>
      </c>
      <c r="BT135" s="260">
        <f t="shared" si="268"/>
        <v>6.8264584040725946</v>
      </c>
      <c r="BU135" s="260">
        <f t="shared" si="269"/>
        <v>6.8538965948478108</v>
      </c>
      <c r="BV135" s="260">
        <f t="shared" si="269"/>
        <v>6.8814450703810159</v>
      </c>
      <c r="BW135" s="260">
        <f t="shared" si="269"/>
        <v>6.904293491437457</v>
      </c>
      <c r="BX135" s="260">
        <f t="shared" si="269"/>
        <v>6.9272177759701634</v>
      </c>
      <c r="BY135" s="260">
        <f t="shared" si="269"/>
        <v>6.9502181758681845</v>
      </c>
      <c r="BZ135" s="260">
        <f t="shared" si="269"/>
        <v>6.9732949438569127</v>
      </c>
      <c r="CA135" s="260">
        <f t="shared" si="269"/>
        <v>6.996448333500866</v>
      </c>
      <c r="CB135" s="260">
        <f t="shared" si="269"/>
        <v>7.0113782521851409</v>
      </c>
      <c r="CC135" s="260">
        <f t="shared" si="269"/>
        <v>7.0263400302445289</v>
      </c>
      <c r="CD135" s="260">
        <f t="shared" si="269"/>
        <v>7.0413337356646508</v>
      </c>
      <c r="CE135" s="260">
        <f t="shared" si="269"/>
        <v>7.0563594365762032</v>
      </c>
      <c r="CF135" s="260">
        <f t="shared" si="269"/>
        <v>7.0714172012552687</v>
      </c>
      <c r="CG135" s="260">
        <f t="shared" si="269"/>
        <v>7.0763063619291211</v>
      </c>
      <c r="CH135" s="260">
        <f t="shared" si="269"/>
        <v>7.0811989029567863</v>
      </c>
      <c r="CI135" s="260">
        <f t="shared" si="269"/>
        <v>7.0860948266754322</v>
      </c>
      <c r="CJ135" s="260">
        <f t="shared" si="269"/>
        <v>7.090994135423843</v>
      </c>
      <c r="CK135" s="260">
        <f t="shared" si="269"/>
        <v>7.0958968315424205</v>
      </c>
      <c r="CL135" s="260">
        <f t="shared" si="269"/>
        <v>7.0975586278944007</v>
      </c>
      <c r="CM135" s="260">
        <f t="shared" si="269"/>
        <v>7.0992208134244059</v>
      </c>
      <c r="CN135" s="260">
        <f t="shared" si="269"/>
        <v>7.1008833882235782</v>
      </c>
      <c r="CO135" s="260">
        <f t="shared" si="269"/>
        <v>7.1025463523830812</v>
      </c>
      <c r="CP135" s="260">
        <f t="shared" si="269"/>
        <v>7.1042097059940996</v>
      </c>
      <c r="CQ135" s="260">
        <f t="shared" si="269"/>
        <v>7.1067306780935082</v>
      </c>
      <c r="CR135" s="260">
        <f t="shared" si="269"/>
        <v>7.1092525447752264</v>
      </c>
      <c r="CS135" s="260">
        <f t="shared" si="269"/>
        <v>7.1117753063567024</v>
      </c>
      <c r="CT135" s="260">
        <f t="shared" si="269"/>
        <v>7.1142989631554965</v>
      </c>
      <c r="CU135" s="260">
        <f t="shared" si="269"/>
        <v>7.1168235154892816</v>
      </c>
      <c r="CV135" s="260">
        <f t="shared" si="269"/>
        <v>7.1207088122192239</v>
      </c>
      <c r="CW135" s="260">
        <f t="shared" si="269"/>
        <v>7.1245962300542702</v>
      </c>
      <c r="CX135" s="260">
        <f t="shared" si="269"/>
        <v>7.1284857701523974</v>
      </c>
      <c r="CY135" s="260">
        <f t="shared" si="269"/>
        <v>7.1323774336722154</v>
      </c>
      <c r="CZ135" s="448">
        <f t="shared" si="269"/>
        <v>7.1362712217729669</v>
      </c>
    </row>
    <row r="136" spans="1:104" ht="13" x14ac:dyDescent="0.3">
      <c r="A136" s="1527" t="s">
        <v>1085</v>
      </c>
      <c r="B136" s="260">
        <v>2016</v>
      </c>
      <c r="C136" s="873">
        <f t="shared" si="267"/>
        <v>1</v>
      </c>
      <c r="D136" s="1255" t="s">
        <v>863</v>
      </c>
      <c r="E136" s="873" t="s">
        <v>1057</v>
      </c>
      <c r="F136" s="260">
        <v>47.141269049911173</v>
      </c>
      <c r="G136" s="260">
        <v>52.224661236371581</v>
      </c>
      <c r="H136" s="1066">
        <f t="shared" si="270"/>
        <v>8.4160389626855991</v>
      </c>
      <c r="I136" s="1066">
        <f t="shared" si="270"/>
        <v>10.630483084185546</v>
      </c>
      <c r="J136" s="1066">
        <f t="shared" si="270"/>
        <v>10.241695834954719</v>
      </c>
      <c r="K136" s="1066">
        <f t="shared" si="270"/>
        <v>9.4549147526367854</v>
      </c>
      <c r="L136" s="1066">
        <f t="shared" si="270"/>
        <v>10.431438353650302</v>
      </c>
      <c r="M136" s="1066">
        <f t="shared" si="270"/>
        <v>7.3081429877632402</v>
      </c>
      <c r="N136" s="1066">
        <f t="shared" si="270"/>
        <v>6.8860004096407268</v>
      </c>
      <c r="O136" s="260">
        <f t="shared" si="270"/>
        <v>6.1462564207083838</v>
      </c>
      <c r="P136" s="260">
        <f t="shared" si="270"/>
        <v>5.0701845410069568</v>
      </c>
      <c r="Q136" s="260">
        <f t="shared" si="270"/>
        <v>5.147940545971605</v>
      </c>
      <c r="R136" s="260">
        <f t="shared" si="270"/>
        <v>5.9174075441245835</v>
      </c>
      <c r="S136" s="260">
        <f t="shared" si="270"/>
        <v>4.3672641892083037</v>
      </c>
      <c r="T136" s="260">
        <f t="shared" si="270"/>
        <v>3.755553639162041</v>
      </c>
      <c r="U136" s="260">
        <f t="shared" si="270"/>
        <v>3.3468214009493336</v>
      </c>
      <c r="V136" s="260">
        <f t="shared" si="270"/>
        <v>3.6078009129373227</v>
      </c>
      <c r="W136" s="260">
        <f t="shared" si="270"/>
        <v>3.9595869792693468</v>
      </c>
      <c r="X136" s="260">
        <f t="shared" si="270"/>
        <v>4.2992239274502966</v>
      </c>
      <c r="Y136" s="260">
        <f t="shared" si="270"/>
        <v>4.3362295461094007</v>
      </c>
      <c r="Z136" s="260">
        <f t="shared" si="270"/>
        <v>4.2972619462853157</v>
      </c>
      <c r="AA136" s="260">
        <f t="shared" si="270"/>
        <v>4.3209431537283329</v>
      </c>
      <c r="AB136" s="260">
        <f t="shared" si="270"/>
        <v>4.4388231525151278</v>
      </c>
      <c r="AC136" s="260">
        <f t="shared" si="270"/>
        <v>4.5598555906037213</v>
      </c>
      <c r="AD136" s="260">
        <f t="shared" si="270"/>
        <v>4.6705511366221319</v>
      </c>
      <c r="AE136" s="260">
        <f t="shared" si="270"/>
        <v>4.7905826799714895</v>
      </c>
      <c r="AF136" s="260">
        <f t="shared" si="270"/>
        <v>4.8909868291351355</v>
      </c>
      <c r="AG136" s="260">
        <f t="shared" si="270"/>
        <v>4.9795195705251665</v>
      </c>
      <c r="AH136" s="260">
        <f t="shared" si="270"/>
        <v>5.0140428564929254</v>
      </c>
      <c r="AI136" s="260">
        <f t="shared" si="270"/>
        <v>5.034241784322349</v>
      </c>
      <c r="AJ136" s="260">
        <f t="shared" si="270"/>
        <v>5.0303794300966009</v>
      </c>
      <c r="AK136" s="260">
        <f t="shared" si="270"/>
        <v>4.9817061843162831</v>
      </c>
      <c r="AL136" s="260">
        <f t="shared" si="270"/>
        <v>5.005816752854825</v>
      </c>
      <c r="AM136" s="260">
        <f t="shared" si="270"/>
        <v>5.1117353012541518</v>
      </c>
      <c r="AN136" s="260">
        <f t="shared" si="270"/>
        <v>5.1218001698488047</v>
      </c>
      <c r="AO136" s="260">
        <f t="shared" si="270"/>
        <v>5.1563490468752367</v>
      </c>
      <c r="AP136" s="260">
        <f t="shared" si="270"/>
        <v>5.1654177598155924</v>
      </c>
      <c r="AQ136" s="260">
        <f t="shared" si="270"/>
        <v>5.1952502995101684</v>
      </c>
      <c r="AR136" s="260">
        <f t="shared" si="270"/>
        <v>5.1548078964528896</v>
      </c>
      <c r="AS136" s="260">
        <f t="shared" si="270"/>
        <v>5.1691436283950809</v>
      </c>
      <c r="AT136" s="260">
        <f t="shared" si="270"/>
        <v>5.2239208155775625</v>
      </c>
      <c r="AU136" s="260">
        <f t="shared" si="270"/>
        <v>5.3036701369405987</v>
      </c>
      <c r="AV136" s="260">
        <f t="shared" si="270"/>
        <v>5.3698761013633396</v>
      </c>
      <c r="AW136" s="260">
        <f t="shared" si="270"/>
        <v>5.4477553798092231</v>
      </c>
      <c r="AX136" s="260">
        <f t="shared" si="270"/>
        <v>5.5105548899774046</v>
      </c>
      <c r="AY136" s="260">
        <f t="shared" si="270"/>
        <v>5.5735610242489493</v>
      </c>
      <c r="AZ136" s="260">
        <f t="shared" si="270"/>
        <v>5.6745566112130543</v>
      </c>
      <c r="BA136" s="260">
        <f t="shared" si="270"/>
        <v>5.7069198222653581</v>
      </c>
      <c r="BB136" s="260">
        <f t="shared" si="270"/>
        <v>5.8107835034348891</v>
      </c>
      <c r="BC136" s="260">
        <f t="shared" si="270"/>
        <v>5.8430876323795795</v>
      </c>
      <c r="BD136" s="260">
        <f t="shared" si="270"/>
        <v>5.8755713510037442</v>
      </c>
      <c r="BE136" s="260">
        <f t="shared" si="270"/>
        <v>5.9082356577077126</v>
      </c>
      <c r="BF136" s="260">
        <f t="shared" si="270"/>
        <v>5.9410815564422617</v>
      </c>
      <c r="BG136" s="260">
        <f t="shared" si="270"/>
        <v>5.974110056739474</v>
      </c>
      <c r="BH136" s="260">
        <f t="shared" si="270"/>
        <v>6.006175946840397</v>
      </c>
      <c r="BI136" s="260">
        <f t="shared" si="270"/>
        <v>6.0384139498247791</v>
      </c>
      <c r="BJ136" s="260">
        <f t="shared" si="270"/>
        <v>6.0708249895043265</v>
      </c>
      <c r="BK136" s="260">
        <f t="shared" si="270"/>
        <v>6.1034099946492821</v>
      </c>
      <c r="BL136" s="260">
        <f t="shared" si="270"/>
        <v>6.1361698990150408</v>
      </c>
      <c r="BM136" s="260">
        <f t="shared" si="270"/>
        <v>6.1651091662794615</v>
      </c>
      <c r="BN136" s="260">
        <f t="shared" si="270"/>
        <v>6.1941849162690321</v>
      </c>
      <c r="BO136" s="260">
        <f t="shared" si="270"/>
        <v>6.2233977926605295</v>
      </c>
      <c r="BP136" s="260">
        <f t="shared" si="270"/>
        <v>6.2527484421664239</v>
      </c>
      <c r="BQ136" s="260">
        <f t="shared" si="270"/>
        <v>6.2822375145491964</v>
      </c>
      <c r="BR136" s="260">
        <f t="shared" si="270"/>
        <v>6.3074882699506478</v>
      </c>
      <c r="BS136" s="260">
        <f t="shared" si="270"/>
        <v>6.3328405179567433</v>
      </c>
      <c r="BT136" s="260">
        <f t="shared" si="268"/>
        <v>6.3582946665057261</v>
      </c>
      <c r="BU136" s="260">
        <f t="shared" si="269"/>
        <v>6.3838511251755019</v>
      </c>
      <c r="BV136" s="260">
        <f t="shared" si="269"/>
        <v>6.4095103051902287</v>
      </c>
      <c r="BW136" s="260">
        <f t="shared" si="269"/>
        <v>6.4307917640583545</v>
      </c>
      <c r="BX136" s="260">
        <f t="shared" si="269"/>
        <v>6.4521438836275307</v>
      </c>
      <c r="BY136" s="260">
        <f t="shared" si="269"/>
        <v>6.473566898512062</v>
      </c>
      <c r="BZ136" s="260">
        <f t="shared" si="269"/>
        <v>6.4950610441052419</v>
      </c>
      <c r="CA136" s="260">
        <f t="shared" si="269"/>
        <v>6.5166265565819383</v>
      </c>
      <c r="CB136" s="260">
        <f t="shared" si="269"/>
        <v>6.5305325700258869</v>
      </c>
      <c r="CC136" s="260">
        <f t="shared" si="269"/>
        <v>6.5444682579046409</v>
      </c>
      <c r="CD136" s="260">
        <f t="shared" si="269"/>
        <v>6.5584336835413142</v>
      </c>
      <c r="CE136" s="260">
        <f t="shared" si="269"/>
        <v>6.5724289103941489</v>
      </c>
      <c r="CF136" s="260">
        <f t="shared" si="269"/>
        <v>6.5864540020568016</v>
      </c>
      <c r="CG136" s="260">
        <f t="shared" si="269"/>
        <v>6.5910078603528843</v>
      </c>
      <c r="CH136" s="260">
        <f t="shared" si="269"/>
        <v>6.5955648671755291</v>
      </c>
      <c r="CI136" s="260">
        <f t="shared" si="269"/>
        <v>6.6001250247016205</v>
      </c>
      <c r="CJ136" s="260">
        <f t="shared" si="269"/>
        <v>6.6046883351095476</v>
      </c>
      <c r="CK136" s="260">
        <f t="shared" si="269"/>
        <v>6.6092548005792047</v>
      </c>
      <c r="CL136" s="260">
        <f t="shared" si="269"/>
        <v>6.6108026296665843</v>
      </c>
      <c r="CM136" s="260">
        <f t="shared" si="269"/>
        <v>6.6123508212418631</v>
      </c>
      <c r="CN136" s="260">
        <f t="shared" si="269"/>
        <v>6.6138993753899316</v>
      </c>
      <c r="CO136" s="260">
        <f t="shared" si="269"/>
        <v>6.6154482921957012</v>
      </c>
      <c r="CP136" s="260">
        <f t="shared" si="269"/>
        <v>6.6169975717441041</v>
      </c>
      <c r="CQ136" s="260">
        <f t="shared" si="269"/>
        <v>6.6193456536491393</v>
      </c>
      <c r="CR136" s="260">
        <f t="shared" si="269"/>
        <v>6.6216945687853457</v>
      </c>
      <c r="CS136" s="260">
        <f t="shared" si="269"/>
        <v>6.6240443174483996</v>
      </c>
      <c r="CT136" s="260">
        <f t="shared" si="269"/>
        <v>6.6263948999340831</v>
      </c>
      <c r="CU136" s="260">
        <f t="shared" si="269"/>
        <v>6.6287463165382841</v>
      </c>
      <c r="CV136" s="260">
        <f t="shared" si="269"/>
        <v>6.6323651566473876</v>
      </c>
      <c r="CW136" s="260">
        <f t="shared" si="269"/>
        <v>6.6359859723945851</v>
      </c>
      <c r="CX136" s="260">
        <f t="shared" si="269"/>
        <v>6.6396087648584388</v>
      </c>
      <c r="CY136" s="260">
        <f t="shared" si="269"/>
        <v>6.6432335351180996</v>
      </c>
      <c r="CZ136" s="448">
        <f t="shared" si="269"/>
        <v>6.6468602842533091</v>
      </c>
    </row>
    <row r="137" spans="1:104" ht="13" x14ac:dyDescent="0.3">
      <c r="A137" s="1527" t="s">
        <v>1080</v>
      </c>
      <c r="B137" s="260">
        <v>2016</v>
      </c>
      <c r="C137" s="873">
        <f t="shared" si="267"/>
        <v>1</v>
      </c>
      <c r="D137" s="1257" t="s">
        <v>268</v>
      </c>
      <c r="E137" s="873" t="s">
        <v>1057</v>
      </c>
      <c r="F137" s="260">
        <v>19.551069237418005</v>
      </c>
      <c r="G137" s="260">
        <v>20.588656379262464</v>
      </c>
      <c r="H137" s="1066">
        <f t="shared" si="270"/>
        <v>5.0967849132778742</v>
      </c>
      <c r="I137" s="1066">
        <f t="shared" si="270"/>
        <v>5.0967849132778742</v>
      </c>
      <c r="J137" s="1066">
        <f t="shared" si="270"/>
        <v>5.0967849132778742</v>
      </c>
      <c r="K137" s="1066">
        <f t="shared" si="270"/>
        <v>5.0967849132778742</v>
      </c>
      <c r="L137" s="1066">
        <f t="shared" si="270"/>
        <v>5.0967849132778742</v>
      </c>
      <c r="M137" s="1066">
        <f t="shared" si="270"/>
        <v>5.0967849132778742</v>
      </c>
      <c r="N137" s="1066">
        <f t="shared" si="270"/>
        <v>5.0967849132778742</v>
      </c>
      <c r="O137" s="260">
        <f t="shared" si="270"/>
        <v>5.0967849132778742</v>
      </c>
      <c r="P137" s="260">
        <f t="shared" si="270"/>
        <v>5.0967849132778742</v>
      </c>
      <c r="Q137" s="260">
        <f t="shared" si="270"/>
        <v>5.0967849132778742</v>
      </c>
      <c r="R137" s="260">
        <f t="shared" si="270"/>
        <v>5.0967849132778742</v>
      </c>
      <c r="S137" s="260">
        <f t="shared" si="270"/>
        <v>5.0967849132778742</v>
      </c>
      <c r="T137" s="260">
        <f t="shared" si="270"/>
        <v>5.0967849132778742</v>
      </c>
      <c r="U137" s="260">
        <f t="shared" si="270"/>
        <v>5.0967849132778742</v>
      </c>
      <c r="V137" s="260">
        <f t="shared" si="270"/>
        <v>5.0967849132778742</v>
      </c>
      <c r="W137" s="260">
        <f t="shared" si="270"/>
        <v>5.0967849132778742</v>
      </c>
      <c r="X137" s="260">
        <f t="shared" si="270"/>
        <v>5.0967849132778742</v>
      </c>
      <c r="Y137" s="260">
        <f t="shared" si="270"/>
        <v>5.0967849132778742</v>
      </c>
      <c r="Z137" s="260">
        <f t="shared" si="270"/>
        <v>5.0967849132778742</v>
      </c>
      <c r="AA137" s="260">
        <f t="shared" si="270"/>
        <v>5.0967849132778742</v>
      </c>
      <c r="AB137" s="260">
        <f t="shared" si="270"/>
        <v>5.0967849132778742</v>
      </c>
      <c r="AC137" s="260">
        <f t="shared" si="270"/>
        <v>5.0967849132778742</v>
      </c>
      <c r="AD137" s="260">
        <f t="shared" si="270"/>
        <v>5.0967849132778742</v>
      </c>
      <c r="AE137" s="260">
        <f t="shared" si="270"/>
        <v>5.0967849132778742</v>
      </c>
      <c r="AF137" s="260">
        <f t="shared" si="270"/>
        <v>5.0967849132778742</v>
      </c>
      <c r="AG137" s="260">
        <f t="shared" si="270"/>
        <v>5.0967849132778742</v>
      </c>
      <c r="AH137" s="260">
        <f t="shared" si="270"/>
        <v>5.0967849132778742</v>
      </c>
      <c r="AI137" s="260">
        <f t="shared" si="270"/>
        <v>5.0967849132778742</v>
      </c>
      <c r="AJ137" s="260">
        <f t="shared" si="270"/>
        <v>5.0967849132778742</v>
      </c>
      <c r="AK137" s="260">
        <f t="shared" si="270"/>
        <v>5.0967849132778742</v>
      </c>
      <c r="AL137" s="260">
        <f t="shared" si="270"/>
        <v>5.0967849132778742</v>
      </c>
      <c r="AM137" s="260">
        <f t="shared" si="270"/>
        <v>5.0967849132778742</v>
      </c>
      <c r="AN137" s="260">
        <f t="shared" si="270"/>
        <v>5.0967849132778742</v>
      </c>
      <c r="AO137" s="260">
        <f t="shared" si="270"/>
        <v>5.0967849132778742</v>
      </c>
      <c r="AP137" s="260">
        <f t="shared" si="270"/>
        <v>5.0967849132778742</v>
      </c>
      <c r="AQ137" s="260">
        <f t="shared" si="270"/>
        <v>5.0967849132778742</v>
      </c>
      <c r="AR137" s="260">
        <f t="shared" si="270"/>
        <v>5.0967849132778742</v>
      </c>
      <c r="AS137" s="260">
        <f t="shared" si="270"/>
        <v>5.0967849132778742</v>
      </c>
      <c r="AT137" s="260">
        <f t="shared" si="270"/>
        <v>5.0967849132778742</v>
      </c>
      <c r="AU137" s="260">
        <f t="shared" si="270"/>
        <v>5.0967849132778742</v>
      </c>
      <c r="AV137" s="260">
        <f t="shared" si="270"/>
        <v>5.0967849132778742</v>
      </c>
      <c r="AW137" s="260">
        <f t="shared" si="270"/>
        <v>5.0967849132778742</v>
      </c>
      <c r="AX137" s="260">
        <f t="shared" si="270"/>
        <v>5.0967849132778742</v>
      </c>
      <c r="AY137" s="260">
        <f t="shared" si="270"/>
        <v>5.0967849132778742</v>
      </c>
      <c r="AZ137" s="260">
        <f t="shared" si="270"/>
        <v>5.0967849132778742</v>
      </c>
      <c r="BA137" s="260">
        <f t="shared" si="270"/>
        <v>5.0967849132778742</v>
      </c>
      <c r="BB137" s="260">
        <f t="shared" si="270"/>
        <v>5.0967849132778742</v>
      </c>
      <c r="BC137" s="260">
        <f t="shared" si="270"/>
        <v>5.1179587571540939</v>
      </c>
      <c r="BD137" s="260">
        <f t="shared" si="270"/>
        <v>5.1392205646528959</v>
      </c>
      <c r="BE137" s="260">
        <f t="shared" si="270"/>
        <v>5.1605707012062227</v>
      </c>
      <c r="BF137" s="260">
        <f t="shared" si="270"/>
        <v>5.1820095337641501</v>
      </c>
      <c r="BG137" s="260">
        <f t="shared" si="270"/>
        <v>5.2035374308011946</v>
      </c>
      <c r="BH137" s="260">
        <f t="shared" si="270"/>
        <v>5.2223240063357927</v>
      </c>
      <c r="BI137" s="260">
        <f t="shared" si="270"/>
        <v>5.2411784079262249</v>
      </c>
      <c r="BJ137" s="260">
        <f t="shared" si="270"/>
        <v>5.2601008804480855</v>
      </c>
      <c r="BK137" s="260">
        <f t="shared" si="270"/>
        <v>5.2790916696610548</v>
      </c>
      <c r="BL137" s="260">
        <f t="shared" si="270"/>
        <v>5.2981510222120916</v>
      </c>
      <c r="BM137" s="260">
        <f t="shared" si="270"/>
        <v>5.3113630812048802</v>
      </c>
      <c r="BN137" s="260">
        <f t="shared" si="270"/>
        <v>5.3246080872582748</v>
      </c>
      <c r="BO137" s="260">
        <f t="shared" si="270"/>
        <v>5.3378861225327325</v>
      </c>
      <c r="BP137" s="260">
        <f t="shared" si="270"/>
        <v>5.3511972693935945</v>
      </c>
      <c r="BQ137" s="260">
        <f t="shared" si="270"/>
        <v>5.3645416104115968</v>
      </c>
      <c r="BR137" s="260">
        <f t="shared" si="270"/>
        <v>5.3779717491778074</v>
      </c>
      <c r="BS137" s="260">
        <f t="shared" ref="BS137" si="271">+BS157*$C137</f>
        <v>5.3914355103185612</v>
      </c>
      <c r="BT137" s="260">
        <f t="shared" si="268"/>
        <v>5.4049329780075288</v>
      </c>
      <c r="BU137" s="260">
        <f t="shared" si="269"/>
        <v>5.4184642366291094</v>
      </c>
      <c r="BV137" s="260">
        <f t="shared" si="269"/>
        <v>5.4320293707789578</v>
      </c>
      <c r="BW137" s="260">
        <f t="shared" si="269"/>
        <v>5.4450858323773135</v>
      </c>
      <c r="BX137" s="260">
        <f t="shared" si="269"/>
        <v>5.458173676572823</v>
      </c>
      <c r="BY137" s="260">
        <f t="shared" si="269"/>
        <v>5.471292978796904</v>
      </c>
      <c r="BZ137" s="260">
        <f t="shared" si="269"/>
        <v>5.4844438146622805</v>
      </c>
      <c r="CA137" s="260">
        <f t="shared" si="269"/>
        <v>5.4976262599634209</v>
      </c>
      <c r="CB137" s="260">
        <f t="shared" si="269"/>
        <v>5.509165721372697</v>
      </c>
      <c r="CC137" s="260">
        <f t="shared" si="269"/>
        <v>5.5207294039936956</v>
      </c>
      <c r="CD137" s="260">
        <f t="shared" si="269"/>
        <v>5.5323173586664938</v>
      </c>
      <c r="CE137" s="260">
        <f t="shared" si="269"/>
        <v>5.5439296363378796</v>
      </c>
      <c r="CF137" s="260">
        <f t="shared" si="269"/>
        <v>5.5555662880615797</v>
      </c>
      <c r="CG137" s="260">
        <f t="shared" si="269"/>
        <v>5.5698816197819898</v>
      </c>
      <c r="CH137" s="260">
        <f t="shared" si="269"/>
        <v>5.5842338386011479</v>
      </c>
      <c r="CI137" s="260">
        <f t="shared" si="269"/>
        <v>5.598623039568059</v>
      </c>
      <c r="CJ137" s="260">
        <f t="shared" si="269"/>
        <v>5.6130493179766479</v>
      </c>
      <c r="CK137" s="260">
        <f t="shared" si="269"/>
        <v>5.6275127693663878</v>
      </c>
      <c r="CL137" s="260">
        <f t="shared" si="269"/>
        <v>5.6395580019552014</v>
      </c>
      <c r="CM137" s="260">
        <f t="shared" si="269"/>
        <v>5.6516290163830023</v>
      </c>
      <c r="CN137" s="260">
        <f t="shared" si="269"/>
        <v>5.6637258678337163</v>
      </c>
      <c r="CO137" s="260">
        <f t="shared" si="269"/>
        <v>5.6758486116093856</v>
      </c>
      <c r="CP137" s="260">
        <f t="shared" si="269"/>
        <v>5.6879973031304223</v>
      </c>
      <c r="CQ137" s="260">
        <f t="shared" si="269"/>
        <v>5.6991168854631553</v>
      </c>
      <c r="CR137" s="260">
        <f t="shared" si="269"/>
        <v>5.7102582056949531</v>
      </c>
      <c r="CS137" s="260">
        <f t="shared" si="269"/>
        <v>5.7214213063216786</v>
      </c>
      <c r="CT137" s="260">
        <f t="shared" si="269"/>
        <v>5.732606229922272</v>
      </c>
      <c r="CU137" s="260">
        <f t="shared" si="269"/>
        <v>5.7438130191589121</v>
      </c>
      <c r="CV137" s="260">
        <f t="shared" si="269"/>
        <v>5.7570440466225028</v>
      </c>
      <c r="CW137" s="260">
        <f t="shared" si="269"/>
        <v>5.7703055521130002</v>
      </c>
      <c r="CX137" s="260">
        <f t="shared" si="269"/>
        <v>5.7835976058373566</v>
      </c>
      <c r="CY137" s="260">
        <f t="shared" si="269"/>
        <v>5.796920278164249</v>
      </c>
      <c r="CZ137" s="448">
        <f t="shared" si="269"/>
        <v>5.8102736396244499</v>
      </c>
    </row>
    <row r="138" spans="1:104" ht="13" x14ac:dyDescent="0.3">
      <c r="A138" s="1528" t="s">
        <v>1086</v>
      </c>
      <c r="B138" s="260">
        <v>2016</v>
      </c>
      <c r="C138" s="873">
        <f t="shared" si="267"/>
        <v>1</v>
      </c>
      <c r="D138" s="1257" t="s">
        <v>268</v>
      </c>
      <c r="E138" s="1529" t="s">
        <v>1051</v>
      </c>
      <c r="F138" s="260">
        <v>22.7322030001394</v>
      </c>
      <c r="G138" s="260">
        <v>23.967615189707661</v>
      </c>
      <c r="H138" s="1066" t="e">
        <f t="shared" ref="H138:BS141" si="272">+H158*$C138</f>
        <v>#N/A</v>
      </c>
      <c r="I138" s="1066" t="e">
        <f t="shared" si="272"/>
        <v>#N/A</v>
      </c>
      <c r="J138" s="1066" t="e">
        <f t="shared" si="272"/>
        <v>#N/A</v>
      </c>
      <c r="K138" s="1066" t="e">
        <f t="shared" si="272"/>
        <v>#N/A</v>
      </c>
      <c r="L138" s="1066">
        <f t="shared" si="272"/>
        <v>2.2148742453355847</v>
      </c>
      <c r="M138" s="1066">
        <f t="shared" si="272"/>
        <v>2.3408877437334223</v>
      </c>
      <c r="N138" s="1066">
        <f t="shared" si="272"/>
        <v>2.3629142410275352</v>
      </c>
      <c r="O138" s="260">
        <f t="shared" si="272"/>
        <v>2.4181318326423913</v>
      </c>
      <c r="P138" s="260">
        <f t="shared" si="272"/>
        <v>2.3501923436687169</v>
      </c>
      <c r="Q138" s="260">
        <f t="shared" si="272"/>
        <v>2.2749877363600257</v>
      </c>
      <c r="R138" s="260">
        <f t="shared" si="272"/>
        <v>2.2671813119268305</v>
      </c>
      <c r="S138" s="260">
        <f t="shared" si="272"/>
        <v>2.0920368648072634</v>
      </c>
      <c r="T138" s="260">
        <f t="shared" si="272"/>
        <v>1.9706687398025258</v>
      </c>
      <c r="U138" s="260">
        <f t="shared" si="272"/>
        <v>2.067600203211962</v>
      </c>
      <c r="V138" s="260">
        <f t="shared" si="272"/>
        <v>2.1142782942327232</v>
      </c>
      <c r="W138" s="260">
        <f t="shared" si="272"/>
        <v>2.1573963846468813</v>
      </c>
      <c r="X138" s="260">
        <f t="shared" si="272"/>
        <v>2.1900363582596567</v>
      </c>
      <c r="Y138" s="260">
        <f t="shared" si="272"/>
        <v>2.1929897559939948</v>
      </c>
      <c r="Z138" s="260">
        <f t="shared" si="272"/>
        <v>2.2028650611910647</v>
      </c>
      <c r="AA138" s="260">
        <f t="shared" si="272"/>
        <v>2.2090827406317772</v>
      </c>
      <c r="AB138" s="260">
        <f t="shared" si="272"/>
        <v>2.2092997907220093</v>
      </c>
      <c r="AC138" s="260">
        <f t="shared" si="272"/>
        <v>2.2079918032786887</v>
      </c>
      <c r="AD138" s="260">
        <f t="shared" si="272"/>
        <v>2.2065492258230841</v>
      </c>
      <c r="AE138" s="260">
        <f t="shared" si="272"/>
        <v>2.1995552842692714</v>
      </c>
      <c r="AF138" s="260">
        <f t="shared" si="272"/>
        <v>2.1903510334996437</v>
      </c>
      <c r="AG138" s="260">
        <f t="shared" si="272"/>
        <v>2.1795345460335755</v>
      </c>
      <c r="AH138" s="260">
        <f t="shared" si="272"/>
        <v>2.1771697426487315</v>
      </c>
      <c r="AI138" s="260">
        <f t="shared" si="272"/>
        <v>2.177831318906295</v>
      </c>
      <c r="AJ138" s="260">
        <f t="shared" si="272"/>
        <v>2.1809505846135182</v>
      </c>
      <c r="AK138" s="260">
        <f t="shared" si="272"/>
        <v>2.1861806387528246</v>
      </c>
      <c r="AL138" s="260">
        <f t="shared" si="272"/>
        <v>2.1973402359685172</v>
      </c>
      <c r="AM138" s="260">
        <f t="shared" si="272"/>
        <v>2.2020565733003745</v>
      </c>
      <c r="AN138" s="260">
        <f t="shared" si="272"/>
        <v>2.2177912831167257</v>
      </c>
      <c r="AO138" s="260">
        <f t="shared" si="272"/>
        <v>2.2206593773221517</v>
      </c>
      <c r="AP138" s="260">
        <f t="shared" si="272"/>
        <v>2.2289385587115755</v>
      </c>
      <c r="AQ138" s="260">
        <f t="shared" si="272"/>
        <v>2.2351116907538557</v>
      </c>
      <c r="AR138" s="260">
        <f t="shared" si="272"/>
        <v>2.2481536525075447</v>
      </c>
      <c r="AS138" s="260">
        <f t="shared" si="272"/>
        <v>2.2492673374683427</v>
      </c>
      <c r="AT138" s="260">
        <f t="shared" si="272"/>
        <v>2.2496910116619402</v>
      </c>
      <c r="AU138" s="260">
        <f t="shared" si="272"/>
        <v>2.2544263053335558</v>
      </c>
      <c r="AV138" s="260">
        <f t="shared" si="272"/>
        <v>2.2540196918457411</v>
      </c>
      <c r="AW138" s="260">
        <f t="shared" si="272"/>
        <v>2.2546357728878843</v>
      </c>
      <c r="AX138" s="260">
        <f t="shared" si="272"/>
        <v>2.2490256441364247</v>
      </c>
      <c r="AY138" s="260">
        <f t="shared" si="272"/>
        <v>2.2531477002168603</v>
      </c>
      <c r="AZ138" s="260">
        <f t="shared" si="272"/>
        <v>2.2540841434009193</v>
      </c>
      <c r="BA138" s="260">
        <f t="shared" si="272"/>
        <v>2.2596705767276806</v>
      </c>
      <c r="BB138" s="260">
        <f t="shared" si="272"/>
        <v>2.2620458060993922</v>
      </c>
      <c r="BC138" s="260">
        <f t="shared" si="272"/>
        <v>2.2703711301923084</v>
      </c>
      <c r="BD138" s="260">
        <f t="shared" si="272"/>
        <v>2.2787270951418623</v>
      </c>
      <c r="BE138" s="260">
        <f t="shared" si="272"/>
        <v>2.2871138137198912</v>
      </c>
      <c r="BF138" s="260">
        <f t="shared" si="272"/>
        <v>2.2955313991132824</v>
      </c>
      <c r="BG138" s="260">
        <f t="shared" si="272"/>
        <v>2.3039799649255008</v>
      </c>
      <c r="BH138" s="260">
        <f t="shared" si="272"/>
        <v>2.3125787529279784</v>
      </c>
      <c r="BI138" s="260">
        <f t="shared" si="272"/>
        <v>2.3212096328567045</v>
      </c>
      <c r="BJ138" s="260">
        <f t="shared" si="272"/>
        <v>2.3298727244834101</v>
      </c>
      <c r="BK138" s="260">
        <f t="shared" si="272"/>
        <v>2.338568148026833</v>
      </c>
      <c r="BL138" s="260">
        <f t="shared" si="272"/>
        <v>2.3472960241543843</v>
      </c>
      <c r="BM138" s="260">
        <f t="shared" si="272"/>
        <v>2.3559838582312191</v>
      </c>
      <c r="BN138" s="260">
        <f t="shared" si="272"/>
        <v>2.3647038478010849</v>
      </c>
      <c r="BO138" s="260">
        <f t="shared" si="272"/>
        <v>2.3734561118781943</v>
      </c>
      <c r="BP138" s="260">
        <f t="shared" si="272"/>
        <v>2.3822407699172565</v>
      </c>
      <c r="BQ138" s="260">
        <f t="shared" si="272"/>
        <v>2.3910579418151077</v>
      </c>
      <c r="BR138" s="260">
        <f t="shared" si="272"/>
        <v>2.3997099382358895</v>
      </c>
      <c r="BS138" s="260">
        <f t="shared" si="272"/>
        <v>2.4083932417365861</v>
      </c>
      <c r="BT138" s="260">
        <f t="shared" si="268"/>
        <v>2.4171079656012542</v>
      </c>
      <c r="BU138" s="260">
        <f t="shared" si="269"/>
        <v>2.4258542235238663</v>
      </c>
      <c r="BV138" s="260">
        <f t="shared" si="269"/>
        <v>2.434632129609795</v>
      </c>
      <c r="BW138" s="260">
        <f t="shared" si="269"/>
        <v>2.4428635118796533</v>
      </c>
      <c r="BX138" s="260">
        <f t="shared" si="269"/>
        <v>2.4511227240845761</v>
      </c>
      <c r="BY138" s="260">
        <f t="shared" si="269"/>
        <v>2.4594098603163279</v>
      </c>
      <c r="BZ138" s="260">
        <f t="shared" si="269"/>
        <v>2.467725014984794</v>
      </c>
      <c r="CA138" s="260">
        <f t="shared" si="269"/>
        <v>2.476068282819055</v>
      </c>
      <c r="CB138" s="260">
        <f t="shared" si="269"/>
        <v>2.4831576550549128</v>
      </c>
      <c r="CC138" s="260">
        <f t="shared" si="269"/>
        <v>2.4902673252765117</v>
      </c>
      <c r="CD138" s="260">
        <f t="shared" si="269"/>
        <v>2.4973973516001715</v>
      </c>
      <c r="CE138" s="260">
        <f t="shared" si="269"/>
        <v>2.5045477923086086</v>
      </c>
      <c r="CF138" s="260">
        <f t="shared" si="269"/>
        <v>2.5117187058514112</v>
      </c>
      <c r="CG138" s="260">
        <f t="shared" si="269"/>
        <v>2.5171937058097216</v>
      </c>
      <c r="CH138" s="260">
        <f t="shared" si="269"/>
        <v>2.5226806400759916</v>
      </c>
      <c r="CI138" s="260">
        <f t="shared" si="269"/>
        <v>2.5281795346644143</v>
      </c>
      <c r="CJ138" s="260">
        <f t="shared" si="269"/>
        <v>2.5336904156458884</v>
      </c>
      <c r="CK138" s="260">
        <f t="shared" si="269"/>
        <v>2.539213309148141</v>
      </c>
      <c r="CL138" s="260">
        <f t="shared" si="269"/>
        <v>2.5429573704375228</v>
      </c>
      <c r="CM138" s="260">
        <f t="shared" si="269"/>
        <v>2.5467069523323964</v>
      </c>
      <c r="CN138" s="260">
        <f t="shared" si="269"/>
        <v>2.5504620629728754</v>
      </c>
      <c r="CO138" s="260">
        <f t="shared" si="269"/>
        <v>2.554222710511076</v>
      </c>
      <c r="CP138" s="260">
        <f t="shared" si="269"/>
        <v>2.5579889031111347</v>
      </c>
      <c r="CQ138" s="260">
        <f t="shared" si="269"/>
        <v>2.5592501421168059</v>
      </c>
      <c r="CR138" s="260">
        <f t="shared" si="269"/>
        <v>2.5605120029875006</v>
      </c>
      <c r="CS138" s="260">
        <f t="shared" si="269"/>
        <v>2.5617744860298348</v>
      </c>
      <c r="CT138" s="260">
        <f t="shared" si="269"/>
        <v>2.5630375915505756</v>
      </c>
      <c r="CU138" s="260">
        <f t="shared" si="269"/>
        <v>2.564301319856642</v>
      </c>
      <c r="CV138" s="260">
        <f t="shared" si="269"/>
        <v>2.5624850697467836</v>
      </c>
      <c r="CW138" s="260">
        <f t="shared" si="269"/>
        <v>2.5606701060553489</v>
      </c>
      <c r="CX138" s="260">
        <f t="shared" si="269"/>
        <v>2.5588564278711901</v>
      </c>
      <c r="CY138" s="260">
        <f t="shared" si="269"/>
        <v>2.5570440342838041</v>
      </c>
      <c r="CZ138" s="448">
        <f t="shared" si="269"/>
        <v>2.555232924383334</v>
      </c>
    </row>
    <row r="139" spans="1:104" ht="13" x14ac:dyDescent="0.3">
      <c r="A139" s="1527" t="s">
        <v>683</v>
      </c>
      <c r="B139" s="260">
        <v>2016</v>
      </c>
      <c r="C139" s="873">
        <f t="shared" si="267"/>
        <v>1</v>
      </c>
      <c r="D139" s="1257" t="s">
        <v>296</v>
      </c>
      <c r="E139" s="873" t="s">
        <v>1070</v>
      </c>
      <c r="F139" s="877"/>
      <c r="G139" s="873"/>
      <c r="H139" s="1066">
        <f t="shared" si="272"/>
        <v>28.373013628420669</v>
      </c>
      <c r="I139" s="1066">
        <f t="shared" si="272"/>
        <v>29.17093293229123</v>
      </c>
      <c r="J139" s="1066">
        <f t="shared" si="272"/>
        <v>30.878569780545078</v>
      </c>
      <c r="K139" s="1066">
        <f t="shared" si="272"/>
        <v>30.682595180991225</v>
      </c>
      <c r="L139" s="1066">
        <f t="shared" si="272"/>
        <v>31.992353762541459</v>
      </c>
      <c r="M139" s="1066">
        <f t="shared" si="272"/>
        <v>31.4429334181984</v>
      </c>
      <c r="N139" s="1066">
        <f t="shared" si="272"/>
        <v>31.156600892671783</v>
      </c>
      <c r="O139" s="260">
        <f t="shared" si="272"/>
        <v>30.676058322376605</v>
      </c>
      <c r="P139" s="260">
        <f t="shared" si="272"/>
        <v>29.679126186318804</v>
      </c>
      <c r="Q139" s="260">
        <f t="shared" si="272"/>
        <v>29.700131988890092</v>
      </c>
      <c r="R139" s="260">
        <f t="shared" si="272"/>
        <v>30.54196479432273</v>
      </c>
      <c r="S139" s="260">
        <f t="shared" si="272"/>
        <v>29.932211922183079</v>
      </c>
      <c r="T139" s="260">
        <f t="shared" si="272"/>
        <v>28.972214109999999</v>
      </c>
      <c r="U139" s="260">
        <f t="shared" si="272"/>
        <v>29.128232055928784</v>
      </c>
      <c r="V139" s="260">
        <f t="shared" si="272"/>
        <v>28.995688380521983</v>
      </c>
      <c r="W139" s="260">
        <f t="shared" si="272"/>
        <v>29.39475155821113</v>
      </c>
      <c r="X139" s="260">
        <f t="shared" si="272"/>
        <v>29.885964346916182</v>
      </c>
      <c r="Y139" s="260">
        <f t="shared" si="272"/>
        <v>30.089071101439163</v>
      </c>
      <c r="Z139" s="260">
        <f t="shared" si="272"/>
        <v>31.081689502737298</v>
      </c>
      <c r="AA139" s="260">
        <f t="shared" si="272"/>
        <v>31.400245105473072</v>
      </c>
      <c r="AB139" s="260">
        <f t="shared" si="272"/>
        <v>31.337976372818122</v>
      </c>
      <c r="AC139" s="260">
        <f t="shared" si="272"/>
        <v>31.854564117923594</v>
      </c>
      <c r="AD139" s="260">
        <f t="shared" si="272"/>
        <v>32.189964324168578</v>
      </c>
      <c r="AE139" s="260">
        <f t="shared" si="272"/>
        <v>32.274661250208517</v>
      </c>
      <c r="AF139" s="260">
        <f t="shared" si="272"/>
        <v>32.347049824843424</v>
      </c>
      <c r="AG139" s="260">
        <f t="shared" si="272"/>
        <v>32.398275541772193</v>
      </c>
      <c r="AH139" s="260">
        <f t="shared" si="272"/>
        <v>32.473329377777105</v>
      </c>
      <c r="AI139" s="260">
        <f t="shared" si="272"/>
        <v>32.424485524938959</v>
      </c>
      <c r="AJ139" s="260">
        <f t="shared" si="272"/>
        <v>32.33705604252286</v>
      </c>
      <c r="AK139" s="260">
        <f t="shared" si="272"/>
        <v>32.213589610409308</v>
      </c>
      <c r="AL139" s="260">
        <f t="shared" si="272"/>
        <v>32.123147965605618</v>
      </c>
      <c r="AM139" s="260">
        <f t="shared" si="272"/>
        <v>32.189031672252469</v>
      </c>
      <c r="AN139" s="260">
        <f t="shared" si="272"/>
        <v>32.20134665837643</v>
      </c>
      <c r="AO139" s="260">
        <f t="shared" si="272"/>
        <v>32.137342472816606</v>
      </c>
      <c r="AP139" s="260">
        <f t="shared" si="272"/>
        <v>32.106067355666433</v>
      </c>
      <c r="AQ139" s="260">
        <f t="shared" si="272"/>
        <v>32.055398007309563</v>
      </c>
      <c r="AR139" s="260">
        <f t="shared" si="272"/>
        <v>31.985796962436115</v>
      </c>
      <c r="AS139" s="260">
        <f t="shared" si="272"/>
        <v>31.883579639374592</v>
      </c>
      <c r="AT139" s="260">
        <f t="shared" si="272"/>
        <v>31.88043762605966</v>
      </c>
      <c r="AU139" s="260">
        <f t="shared" si="272"/>
        <v>31.921825950470875</v>
      </c>
      <c r="AV139" s="260">
        <f t="shared" si="272"/>
        <v>31.967798865652629</v>
      </c>
      <c r="AW139" s="260">
        <f t="shared" si="272"/>
        <v>32.011030694105337</v>
      </c>
      <c r="AX139" s="260">
        <f t="shared" si="272"/>
        <v>32.04019407500644</v>
      </c>
      <c r="AY139" s="260">
        <f t="shared" si="272"/>
        <v>32.084258086774547</v>
      </c>
      <c r="AZ139" s="260">
        <f t="shared" si="272"/>
        <v>32.12290532445671</v>
      </c>
      <c r="BA139" s="260">
        <f t="shared" si="272"/>
        <v>32.1438833578502</v>
      </c>
      <c r="BB139" s="260">
        <f t="shared" si="272"/>
        <v>32.210559439498944</v>
      </c>
      <c r="BC139" s="260">
        <f t="shared" si="272"/>
        <v>32.212518425109167</v>
      </c>
      <c r="BD139" s="260">
        <f t="shared" si="272"/>
        <v>32.214477529861206</v>
      </c>
      <c r="BE139" s="260">
        <f t="shared" si="272"/>
        <v>32.216436753762309</v>
      </c>
      <c r="BF139" s="260">
        <f t="shared" si="272"/>
        <v>32.218396096819724</v>
      </c>
      <c r="BG139" s="260">
        <f t="shared" si="272"/>
        <v>32.220355559040698</v>
      </c>
      <c r="BH139" s="260">
        <f t="shared" si="272"/>
        <v>32.225068562587758</v>
      </c>
      <c r="BI139" s="260">
        <f t="shared" si="272"/>
        <v>32.229782255525173</v>
      </c>
      <c r="BJ139" s="260">
        <f t="shared" si="272"/>
        <v>32.234496637953782</v>
      </c>
      <c r="BK139" s="260">
        <f t="shared" si="272"/>
        <v>32.239211709974448</v>
      </c>
      <c r="BL139" s="260">
        <f t="shared" si="272"/>
        <v>32.243927471688032</v>
      </c>
      <c r="BM139" s="260">
        <f t="shared" si="272"/>
        <v>32.234738373564198</v>
      </c>
      <c r="BN139" s="260">
        <f t="shared" si="272"/>
        <v>32.225551894213289</v>
      </c>
      <c r="BO139" s="260">
        <f t="shared" si="272"/>
        <v>32.216368032888994</v>
      </c>
      <c r="BP139" s="260">
        <f t="shared" si="272"/>
        <v>32.207186788845206</v>
      </c>
      <c r="BQ139" s="260">
        <f t="shared" si="272"/>
        <v>32.198008161336034</v>
      </c>
      <c r="BR139" s="260">
        <f t="shared" si="272"/>
        <v>32.188328675270981</v>
      </c>
      <c r="BS139" s="260">
        <f t="shared" si="272"/>
        <v>32.178652099089362</v>
      </c>
      <c r="BT139" s="260">
        <f t="shared" si="268"/>
        <v>32.168978431916393</v>
      </c>
      <c r="BU139" s="260">
        <f t="shared" si="269"/>
        <v>32.15930767287756</v>
      </c>
      <c r="BV139" s="260">
        <f t="shared" si="269"/>
        <v>32.14963982109861</v>
      </c>
      <c r="BW139" s="260">
        <f t="shared" si="269"/>
        <v>32.135484213462775</v>
      </c>
      <c r="BX139" s="260">
        <f t="shared" si="269"/>
        <v>32.121334838594358</v>
      </c>
      <c r="BY139" s="260">
        <f t="shared" si="269"/>
        <v>32.107191693749044</v>
      </c>
      <c r="BZ139" s="260">
        <f t="shared" si="269"/>
        <v>32.093054776183735</v>
      </c>
      <c r="CA139" s="260">
        <f t="shared" si="269"/>
        <v>32.078924083156537</v>
      </c>
      <c r="CB139" s="260">
        <f t="shared" si="269"/>
        <v>32.05322936592912</v>
      </c>
      <c r="CC139" s="260">
        <f t="shared" si="269"/>
        <v>32.027555229768936</v>
      </c>
      <c r="CD139" s="260">
        <f t="shared" si="269"/>
        <v>32.001901658190874</v>
      </c>
      <c r="CE139" s="260">
        <f t="shared" si="269"/>
        <v>31.976268634723027</v>
      </c>
      <c r="CF139" s="260">
        <f t="shared" si="269"/>
        <v>31.950656142906677</v>
      </c>
      <c r="CG139" s="260">
        <f t="shared" si="269"/>
        <v>31.915373500092528</v>
      </c>
      <c r="CH139" s="260">
        <f t="shared" si="269"/>
        <v>31.880129819385399</v>
      </c>
      <c r="CI139" s="260">
        <f t="shared" si="269"/>
        <v>31.844925057760001</v>
      </c>
      <c r="CJ139" s="260">
        <f t="shared" si="269"/>
        <v>31.809759172238564</v>
      </c>
      <c r="CK139" s="260">
        <f t="shared" si="269"/>
        <v>31.774632119890772</v>
      </c>
      <c r="CL139" s="260">
        <f t="shared" si="269"/>
        <v>31.736335048107414</v>
      </c>
      <c r="CM139" s="260">
        <f t="shared" si="269"/>
        <v>31.698084134709202</v>
      </c>
      <c r="CN139" s="260">
        <f t="shared" si="269"/>
        <v>31.659879324062725</v>
      </c>
      <c r="CO139" s="260">
        <f t="shared" si="269"/>
        <v>31.621720560601634</v>
      </c>
      <c r="CP139" s="260">
        <f t="shared" si="269"/>
        <v>31.583607788826551</v>
      </c>
      <c r="CQ139" s="260">
        <f t="shared" si="269"/>
        <v>31.539463246970023</v>
      </c>
      <c r="CR139" s="260">
        <f t="shared" si="269"/>
        <v>31.495380406125889</v>
      </c>
      <c r="CS139" s="260">
        <f t="shared" si="269"/>
        <v>31.451359180054389</v>
      </c>
      <c r="CT139" s="260">
        <f t="shared" si="269"/>
        <v>31.407399482636293</v>
      </c>
      <c r="CU139" s="260">
        <f t="shared" si="269"/>
        <v>31.363501227872742</v>
      </c>
      <c r="CV139" s="260">
        <f t="shared" si="269"/>
        <v>31.320648715953933</v>
      </c>
      <c r="CW139" s="260">
        <f t="shared" si="269"/>
        <v>31.277854754187555</v>
      </c>
      <c r="CX139" s="260">
        <f t="shared" si="269"/>
        <v>31.235119262575491</v>
      </c>
      <c r="CY139" s="260">
        <f t="shared" si="269"/>
        <v>31.192442161228929</v>
      </c>
      <c r="CZ139" s="448">
        <f t="shared" si="269"/>
        <v>31.1498233703682</v>
      </c>
    </row>
    <row r="140" spans="1:104" ht="13" x14ac:dyDescent="0.3">
      <c r="A140" s="1527" t="s">
        <v>698</v>
      </c>
      <c r="B140" s="260">
        <v>2016</v>
      </c>
      <c r="C140" s="873">
        <f t="shared" si="267"/>
        <v>1</v>
      </c>
      <c r="D140" s="1257" t="s">
        <v>296</v>
      </c>
      <c r="E140" s="873" t="s">
        <v>1070</v>
      </c>
      <c r="F140" s="884"/>
      <c r="G140" s="1526"/>
      <c r="H140" s="1066">
        <f t="shared" si="272"/>
        <v>18.232352698801531</v>
      </c>
      <c r="I140" s="1066">
        <f t="shared" si="272"/>
        <v>19.279059481202857</v>
      </c>
      <c r="J140" s="1066">
        <f t="shared" si="272"/>
        <v>20.106975671052609</v>
      </c>
      <c r="K140" s="1066">
        <f t="shared" si="272"/>
        <v>20.31728323383771</v>
      </c>
      <c r="L140" s="1066">
        <f t="shared" si="272"/>
        <v>21.702415417864383</v>
      </c>
      <c r="M140" s="1066">
        <f t="shared" si="272"/>
        <v>21.137326303769196</v>
      </c>
      <c r="N140" s="1066">
        <f t="shared" si="272"/>
        <v>20.699724047437488</v>
      </c>
      <c r="O140" s="260">
        <f t="shared" si="272"/>
        <v>20.430734156114106</v>
      </c>
      <c r="P140" s="260">
        <f t="shared" si="272"/>
        <v>19.619402543384187</v>
      </c>
      <c r="Q140" s="260">
        <f t="shared" si="272"/>
        <v>19.94482547791937</v>
      </c>
      <c r="R140" s="260">
        <f t="shared" si="272"/>
        <v>20.190684361237558</v>
      </c>
      <c r="S140" s="260">
        <f t="shared" si="272"/>
        <v>19.439058682545589</v>
      </c>
      <c r="T140" s="260">
        <f t="shared" si="272"/>
        <v>18.777772519999996</v>
      </c>
      <c r="U140" s="260">
        <f t="shared" si="272"/>
        <v>19.537493744407882</v>
      </c>
      <c r="V140" s="260">
        <f t="shared" si="272"/>
        <v>19.094688812726531</v>
      </c>
      <c r="W140" s="260">
        <f t="shared" si="272"/>
        <v>19.340880484069093</v>
      </c>
      <c r="X140" s="260">
        <f t="shared" si="272"/>
        <v>19.700726786066333</v>
      </c>
      <c r="Y140" s="260">
        <f t="shared" si="272"/>
        <v>19.809231927025674</v>
      </c>
      <c r="Z140" s="260">
        <f t="shared" si="272"/>
        <v>20.448628319255093</v>
      </c>
      <c r="AA140" s="260">
        <f t="shared" si="272"/>
        <v>20.513438149254636</v>
      </c>
      <c r="AB140" s="260">
        <f t="shared" si="272"/>
        <v>20.459361398826221</v>
      </c>
      <c r="AC140" s="260">
        <f t="shared" si="272"/>
        <v>20.950622526197662</v>
      </c>
      <c r="AD140" s="260">
        <f t="shared" si="272"/>
        <v>21.163384692376518</v>
      </c>
      <c r="AE140" s="260">
        <f t="shared" si="272"/>
        <v>21.285322295688569</v>
      </c>
      <c r="AF140" s="260">
        <f t="shared" si="272"/>
        <v>21.423623959296947</v>
      </c>
      <c r="AG140" s="260">
        <f t="shared" si="272"/>
        <v>21.53228264660833</v>
      </c>
      <c r="AH140" s="260">
        <f t="shared" si="272"/>
        <v>21.607771530610695</v>
      </c>
      <c r="AI140" s="260">
        <f t="shared" si="272"/>
        <v>21.635145433038627</v>
      </c>
      <c r="AJ140" s="260">
        <f t="shared" si="272"/>
        <v>21.585785019942069</v>
      </c>
      <c r="AK140" s="260">
        <f t="shared" si="272"/>
        <v>21.508628925857963</v>
      </c>
      <c r="AL140" s="260">
        <f t="shared" si="272"/>
        <v>21.446118499871098</v>
      </c>
      <c r="AM140" s="260">
        <f t="shared" si="272"/>
        <v>21.521952389257063</v>
      </c>
      <c r="AN140" s="260">
        <f t="shared" si="272"/>
        <v>21.600204159779199</v>
      </c>
      <c r="AO140" s="260">
        <f t="shared" si="272"/>
        <v>21.583872325260458</v>
      </c>
      <c r="AP140" s="260">
        <f t="shared" si="272"/>
        <v>21.588666383585327</v>
      </c>
      <c r="AQ140" s="260">
        <f t="shared" si="272"/>
        <v>21.605374501448264</v>
      </c>
      <c r="AR140" s="260">
        <f t="shared" si="272"/>
        <v>21.554715579078266</v>
      </c>
      <c r="AS140" s="260">
        <f t="shared" si="272"/>
        <v>21.491324631109631</v>
      </c>
      <c r="AT140" s="260">
        <f t="shared" si="272"/>
        <v>21.516251270074765</v>
      </c>
      <c r="AU140" s="260">
        <f t="shared" si="272"/>
        <v>21.58191413536343</v>
      </c>
      <c r="AV140" s="260">
        <f t="shared" si="272"/>
        <v>21.663232093841465</v>
      </c>
      <c r="AW140" s="260">
        <f t="shared" si="272"/>
        <v>21.742367229796333</v>
      </c>
      <c r="AX140" s="260">
        <f t="shared" si="272"/>
        <v>21.822824570449338</v>
      </c>
      <c r="AY140" s="260">
        <f t="shared" si="272"/>
        <v>21.895024529503647</v>
      </c>
      <c r="AZ140" s="260">
        <f t="shared" si="272"/>
        <v>21.976239175929997</v>
      </c>
      <c r="BA140" s="260">
        <f t="shared" si="272"/>
        <v>22.046603213478718</v>
      </c>
      <c r="BB140" s="260">
        <f t="shared" si="272"/>
        <v>22.114819497732821</v>
      </c>
      <c r="BC140" s="260">
        <f t="shared" si="272"/>
        <v>22.13487665280584</v>
      </c>
      <c r="BD140" s="260">
        <f t="shared" si="272"/>
        <v>22.15495199882406</v>
      </c>
      <c r="BE140" s="260">
        <f t="shared" si="272"/>
        <v>22.175045552285859</v>
      </c>
      <c r="BF140" s="260">
        <f t="shared" si="272"/>
        <v>22.195157329704575</v>
      </c>
      <c r="BG140" s="260">
        <f t="shared" si="272"/>
        <v>22.215287347608523</v>
      </c>
      <c r="BH140" s="260">
        <f t="shared" si="272"/>
        <v>22.237407284551185</v>
      </c>
      <c r="BI140" s="260">
        <f t="shared" si="272"/>
        <v>22.259549246489641</v>
      </c>
      <c r="BJ140" s="260">
        <f t="shared" si="272"/>
        <v>22.281713255354351</v>
      </c>
      <c r="BK140" s="260">
        <f t="shared" si="272"/>
        <v>22.303899333097611</v>
      </c>
      <c r="BL140" s="260">
        <f t="shared" si="272"/>
        <v>22.326107501693581</v>
      </c>
      <c r="BM140" s="260">
        <f t="shared" si="272"/>
        <v>22.336823207612067</v>
      </c>
      <c r="BN140" s="260">
        <f t="shared" si="272"/>
        <v>22.347544056673097</v>
      </c>
      <c r="BO140" s="260">
        <f t="shared" si="272"/>
        <v>22.358270051345187</v>
      </c>
      <c r="BP140" s="260">
        <f t="shared" si="272"/>
        <v>22.369001194098043</v>
      </c>
      <c r="BQ140" s="260">
        <f t="shared" si="272"/>
        <v>22.379737487402554</v>
      </c>
      <c r="BR140" s="260">
        <f t="shared" si="272"/>
        <v>22.390100389733625</v>
      </c>
      <c r="BS140" s="260">
        <f t="shared" si="272"/>
        <v>22.400468090590362</v>
      </c>
      <c r="BT140" s="260">
        <f t="shared" si="268"/>
        <v>22.410840592194713</v>
      </c>
      <c r="BU140" s="260">
        <f t="shared" si="269"/>
        <v>22.421217896769658</v>
      </c>
      <c r="BV140" s="260">
        <f t="shared" si="269"/>
        <v>22.431600006539206</v>
      </c>
      <c r="BW140" s="260">
        <f t="shared" si="269"/>
        <v>22.438377931004013</v>
      </c>
      <c r="BX140" s="260">
        <f t="shared" si="269"/>
        <v>22.44515790348412</v>
      </c>
      <c r="BY140" s="260">
        <f t="shared" si="269"/>
        <v>22.451939924598356</v>
      </c>
      <c r="BZ140" s="260">
        <f t="shared" si="269"/>
        <v>22.458723994965737</v>
      </c>
      <c r="CA140" s="260">
        <f t="shared" si="269"/>
        <v>22.465510115205461</v>
      </c>
      <c r="CB140" s="260">
        <f t="shared" si="269"/>
        <v>22.462969438648798</v>
      </c>
      <c r="CC140" s="260">
        <f t="shared" si="269"/>
        <v>22.46042904942313</v>
      </c>
      <c r="CD140" s="260">
        <f t="shared" si="269"/>
        <v>22.45788894749596</v>
      </c>
      <c r="CE140" s="260">
        <f t="shared" si="269"/>
        <v>22.455349132834797</v>
      </c>
      <c r="CF140" s="260">
        <f t="shared" si="269"/>
        <v>22.452809605407158</v>
      </c>
      <c r="CG140" s="260">
        <f t="shared" si="269"/>
        <v>22.442624812220661</v>
      </c>
      <c r="CH140" s="260">
        <f t="shared" si="269"/>
        <v>22.432444638946507</v>
      </c>
      <c r="CI140" s="260">
        <f t="shared" si="269"/>
        <v>22.422269083489063</v>
      </c>
      <c r="CJ140" s="260">
        <f t="shared" si="269"/>
        <v>22.412098143753649</v>
      </c>
      <c r="CK140" s="260">
        <f t="shared" si="269"/>
        <v>22.401931817646531</v>
      </c>
      <c r="CL140" s="260">
        <f t="shared" si="269"/>
        <v>22.389459823741635</v>
      </c>
      <c r="CM140" s="260">
        <f t="shared" si="269"/>
        <v>22.376994773462549</v>
      </c>
      <c r="CN140" s="260">
        <f t="shared" si="269"/>
        <v>22.364536662943497</v>
      </c>
      <c r="CO140" s="260">
        <f t="shared" si="269"/>
        <v>22.352085488320853</v>
      </c>
      <c r="CP140" s="260">
        <f t="shared" si="269"/>
        <v>22.339641245733144</v>
      </c>
      <c r="CQ140" s="260">
        <f t="shared" si="269"/>
        <v>22.322592014179389</v>
      </c>
      <c r="CR140" s="260">
        <f t="shared" si="269"/>
        <v>22.305555794307125</v>
      </c>
      <c r="CS140" s="260">
        <f t="shared" si="269"/>
        <v>22.288532576186064</v>
      </c>
      <c r="CT140" s="260">
        <f t="shared" si="269"/>
        <v>22.271522349893491</v>
      </c>
      <c r="CU140" s="260">
        <f t="shared" si="269"/>
        <v>22.254525105514261</v>
      </c>
      <c r="CV140" s="260">
        <f t="shared" si="269"/>
        <v>22.238544472899552</v>
      </c>
      <c r="CW140" s="260">
        <f t="shared" si="269"/>
        <v>22.222575315731635</v>
      </c>
      <c r="CX140" s="260">
        <f t="shared" si="269"/>
        <v>22.206617625770171</v>
      </c>
      <c r="CY140" s="260">
        <f t="shared" si="269"/>
        <v>22.190671394780733</v>
      </c>
      <c r="CZ140" s="448">
        <f t="shared" ref="CZ140" si="273">+CZ160*$C140</f>
        <v>22.174736614534808</v>
      </c>
    </row>
    <row r="141" spans="1:104" ht="13.5" thickBot="1" x14ac:dyDescent="0.35">
      <c r="A141" s="1530" t="s">
        <v>684</v>
      </c>
      <c r="B141" s="442">
        <v>2016</v>
      </c>
      <c r="C141" s="1390">
        <f t="shared" si="267"/>
        <v>1</v>
      </c>
      <c r="D141" s="1531" t="s">
        <v>296</v>
      </c>
      <c r="E141" s="1390" t="s">
        <v>1070</v>
      </c>
      <c r="F141" s="1391"/>
      <c r="G141" s="1029"/>
      <c r="H141" s="1392">
        <f t="shared" si="272"/>
        <v>31.081820315099751</v>
      </c>
      <c r="I141" s="1392">
        <f t="shared" si="272"/>
        <v>31.795307521355493</v>
      </c>
      <c r="J141" s="1392">
        <f t="shared" si="272"/>
        <v>33.946842042036877</v>
      </c>
      <c r="K141" s="1392">
        <f t="shared" si="272"/>
        <v>33.862138723062856</v>
      </c>
      <c r="L141" s="1392">
        <f t="shared" si="272"/>
        <v>35.110516897292094</v>
      </c>
      <c r="M141" s="1392">
        <f t="shared" si="272"/>
        <v>35.620882248372396</v>
      </c>
      <c r="N141" s="1392">
        <f t="shared" si="272"/>
        <v>35.284315436843215</v>
      </c>
      <c r="O141" s="442">
        <f t="shared" si="272"/>
        <v>35.109707376782602</v>
      </c>
      <c r="P141" s="442">
        <f t="shared" si="272"/>
        <v>34.944303180720262</v>
      </c>
      <c r="Q141" s="442">
        <f t="shared" si="272"/>
        <v>35.113313940081568</v>
      </c>
      <c r="R141" s="442">
        <f t="shared" si="272"/>
        <v>35.603854676435802</v>
      </c>
      <c r="S141" s="442">
        <f t="shared" si="272"/>
        <v>35.586699324775935</v>
      </c>
      <c r="T141" s="442">
        <f t="shared" si="272"/>
        <v>34.861101349999998</v>
      </c>
      <c r="U141" s="442">
        <f t="shared" si="272"/>
        <v>34.664653819323334</v>
      </c>
      <c r="V141" s="442">
        <f t="shared" si="272"/>
        <v>34.410290069910978</v>
      </c>
      <c r="W141" s="442">
        <f t="shared" si="272"/>
        <v>34.908531869398402</v>
      </c>
      <c r="X141" s="442">
        <f t="shared" si="272"/>
        <v>35.616671532127199</v>
      </c>
      <c r="Y141" s="442">
        <f t="shared" si="272"/>
        <v>35.947520321196222</v>
      </c>
      <c r="Z141" s="442">
        <f t="shared" si="272"/>
        <v>36.987705865849776</v>
      </c>
      <c r="AA141" s="442">
        <f t="shared" si="272"/>
        <v>37.546039262370911</v>
      </c>
      <c r="AB141" s="442">
        <f t="shared" si="272"/>
        <v>37.510823122184988</v>
      </c>
      <c r="AC141" s="442">
        <f t="shared" si="272"/>
        <v>38.008797637281816</v>
      </c>
      <c r="AD141" s="442">
        <f t="shared" si="272"/>
        <v>38.419808048103611</v>
      </c>
      <c r="AE141" s="442">
        <f t="shared" si="272"/>
        <v>38.480927078752217</v>
      </c>
      <c r="AF141" s="442">
        <f t="shared" si="272"/>
        <v>38.529894147798792</v>
      </c>
      <c r="AG141" s="442">
        <f t="shared" si="272"/>
        <v>38.610432052895767</v>
      </c>
      <c r="AH141" s="442">
        <f t="shared" si="272"/>
        <v>38.669048846696292</v>
      </c>
      <c r="AI141" s="442">
        <f t="shared" si="272"/>
        <v>38.631731396248163</v>
      </c>
      <c r="AJ141" s="442">
        <f t="shared" si="272"/>
        <v>38.567872226687491</v>
      </c>
      <c r="AK141" s="442">
        <f t="shared" si="272"/>
        <v>38.465126969563705</v>
      </c>
      <c r="AL141" s="442">
        <f t="shared" si="272"/>
        <v>38.413723063041203</v>
      </c>
      <c r="AM141" s="442">
        <f t="shared" si="272"/>
        <v>38.515467425425761</v>
      </c>
      <c r="AN141" s="442">
        <f t="shared" si="272"/>
        <v>38.527084818246614</v>
      </c>
      <c r="AO141" s="442">
        <f t="shared" si="272"/>
        <v>38.521472793861179</v>
      </c>
      <c r="AP141" s="442">
        <f t="shared" si="272"/>
        <v>38.546973809920992</v>
      </c>
      <c r="AQ141" s="442">
        <f t="shared" si="272"/>
        <v>38.560691565187064</v>
      </c>
      <c r="AR141" s="442">
        <f t="shared" si="272"/>
        <v>38.568356561168315</v>
      </c>
      <c r="AS141" s="442">
        <f t="shared" si="272"/>
        <v>38.569368829711408</v>
      </c>
      <c r="AT141" s="442">
        <f t="shared" si="272"/>
        <v>38.651143635977618</v>
      </c>
      <c r="AU141" s="442">
        <f t="shared" si="272"/>
        <v>38.781520601750053</v>
      </c>
      <c r="AV141" s="442">
        <f t="shared" si="272"/>
        <v>38.929117506558889</v>
      </c>
      <c r="AW141" s="442">
        <f t="shared" si="272"/>
        <v>39.08758776785308</v>
      </c>
      <c r="AX141" s="442">
        <f t="shared" si="272"/>
        <v>39.228047610742941</v>
      </c>
      <c r="AY141" s="442">
        <f t="shared" si="272"/>
        <v>39.393119417357944</v>
      </c>
      <c r="AZ141" s="442">
        <f t="shared" si="272"/>
        <v>39.595269824540118</v>
      </c>
      <c r="BA141" s="442">
        <f t="shared" si="272"/>
        <v>39.769550621009692</v>
      </c>
      <c r="BB141" s="442">
        <f t="shared" si="272"/>
        <v>39.980674011616443</v>
      </c>
      <c r="BC141" s="442">
        <f t="shared" si="272"/>
        <v>39.983105560972888</v>
      </c>
      <c r="BD141" s="442">
        <f t="shared" si="272"/>
        <v>39.985537258211586</v>
      </c>
      <c r="BE141" s="442">
        <f t="shared" si="272"/>
        <v>39.987969103341534</v>
      </c>
      <c r="BF141" s="442">
        <f t="shared" si="272"/>
        <v>39.990401096371727</v>
      </c>
      <c r="BG141" s="442">
        <f t="shared" si="272"/>
        <v>39.99283323731116</v>
      </c>
      <c r="BH141" s="442">
        <f t="shared" si="272"/>
        <v>39.998683153044055</v>
      </c>
      <c r="BI141" s="442">
        <f t="shared" si="272"/>
        <v>40.00453392446812</v>
      </c>
      <c r="BJ141" s="442">
        <f t="shared" si="272"/>
        <v>40.010385551708517</v>
      </c>
      <c r="BK141" s="442">
        <f t="shared" si="272"/>
        <v>40.016238034890421</v>
      </c>
      <c r="BL141" s="442">
        <f t="shared" si="272"/>
        <v>40.022091374139045</v>
      </c>
      <c r="BM141" s="442">
        <f t="shared" si="272"/>
        <v>40.01068560090993</v>
      </c>
      <c r="BN141" s="442">
        <f t="shared" si="272"/>
        <v>39.999283078177193</v>
      </c>
      <c r="BO141" s="442">
        <f t="shared" si="272"/>
        <v>39.987883805014484</v>
      </c>
      <c r="BP141" s="442">
        <f t="shared" si="272"/>
        <v>39.976487780495717</v>
      </c>
      <c r="BQ141" s="442">
        <f t="shared" si="272"/>
        <v>39.965095003695069</v>
      </c>
      <c r="BR141" s="442">
        <f t="shared" si="272"/>
        <v>39.953080546830584</v>
      </c>
      <c r="BS141" s="442">
        <f t="shared" ref="BS141" si="274">+BS161*$C141</f>
        <v>39.941069701797218</v>
      </c>
      <c r="BT141" s="442">
        <f t="shared" si="268"/>
        <v>39.929062467509169</v>
      </c>
      <c r="BU141" s="442">
        <f t="shared" ref="BU141:CZ141" si="275">+BU161*$C141</f>
        <v>39.917058842880955</v>
      </c>
      <c r="BV141" s="442">
        <f t="shared" si="275"/>
        <v>39.905058826827435</v>
      </c>
      <c r="BW141" s="442">
        <f t="shared" si="275"/>
        <v>39.887488478960996</v>
      </c>
      <c r="BX141" s="442">
        <f t="shared" si="275"/>
        <v>39.869925867384971</v>
      </c>
      <c r="BY141" s="442">
        <f t="shared" si="275"/>
        <v>39.852370988693046</v>
      </c>
      <c r="BZ141" s="442">
        <f t="shared" si="275"/>
        <v>39.8348238394804</v>
      </c>
      <c r="CA141" s="442">
        <f t="shared" si="275"/>
        <v>39.817284416343718</v>
      </c>
      <c r="CB141" s="442">
        <f t="shared" si="275"/>
        <v>39.785391393336162</v>
      </c>
      <c r="CC141" s="442">
        <f t="shared" si="275"/>
        <v>39.75352391614198</v>
      </c>
      <c r="CD141" s="442">
        <f t="shared" si="275"/>
        <v>39.721681964299371</v>
      </c>
      <c r="CE141" s="442">
        <f t="shared" si="275"/>
        <v>39.689865517362925</v>
      </c>
      <c r="CF141" s="442">
        <f t="shared" si="275"/>
        <v>39.658074554903607</v>
      </c>
      <c r="CG141" s="442">
        <f t="shared" si="275"/>
        <v>39.614280722534119</v>
      </c>
      <c r="CH141" s="442">
        <f t="shared" si="275"/>
        <v>39.57053525105394</v>
      </c>
      <c r="CI141" s="442">
        <f t="shared" si="275"/>
        <v>39.526838087058842</v>
      </c>
      <c r="CJ141" s="442">
        <f t="shared" si="275"/>
        <v>39.48318917720357</v>
      </c>
      <c r="CK141" s="442">
        <f t="shared" si="275"/>
        <v>39.439588468201791</v>
      </c>
      <c r="CL141" s="442">
        <f t="shared" si="275"/>
        <v>39.392053039782866</v>
      </c>
      <c r="CM141" s="442">
        <f t="shared" si="275"/>
        <v>39.344574904480901</v>
      </c>
      <c r="CN141" s="442">
        <f t="shared" si="275"/>
        <v>39.297153993242112</v>
      </c>
      <c r="CO141" s="442">
        <f t="shared" si="275"/>
        <v>39.249790237095944</v>
      </c>
      <c r="CP141" s="442">
        <f t="shared" si="275"/>
        <v>39.202483567154964</v>
      </c>
      <c r="CQ141" s="442">
        <f t="shared" si="275"/>
        <v>39.147690090479308</v>
      </c>
      <c r="CR141" s="442">
        <f t="shared" si="275"/>
        <v>39.092973198877175</v>
      </c>
      <c r="CS141" s="442">
        <f t="shared" si="275"/>
        <v>39.038332785305279</v>
      </c>
      <c r="CT141" s="442">
        <f t="shared" si="275"/>
        <v>38.983768742869955</v>
      </c>
      <c r="CU141" s="442">
        <f t="shared" si="275"/>
        <v>38.929280964826951</v>
      </c>
      <c r="CV141" s="442">
        <f t="shared" si="275"/>
        <v>38.876091192919297</v>
      </c>
      <c r="CW141" s="442">
        <f t="shared" si="275"/>
        <v>38.822974095147039</v>
      </c>
      <c r="CX141" s="442">
        <f t="shared" si="275"/>
        <v>38.769929572214203</v>
      </c>
      <c r="CY141" s="442">
        <f t="shared" si="275"/>
        <v>38.716957524960492</v>
      </c>
      <c r="CZ141" s="443">
        <f t="shared" si="275"/>
        <v>38.66405785436109</v>
      </c>
    </row>
    <row r="142" spans="1:104" x14ac:dyDescent="0.25">
      <c r="A142" t="s">
        <v>1432</v>
      </c>
    </row>
    <row r="150" spans="1:104" ht="13" x14ac:dyDescent="0.3">
      <c r="A150" s="1532" t="s">
        <v>1289</v>
      </c>
      <c r="B150" s="1533" t="s">
        <v>1431</v>
      </c>
      <c r="C150" s="1532"/>
      <c r="D150" s="1532"/>
      <c r="E150" s="1532"/>
      <c r="F150" s="1532"/>
      <c r="G150" s="1532"/>
      <c r="H150" s="1532"/>
      <c r="I150" s="1532"/>
      <c r="J150" s="1532"/>
      <c r="K150" s="1532"/>
      <c r="L150" s="1532"/>
      <c r="M150" s="1532"/>
      <c r="N150" s="1532"/>
      <c r="O150" s="1532"/>
      <c r="P150" s="1532"/>
      <c r="Q150" s="1532"/>
      <c r="R150" s="1532"/>
      <c r="S150" s="1532"/>
      <c r="T150" s="1532"/>
      <c r="U150" s="1532"/>
      <c r="V150" s="1532"/>
      <c r="W150" s="1532"/>
      <c r="X150" s="1532"/>
      <c r="Y150" s="1532"/>
      <c r="Z150" s="1532"/>
      <c r="AA150" s="1532"/>
      <c r="AB150" s="1532"/>
      <c r="AC150" s="1532"/>
      <c r="AD150" s="1532"/>
      <c r="AE150" s="1532"/>
      <c r="AF150" s="1532"/>
      <c r="AG150" s="1532"/>
      <c r="AH150" s="1532"/>
      <c r="AI150" s="1532"/>
      <c r="AJ150" s="1532"/>
      <c r="AK150" s="1532"/>
      <c r="AL150" s="1532"/>
      <c r="AM150" s="1532"/>
      <c r="AN150" s="1532"/>
      <c r="AO150" s="1532"/>
      <c r="AP150" s="1532"/>
      <c r="AQ150" s="1532"/>
      <c r="AR150" s="1532"/>
      <c r="AS150" s="1532"/>
      <c r="AT150" s="1532"/>
      <c r="AU150" s="1532"/>
      <c r="AV150" s="1532"/>
      <c r="AW150" s="1532"/>
      <c r="AX150" s="1532"/>
      <c r="AY150" s="1532"/>
      <c r="AZ150" s="1532"/>
      <c r="BA150" s="1532"/>
      <c r="BB150" s="1532" t="s">
        <v>1290</v>
      </c>
      <c r="BC150" s="1532"/>
      <c r="BD150" s="1532"/>
      <c r="BE150" s="1532"/>
      <c r="BF150" s="1532"/>
      <c r="BG150" s="1532"/>
      <c r="BH150" s="1532"/>
      <c r="BI150" s="1532"/>
      <c r="BJ150" s="1532"/>
      <c r="BK150" s="1532"/>
      <c r="BL150" s="1532"/>
      <c r="BM150" s="1532"/>
      <c r="BN150" s="1532"/>
      <c r="BO150" s="1532"/>
      <c r="BP150" s="1532"/>
      <c r="BQ150" s="1532"/>
      <c r="BR150" s="1532"/>
      <c r="BS150" s="1532"/>
      <c r="BT150" s="1532"/>
      <c r="BU150" s="1532"/>
      <c r="BV150" s="1532"/>
      <c r="BW150" s="1532"/>
      <c r="BX150" s="1532"/>
      <c r="BY150" s="1532"/>
      <c r="BZ150" s="1532"/>
      <c r="CA150" s="1532"/>
      <c r="CB150" s="1532"/>
      <c r="CC150" s="1532"/>
      <c r="CD150" s="1532"/>
      <c r="CE150" s="1532"/>
      <c r="CF150" s="1532"/>
      <c r="CG150" s="1532"/>
      <c r="CH150" s="1532"/>
      <c r="CI150" s="1532"/>
      <c r="CJ150" s="1532"/>
      <c r="CK150" s="1532"/>
      <c r="CL150" s="1532"/>
      <c r="CM150" s="1532"/>
      <c r="CN150" s="1532"/>
      <c r="CO150" s="1532"/>
      <c r="CP150" s="1532"/>
      <c r="CQ150" s="1532"/>
      <c r="CR150" s="1532"/>
      <c r="CS150" s="1532"/>
      <c r="CT150" s="1532"/>
      <c r="CU150" s="1532"/>
      <c r="CV150" s="1532"/>
      <c r="CW150" s="1532"/>
      <c r="CX150" s="1532"/>
      <c r="CY150" s="1532"/>
      <c r="CZ150" s="1532"/>
    </row>
    <row r="151" spans="1:104" x14ac:dyDescent="0.25">
      <c r="A151" s="1534" t="s">
        <v>1083</v>
      </c>
      <c r="B151" s="1535" t="s">
        <v>678</v>
      </c>
      <c r="C151" s="1535" t="s">
        <v>679</v>
      </c>
      <c r="D151" s="1535" t="s">
        <v>690</v>
      </c>
      <c r="E151" s="1535" t="s">
        <v>691</v>
      </c>
      <c r="F151" s="1535" t="s">
        <v>680</v>
      </c>
      <c r="G151" s="1535" t="s">
        <v>692</v>
      </c>
      <c r="H151" s="1535">
        <v>2004</v>
      </c>
      <c r="I151" s="1535">
        <v>2005</v>
      </c>
      <c r="J151" s="1535">
        <v>2006</v>
      </c>
      <c r="K151" s="1535">
        <v>2007</v>
      </c>
      <c r="L151" s="1535">
        <v>2008</v>
      </c>
      <c r="M151" s="1535">
        <v>2009</v>
      </c>
      <c r="N151" s="1535">
        <v>2010</v>
      </c>
      <c r="O151" s="1535">
        <v>2011</v>
      </c>
      <c r="P151" s="1535">
        <v>2012</v>
      </c>
      <c r="Q151" s="1535">
        <v>2013</v>
      </c>
      <c r="R151" s="1535">
        <v>2014</v>
      </c>
      <c r="S151" s="1535">
        <v>2015</v>
      </c>
      <c r="T151" s="1535">
        <v>2016</v>
      </c>
      <c r="U151" s="1535">
        <v>2017</v>
      </c>
      <c r="V151" s="1535">
        <v>2018</v>
      </c>
      <c r="W151" s="1535">
        <v>2019</v>
      </c>
      <c r="X151" s="1535">
        <v>2020</v>
      </c>
      <c r="Y151" s="1535">
        <v>2021</v>
      </c>
      <c r="Z151" s="1535">
        <v>2022</v>
      </c>
      <c r="AA151" s="1535">
        <v>2023</v>
      </c>
      <c r="AB151" s="1535">
        <v>2024</v>
      </c>
      <c r="AC151" s="1535">
        <v>2025</v>
      </c>
      <c r="AD151" s="1535">
        <v>2026</v>
      </c>
      <c r="AE151" s="1535">
        <v>2027</v>
      </c>
      <c r="AF151" s="1535">
        <v>2028</v>
      </c>
      <c r="AG151" s="1535">
        <v>2029</v>
      </c>
      <c r="AH151" s="1535">
        <v>2030</v>
      </c>
      <c r="AI151" s="1535">
        <v>2031</v>
      </c>
      <c r="AJ151" s="1535">
        <v>2032</v>
      </c>
      <c r="AK151" s="1535">
        <v>2033</v>
      </c>
      <c r="AL151" s="1535">
        <v>2034</v>
      </c>
      <c r="AM151" s="1535">
        <v>2035</v>
      </c>
      <c r="AN151" s="1535">
        <v>2036</v>
      </c>
      <c r="AO151" s="1535">
        <v>2037</v>
      </c>
      <c r="AP151" s="1535">
        <v>2038</v>
      </c>
      <c r="AQ151" s="1535">
        <v>2039</v>
      </c>
      <c r="AR151" s="1535">
        <v>2040</v>
      </c>
      <c r="AS151" s="1535">
        <v>2041</v>
      </c>
      <c r="AT151" s="1535">
        <v>2042</v>
      </c>
      <c r="AU151" s="1535">
        <v>2043</v>
      </c>
      <c r="AV151" s="1535">
        <v>2044</v>
      </c>
      <c r="AW151" s="1535">
        <v>2045</v>
      </c>
      <c r="AX151" s="1535">
        <v>2046</v>
      </c>
      <c r="AY151" s="1535">
        <v>2047</v>
      </c>
      <c r="AZ151" s="1535">
        <v>2048</v>
      </c>
      <c r="BA151" s="1535">
        <v>2049</v>
      </c>
      <c r="BB151" s="1535">
        <v>2050</v>
      </c>
      <c r="BC151" s="1535">
        <v>2051</v>
      </c>
      <c r="BD151" s="1535">
        <v>2052</v>
      </c>
      <c r="BE151" s="1535">
        <v>2053</v>
      </c>
      <c r="BF151" s="1535">
        <v>2054</v>
      </c>
      <c r="BG151" s="1535">
        <v>2055</v>
      </c>
      <c r="BH151" s="1535">
        <v>2056</v>
      </c>
      <c r="BI151" s="1535">
        <v>2057</v>
      </c>
      <c r="BJ151" s="1535">
        <v>2058</v>
      </c>
      <c r="BK151" s="1535">
        <v>2059</v>
      </c>
      <c r="BL151" s="1535">
        <v>2060</v>
      </c>
      <c r="BM151" s="1535">
        <v>2061</v>
      </c>
      <c r="BN151" s="1535">
        <v>2062</v>
      </c>
      <c r="BO151" s="1535">
        <v>2063</v>
      </c>
      <c r="BP151" s="1535">
        <v>2064</v>
      </c>
      <c r="BQ151" s="1535">
        <v>2065</v>
      </c>
      <c r="BR151" s="1535">
        <v>2066</v>
      </c>
      <c r="BS151" s="1535">
        <v>2067</v>
      </c>
      <c r="BT151" s="1535">
        <v>2068</v>
      </c>
      <c r="BU151" s="1535">
        <v>2069</v>
      </c>
      <c r="BV151" s="1535">
        <v>2070</v>
      </c>
      <c r="BW151" s="1535">
        <v>2071</v>
      </c>
      <c r="BX151" s="1535">
        <v>2072</v>
      </c>
      <c r="BY151" s="1535">
        <v>2073</v>
      </c>
      <c r="BZ151" s="1535">
        <v>2074</v>
      </c>
      <c r="CA151" s="1535">
        <v>2075</v>
      </c>
      <c r="CB151" s="1535">
        <v>2076</v>
      </c>
      <c r="CC151" s="1535">
        <v>2077</v>
      </c>
      <c r="CD151" s="1535">
        <v>2078</v>
      </c>
      <c r="CE151" s="1535">
        <v>2079</v>
      </c>
      <c r="CF151" s="1535">
        <v>2080</v>
      </c>
      <c r="CG151" s="1535">
        <v>2081</v>
      </c>
      <c r="CH151" s="1535">
        <v>2082</v>
      </c>
      <c r="CI151" s="1535">
        <v>2083</v>
      </c>
      <c r="CJ151" s="1535">
        <v>2084</v>
      </c>
      <c r="CK151" s="1535">
        <v>2085</v>
      </c>
      <c r="CL151" s="1535">
        <v>2086</v>
      </c>
      <c r="CM151" s="1535">
        <v>2087</v>
      </c>
      <c r="CN151" s="1535">
        <v>2088</v>
      </c>
      <c r="CO151" s="1535">
        <v>2089</v>
      </c>
      <c r="CP151" s="1535">
        <v>2090</v>
      </c>
      <c r="CQ151" s="1535">
        <v>2091</v>
      </c>
      <c r="CR151" s="1535">
        <v>2092</v>
      </c>
      <c r="CS151" s="1535">
        <v>2093</v>
      </c>
      <c r="CT151" s="1535">
        <v>2094</v>
      </c>
      <c r="CU151" s="1535">
        <v>2095</v>
      </c>
      <c r="CV151" s="1535">
        <v>2096</v>
      </c>
      <c r="CW151" s="1535">
        <v>2097</v>
      </c>
      <c r="CX151" s="1535">
        <v>2098</v>
      </c>
      <c r="CY151" s="1535">
        <v>2099</v>
      </c>
      <c r="CZ151" s="1536">
        <v>2100</v>
      </c>
    </row>
    <row r="152" spans="1:104" x14ac:dyDescent="0.25">
      <c r="A152" s="1537" t="s">
        <v>1089</v>
      </c>
      <c r="B152" s="1538"/>
      <c r="C152" s="1538"/>
      <c r="D152" s="1538"/>
      <c r="E152" s="1538"/>
      <c r="F152" s="1538"/>
      <c r="G152" s="1538"/>
      <c r="H152" s="1538"/>
      <c r="I152" s="1538"/>
      <c r="J152" s="1538"/>
      <c r="K152" s="1538"/>
      <c r="L152" s="1538"/>
      <c r="M152" s="1538"/>
      <c r="N152" s="1538"/>
      <c r="O152" s="1538"/>
      <c r="P152" s="1538"/>
      <c r="Q152" s="1538"/>
      <c r="R152" s="1538"/>
      <c r="S152" s="1538"/>
      <c r="T152" s="1538"/>
      <c r="U152" s="1538"/>
      <c r="V152" s="1538"/>
      <c r="W152" s="1538"/>
      <c r="X152" s="1538"/>
      <c r="Y152" s="1538"/>
      <c r="Z152" s="1538"/>
      <c r="AA152" s="1538"/>
      <c r="AB152" s="1538"/>
      <c r="AC152" s="1538"/>
      <c r="AD152" s="1538"/>
      <c r="AE152" s="1538"/>
      <c r="AF152" s="1538"/>
      <c r="AG152" s="1538"/>
      <c r="AH152" s="1538"/>
      <c r="AI152" s="1538"/>
      <c r="AJ152" s="1538"/>
      <c r="AK152" s="1538"/>
      <c r="AL152" s="1538"/>
      <c r="AM152" s="1538"/>
      <c r="AN152" s="1538"/>
      <c r="AO152" s="1538"/>
      <c r="AP152" s="1538"/>
      <c r="AQ152" s="1538"/>
      <c r="AR152" s="1538"/>
      <c r="AS152" s="1538"/>
      <c r="AT152" s="1538"/>
      <c r="AU152" s="1538"/>
      <c r="AV152" s="1538"/>
      <c r="AW152" s="1538"/>
      <c r="AX152" s="1538"/>
      <c r="AY152" s="1538"/>
      <c r="AZ152" s="1538"/>
      <c r="BA152" s="1538"/>
      <c r="BB152" s="1538"/>
      <c r="BC152" s="1538"/>
      <c r="BD152" s="1538"/>
      <c r="BE152" s="1538"/>
      <c r="BF152" s="1538"/>
      <c r="BG152" s="1538"/>
      <c r="BH152" s="1538"/>
      <c r="BI152" s="1538"/>
      <c r="BJ152" s="1538"/>
      <c r="BK152" s="1538"/>
      <c r="BL152" s="1538"/>
      <c r="BM152" s="1538"/>
      <c r="BN152" s="1538"/>
      <c r="BO152" s="1538"/>
      <c r="BP152" s="1538"/>
      <c r="BQ152" s="1538"/>
      <c r="BR152" s="1538"/>
      <c r="BS152" s="1538"/>
      <c r="BT152" s="1538"/>
      <c r="BU152" s="1538"/>
      <c r="BV152" s="1538"/>
      <c r="BW152" s="1538"/>
      <c r="BX152" s="1538"/>
      <c r="BY152" s="1538"/>
      <c r="BZ152" s="1538"/>
      <c r="CA152" s="1538"/>
      <c r="CB152" s="1538"/>
      <c r="CC152" s="1538"/>
      <c r="CD152" s="1538"/>
      <c r="CE152" s="1538"/>
      <c r="CF152" s="1538"/>
      <c r="CG152" s="1538"/>
      <c r="CH152" s="1538"/>
      <c r="CI152" s="1538"/>
      <c r="CJ152" s="1538"/>
      <c r="CK152" s="1538"/>
      <c r="CL152" s="1538"/>
      <c r="CM152" s="1538"/>
      <c r="CN152" s="1538"/>
      <c r="CO152" s="1538"/>
      <c r="CP152" s="1538"/>
      <c r="CQ152" s="1538"/>
      <c r="CR152" s="1538"/>
      <c r="CS152" s="1538"/>
      <c r="CT152" s="1538"/>
      <c r="CU152" s="1538"/>
      <c r="CV152" s="1538"/>
      <c r="CW152" s="1538"/>
      <c r="CX152" s="1538"/>
      <c r="CY152" s="1538"/>
      <c r="CZ152" s="1539"/>
    </row>
    <row r="153" spans="1:104" x14ac:dyDescent="0.25">
      <c r="A153" s="1537" t="s">
        <v>681</v>
      </c>
      <c r="B153" s="1538"/>
      <c r="C153" s="1538"/>
      <c r="D153" s="1538"/>
      <c r="E153" s="1538"/>
      <c r="F153" s="1538"/>
      <c r="G153" s="1538"/>
      <c r="H153" s="1538">
        <v>13.604875014867702</v>
      </c>
      <c r="I153" s="1538">
        <v>15.571757228276402</v>
      </c>
      <c r="J153" s="1538">
        <v>16.331995797204218</v>
      </c>
      <c r="K153" s="1538">
        <v>15.155672177020728</v>
      </c>
      <c r="L153" s="1538">
        <v>15.783516201764996</v>
      </c>
      <c r="M153" s="1538">
        <v>13.69149010361817</v>
      </c>
      <c r="N153" s="1538">
        <v>12.691188457250465</v>
      </c>
      <c r="O153" s="1538">
        <v>12.04142243701838</v>
      </c>
      <c r="P153" s="1538">
        <v>11.415954621928984</v>
      </c>
      <c r="Q153" s="1538">
        <v>10.886628367710442</v>
      </c>
      <c r="R153" s="1538">
        <v>11.368469484946878</v>
      </c>
      <c r="S153" s="1538">
        <v>9.7183315387998359</v>
      </c>
      <c r="T153" s="1538">
        <v>9.390001099467705</v>
      </c>
      <c r="U153" s="1538">
        <v>10.023002570479671</v>
      </c>
      <c r="V153" s="1538">
        <v>10.033707215541167</v>
      </c>
      <c r="W153" s="1538">
        <v>10.158951752324048</v>
      </c>
      <c r="X153" s="1538">
        <v>10.289627280447673</v>
      </c>
      <c r="Y153" s="1538">
        <v>10.38663350570965</v>
      </c>
      <c r="Z153" s="1538">
        <v>10.458822090960101</v>
      </c>
      <c r="AA153" s="1538">
        <v>10.541361785535555</v>
      </c>
      <c r="AB153" s="1538">
        <v>10.671303703310535</v>
      </c>
      <c r="AC153" s="1538">
        <v>10.821196220864106</v>
      </c>
      <c r="AD153" s="1538">
        <v>10.961130973142659</v>
      </c>
      <c r="AE153" s="1538">
        <v>11.387951919139837</v>
      </c>
      <c r="AF153" s="1538">
        <v>11.524366479125279</v>
      </c>
      <c r="AG153" s="1538">
        <v>11.653679994237272</v>
      </c>
      <c r="AH153" s="1538">
        <v>11.727599293307653</v>
      </c>
      <c r="AI153" s="1538">
        <v>11.827238554162054</v>
      </c>
      <c r="AJ153" s="1538">
        <v>11.877874728924342</v>
      </c>
      <c r="AK153" s="1538">
        <v>11.891573527850655</v>
      </c>
      <c r="AL153" s="1538">
        <v>11.9827791131466</v>
      </c>
      <c r="AM153" s="1538">
        <v>12.163475682807357</v>
      </c>
      <c r="AN153" s="1538">
        <v>12.259449735369497</v>
      </c>
      <c r="AO153" s="1538">
        <v>12.356256919064013</v>
      </c>
      <c r="AP153" s="1538">
        <v>12.41256198723101</v>
      </c>
      <c r="AQ153" s="1538">
        <v>12.490714236969412</v>
      </c>
      <c r="AR153" s="1538">
        <v>12.496378391289182</v>
      </c>
      <c r="AS153" s="1538">
        <v>12.55376491863939</v>
      </c>
      <c r="AT153" s="1538">
        <v>12.651412816002184</v>
      </c>
      <c r="AU153" s="1538">
        <v>12.770777096192051</v>
      </c>
      <c r="AV153" s="1538">
        <v>12.886454368298935</v>
      </c>
      <c r="AW153" s="1538">
        <v>13.010888521557151</v>
      </c>
      <c r="AX153" s="1538">
        <v>13.118997475015544</v>
      </c>
      <c r="AY153" s="1538">
        <v>13.217679440712152</v>
      </c>
      <c r="AZ153" s="1538">
        <v>13.363983523149482</v>
      </c>
      <c r="BA153" s="1538">
        <v>13.453606254075613</v>
      </c>
      <c r="BB153" s="1538">
        <v>13.593337225701765</v>
      </c>
      <c r="BC153" s="1538">
        <v>13.668907227280409</v>
      </c>
      <c r="BD153" s="1538">
        <v>13.744897348292845</v>
      </c>
      <c r="BE153" s="1538">
        <v>13.821309924326409</v>
      </c>
      <c r="BF153" s="1538">
        <v>13.898147303952761</v>
      </c>
      <c r="BG153" s="1538">
        <v>13.975411848800078</v>
      </c>
      <c r="BH153" s="1538">
        <v>14.050424531225174</v>
      </c>
      <c r="BI153" s="1538">
        <v>14.12583984239463</v>
      </c>
      <c r="BJ153" s="1538">
        <v>14.201659943408417</v>
      </c>
      <c r="BK153" s="1538">
        <v>14.277887006966159</v>
      </c>
      <c r="BL153" s="1538">
        <v>14.354523217429389</v>
      </c>
      <c r="BM153" s="1538">
        <v>14.422221698840277</v>
      </c>
      <c r="BN153" s="1538">
        <v>14.490239458315362</v>
      </c>
      <c r="BO153" s="1538">
        <v>14.558578001626712</v>
      </c>
      <c r="BP153" s="1538">
        <v>14.627238841647882</v>
      </c>
      <c r="BQ153" s="1538">
        <v>14.696223498387408</v>
      </c>
      <c r="BR153" s="1538">
        <v>14.75529333521281</v>
      </c>
      <c r="BS153" s="1538">
        <v>14.814600596681556</v>
      </c>
      <c r="BT153" s="1538">
        <v>14.874146237095607</v>
      </c>
      <c r="BU153" s="1538">
        <v>14.933931214592636</v>
      </c>
      <c r="BV153" s="1538">
        <v>14.993956491161448</v>
      </c>
      <c r="BW153" s="1538">
        <v>15.043740835540882</v>
      </c>
      <c r="BX153" s="1538">
        <v>15.093690478582264</v>
      </c>
      <c r="BY153" s="1538">
        <v>15.143805969125756</v>
      </c>
      <c r="BZ153" s="1538">
        <v>15.19408785783383</v>
      </c>
      <c r="CA153" s="1538">
        <v>15.244536697197322</v>
      </c>
      <c r="CB153" s="1538">
        <v>15.277067444573643</v>
      </c>
      <c r="CC153" s="1538">
        <v>15.309667610230484</v>
      </c>
      <c r="CD153" s="1538">
        <v>15.342337342301477</v>
      </c>
      <c r="CE153" s="1538">
        <v>15.375076789236356</v>
      </c>
      <c r="CF153" s="1538">
        <v>15.407886099801638</v>
      </c>
      <c r="CG153" s="1538">
        <v>15.41853907481957</v>
      </c>
      <c r="CH153" s="1538">
        <v>15.42919941527855</v>
      </c>
      <c r="CI153" s="1538">
        <v>15.439867126271025</v>
      </c>
      <c r="CJ153" s="1538">
        <v>15.450542212892964</v>
      </c>
      <c r="CK153" s="1538">
        <v>15.461224680243861</v>
      </c>
      <c r="CL153" s="1538">
        <v>15.464845562477739</v>
      </c>
      <c r="CM153" s="1538">
        <v>15.468467292690251</v>
      </c>
      <c r="CN153" s="1538">
        <v>15.472089871079984</v>
      </c>
      <c r="CO153" s="1538">
        <v>15.475713297845573</v>
      </c>
      <c r="CP153" s="1538">
        <v>15.479337573185701</v>
      </c>
      <c r="CQ153" s="1538">
        <v>15.484830510437597</v>
      </c>
      <c r="CR153" s="1538">
        <v>15.490325396891745</v>
      </c>
      <c r="CS153" s="1538">
        <v>15.49582223323983</v>
      </c>
      <c r="CT153" s="1538">
        <v>15.501321020173785</v>
      </c>
      <c r="CU153" s="1538">
        <v>15.506821758385787</v>
      </c>
      <c r="CV153" s="1538">
        <v>15.515287417782641</v>
      </c>
      <c r="CW153" s="1538">
        <v>15.523757698847955</v>
      </c>
      <c r="CX153" s="1538">
        <v>15.532232604104841</v>
      </c>
      <c r="CY153" s="1538">
        <v>15.540712136077792</v>
      </c>
      <c r="CZ153" s="1539">
        <v>15.549196297292674</v>
      </c>
    </row>
    <row r="154" spans="1:104" x14ac:dyDescent="0.25">
      <c r="A154" s="1537" t="s">
        <v>1084</v>
      </c>
      <c r="B154" s="1538"/>
      <c r="C154" s="1538"/>
      <c r="D154" s="1538"/>
      <c r="E154" s="1538"/>
      <c r="F154" s="1538"/>
      <c r="G154" s="1538"/>
      <c r="H154" s="1538">
        <v>11.934322920018829</v>
      </c>
      <c r="I154" s="1538">
        <v>13.90423046997279</v>
      </c>
      <c r="J154" s="1538">
        <v>14.274140536522257</v>
      </c>
      <c r="K154" s="1538">
        <v>13.139550648884942</v>
      </c>
      <c r="L154" s="1538">
        <v>13.897221248926272</v>
      </c>
      <c r="M154" s="1538">
        <v>11.345666428533674</v>
      </c>
      <c r="N154" s="1538">
        <v>10.551848524158197</v>
      </c>
      <c r="O154" s="1538">
        <v>9.7270239269114924</v>
      </c>
      <c r="P154" s="1538">
        <v>8.6825570363966911</v>
      </c>
      <c r="Q154" s="1538">
        <v>8.5236392646415098</v>
      </c>
      <c r="R154" s="1538">
        <v>9.2232797097563566</v>
      </c>
      <c r="S154" s="1538">
        <v>7.6085885488542795</v>
      </c>
      <c r="T154" s="1538">
        <v>6.813801352724405</v>
      </c>
      <c r="U154" s="1538">
        <v>7.4731047451509687</v>
      </c>
      <c r="V154" s="1538">
        <v>7.9843107853990691</v>
      </c>
      <c r="W154" s="1538">
        <v>8.5650780622071245</v>
      </c>
      <c r="X154" s="1538">
        <v>9.1477570858798014</v>
      </c>
      <c r="Y154" s="1538">
        <v>9.2514909161219876</v>
      </c>
      <c r="Z154" s="1538">
        <v>9.3094669856386769</v>
      </c>
      <c r="AA154" s="1538">
        <v>9.3761326413005577</v>
      </c>
      <c r="AB154" s="1538">
        <v>9.4891655040111615</v>
      </c>
      <c r="AC154" s="1538">
        <v>9.6143446414218783</v>
      </c>
      <c r="AD154" s="1538">
        <v>9.7258827967425425</v>
      </c>
      <c r="AE154" s="1538">
        <v>10.087086372666475</v>
      </c>
      <c r="AF154" s="1538">
        <v>10.198695614261233</v>
      </c>
      <c r="AG154" s="1538">
        <v>10.304737378868989</v>
      </c>
      <c r="AH154" s="1538">
        <v>10.357640731866367</v>
      </c>
      <c r="AI154" s="1538">
        <v>10.427655972763532</v>
      </c>
      <c r="AJ154" s="1538">
        <v>10.453569289213085</v>
      </c>
      <c r="AK154" s="1538">
        <v>10.441948105124277</v>
      </c>
      <c r="AL154" s="1538">
        <v>10.506270757192036</v>
      </c>
      <c r="AM154" s="1538">
        <v>10.658282593530579</v>
      </c>
      <c r="AN154" s="1538">
        <v>10.722901912315555</v>
      </c>
      <c r="AO154" s="1538">
        <v>10.786351624937444</v>
      </c>
      <c r="AP154" s="1538">
        <v>10.817805879498341</v>
      </c>
      <c r="AQ154" s="1538">
        <v>10.86596540847121</v>
      </c>
      <c r="AR154" s="1538">
        <v>10.838793391061706</v>
      </c>
      <c r="AS154" s="1538">
        <v>10.868085675073171</v>
      </c>
      <c r="AT154" s="1538">
        <v>10.937640276914211</v>
      </c>
      <c r="AU154" s="1538">
        <v>11.027299024885883</v>
      </c>
      <c r="AV154" s="1538">
        <v>11.114692490256441</v>
      </c>
      <c r="AW154" s="1538">
        <v>11.212257927541287</v>
      </c>
      <c r="AX154" s="1538">
        <v>11.293368314098968</v>
      </c>
      <c r="AY154" s="1538">
        <v>11.35816487466068</v>
      </c>
      <c r="AZ154" s="1538">
        <v>11.46581792814789</v>
      </c>
      <c r="BA154" s="1538">
        <v>11.521194135666732</v>
      </c>
      <c r="BB154" s="1538">
        <v>11.628119265707223</v>
      </c>
      <c r="BC154" s="1538">
        <v>11.692763949840026</v>
      </c>
      <c r="BD154" s="1538">
        <v>11.757768015837698</v>
      </c>
      <c r="BE154" s="1538">
        <v>11.823133461626696</v>
      </c>
      <c r="BF154" s="1538">
        <v>11.888862296240635</v>
      </c>
      <c r="BG154" s="1538">
        <v>11.954956539882032</v>
      </c>
      <c r="BH154" s="1538">
        <v>12.019124477688386</v>
      </c>
      <c r="BI154" s="1538">
        <v>12.083636835336717</v>
      </c>
      <c r="BJ154" s="1538">
        <v>12.148495461492134</v>
      </c>
      <c r="BK154" s="1538">
        <v>12.213702214742405</v>
      </c>
      <c r="BL154" s="1538">
        <v>12.279258963651227</v>
      </c>
      <c r="BM154" s="1538">
        <v>12.337170130194249</v>
      </c>
      <c r="BN154" s="1538">
        <v>12.395354416085945</v>
      </c>
      <c r="BO154" s="1538">
        <v>12.453813109405683</v>
      </c>
      <c r="BP154" s="1538">
        <v>12.512547504307637</v>
      </c>
      <c r="BQ154" s="1538">
        <v>12.571558901049444</v>
      </c>
      <c r="BR154" s="1538">
        <v>12.622088884688262</v>
      </c>
      <c r="BS154" s="1538">
        <v>12.672821967979766</v>
      </c>
      <c r="BT154" s="1538">
        <v>12.723758967260437</v>
      </c>
      <c r="BU154" s="1538">
        <v>12.774900702147928</v>
      </c>
      <c r="BV154" s="1538">
        <v>12.826247995554251</v>
      </c>
      <c r="BW154" s="1538">
        <v>12.868834910334423</v>
      </c>
      <c r="BX154" s="1538">
        <v>12.911563226193937</v>
      </c>
      <c r="BY154" s="1538">
        <v>12.954433412625956</v>
      </c>
      <c r="BZ154" s="1538">
        <v>12.997445940682496</v>
      </c>
      <c r="CA154" s="1538">
        <v>13.040601282979605</v>
      </c>
      <c r="CB154" s="1538">
        <v>13.06842899033459</v>
      </c>
      <c r="CC154" s="1538">
        <v>13.096316080020177</v>
      </c>
      <c r="CD154" s="1538">
        <v>13.124262678753999</v>
      </c>
      <c r="CE154" s="1538">
        <v>13.152268913524093</v>
      </c>
      <c r="CF154" s="1538">
        <v>13.180334911589481</v>
      </c>
      <c r="CG154" s="1538">
        <v>13.189447763127433</v>
      </c>
      <c r="CH154" s="1538">
        <v>13.198566915268799</v>
      </c>
      <c r="CI154" s="1538">
        <v>13.207692372369801</v>
      </c>
      <c r="CJ154" s="1538">
        <v>13.216824138789674</v>
      </c>
      <c r="CK154" s="1538">
        <v>13.225962218890665</v>
      </c>
      <c r="CL154" s="1538">
        <v>13.22905962240266</v>
      </c>
      <c r="CM154" s="1538">
        <v>13.232157751299196</v>
      </c>
      <c r="CN154" s="1538">
        <v>13.23525660575015</v>
      </c>
      <c r="CO154" s="1538">
        <v>13.23835618592544</v>
      </c>
      <c r="CP154" s="1538">
        <v>13.241456491995026</v>
      </c>
      <c r="CQ154" s="1538">
        <v>13.246155303510076</v>
      </c>
      <c r="CR154" s="1538">
        <v>13.250855782427021</v>
      </c>
      <c r="CS154" s="1538">
        <v>13.255557929337549</v>
      </c>
      <c r="CT154" s="1538">
        <v>13.260261744833558</v>
      </c>
      <c r="CU154" s="1538">
        <v>13.264967229507157</v>
      </c>
      <c r="CV154" s="1538">
        <v>13.272208990341527</v>
      </c>
      <c r="CW154" s="1538">
        <v>13.279454704679821</v>
      </c>
      <c r="CX154" s="1538">
        <v>13.286704374680379</v>
      </c>
      <c r="CY154" s="1538">
        <v>13.293958002502723</v>
      </c>
      <c r="CZ154" s="1539">
        <v>13.30121559030755</v>
      </c>
    </row>
    <row r="155" spans="1:104" x14ac:dyDescent="0.25">
      <c r="A155" s="1537" t="s">
        <v>283</v>
      </c>
      <c r="B155" s="1538"/>
      <c r="C155" s="1538"/>
      <c r="D155" s="1538"/>
      <c r="E155" s="1538"/>
      <c r="F155" s="1538"/>
      <c r="G155" s="1538"/>
      <c r="H155" s="1538">
        <v>8.2641705904266125</v>
      </c>
      <c r="I155" s="1538">
        <v>10.495609596381577</v>
      </c>
      <c r="J155" s="1538">
        <v>9.3614571685358463</v>
      </c>
      <c r="K155" s="1538">
        <v>8.8987432965993278</v>
      </c>
      <c r="L155" s="1538">
        <v>10.965509816201024</v>
      </c>
      <c r="M155" s="1538">
        <v>6.0111731674040234</v>
      </c>
      <c r="N155" s="1538">
        <v>6.1171751211856922</v>
      </c>
      <c r="O155" s="1538">
        <v>5.6004077154944953</v>
      </c>
      <c r="P155" s="1538">
        <v>4.1590520124961925</v>
      </c>
      <c r="Q155" s="1538">
        <v>4.894763142071362</v>
      </c>
      <c r="R155" s="1538">
        <v>5.8241384234641265</v>
      </c>
      <c r="S155" s="1538">
        <v>3.5390282601113117</v>
      </c>
      <c r="T155" s="1538">
        <v>3.3168400539876552</v>
      </c>
      <c r="U155" s="1538">
        <v>3.8686572087168831</v>
      </c>
      <c r="V155" s="1538">
        <v>4.230424735748624</v>
      </c>
      <c r="W155" s="1538">
        <v>4.6374903322667231</v>
      </c>
      <c r="X155" s="1538">
        <v>5.0398775041324821</v>
      </c>
      <c r="Y155" s="1538">
        <v>5.0452222441273262</v>
      </c>
      <c r="Z155" s="1538">
        <v>4.9894479534735598</v>
      </c>
      <c r="AA155" s="1538">
        <v>5.0008757828968315</v>
      </c>
      <c r="AB155" s="1538">
        <v>5.0866427943161305</v>
      </c>
      <c r="AC155" s="1538">
        <v>5.1985543895300337</v>
      </c>
      <c r="AD155" s="1538">
        <v>5.3142743134013735</v>
      </c>
      <c r="AE155" s="1538">
        <v>5.4069765017212355</v>
      </c>
      <c r="AF155" s="1538">
        <v>5.498883471588238</v>
      </c>
      <c r="AG155" s="1538">
        <v>5.5761078084954727</v>
      </c>
      <c r="AH155" s="1538">
        <v>5.5953977798334869</v>
      </c>
      <c r="AI155" s="1538">
        <v>5.6194116710392619</v>
      </c>
      <c r="AJ155" s="1538">
        <v>5.6053299540498323</v>
      </c>
      <c r="AK155" s="1538">
        <v>5.5496627667157004</v>
      </c>
      <c r="AL155" s="1538">
        <v>5.5482476759527453</v>
      </c>
      <c r="AM155" s="1538">
        <v>5.6344516310034729</v>
      </c>
      <c r="AN155" s="1538">
        <v>5.6381945602887429</v>
      </c>
      <c r="AO155" s="1538">
        <v>5.6485162872871211</v>
      </c>
      <c r="AP155" s="1538">
        <v>5.6430123140383071</v>
      </c>
      <c r="AQ155" s="1538">
        <v>5.6644386648670784</v>
      </c>
      <c r="AR155" s="1538">
        <v>5.6215300420072483</v>
      </c>
      <c r="AS155" s="1538">
        <v>5.6260767200982693</v>
      </c>
      <c r="AT155" s="1538">
        <v>5.6802473044084865</v>
      </c>
      <c r="AU155" s="1538">
        <v>5.7631623345111542</v>
      </c>
      <c r="AV155" s="1538">
        <v>5.819991545472468</v>
      </c>
      <c r="AW155" s="1538">
        <v>5.8947240715184783</v>
      </c>
      <c r="AX155" s="1538">
        <v>5.9518546882819487</v>
      </c>
      <c r="AY155" s="1538">
        <v>6.0145186606208574</v>
      </c>
      <c r="AZ155" s="1538">
        <v>6.1247620979360331</v>
      </c>
      <c r="BA155" s="1538">
        <v>6.1606322318436177</v>
      </c>
      <c r="BB155" s="1538">
        <v>6.238633778680942</v>
      </c>
      <c r="BC155" s="1538">
        <v>6.2733164733478626</v>
      </c>
      <c r="BD155" s="1538">
        <v>6.3081919809530058</v>
      </c>
      <c r="BE155" s="1538">
        <v>6.3432613734093088</v>
      </c>
      <c r="BF155" s="1538">
        <v>6.3785257285888406</v>
      </c>
      <c r="BG155" s="1538">
        <v>6.4139861303559274</v>
      </c>
      <c r="BH155" s="1538">
        <v>6.4484130445592944</v>
      </c>
      <c r="BI155" s="1538">
        <v>6.4830247443854354</v>
      </c>
      <c r="BJ155" s="1538">
        <v>6.5178222216666768</v>
      </c>
      <c r="BK155" s="1538">
        <v>6.5528064735589808</v>
      </c>
      <c r="BL155" s="1538">
        <v>6.5879785025705191</v>
      </c>
      <c r="BM155" s="1538">
        <v>6.6190485794679574</v>
      </c>
      <c r="BN155" s="1538">
        <v>6.6502651883672899</v>
      </c>
      <c r="BO155" s="1538">
        <v>6.6816290203394662</v>
      </c>
      <c r="BP155" s="1538">
        <v>6.7131407697146503</v>
      </c>
      <c r="BQ155" s="1538">
        <v>6.7448011340975915</v>
      </c>
      <c r="BR155" s="1538">
        <v>6.7719111125525773</v>
      </c>
      <c r="BS155" s="1538">
        <v>6.7991300565526132</v>
      </c>
      <c r="BT155" s="1538">
        <v>6.8264584040725946</v>
      </c>
      <c r="BU155" s="1538">
        <v>6.8538965948478108</v>
      </c>
      <c r="BV155" s="1538">
        <v>6.8814450703810159</v>
      </c>
      <c r="BW155" s="1538">
        <v>6.904293491437457</v>
      </c>
      <c r="BX155" s="1538">
        <v>6.9272177759701634</v>
      </c>
      <c r="BY155" s="1538">
        <v>6.9502181758681845</v>
      </c>
      <c r="BZ155" s="1538">
        <v>6.9732949438569127</v>
      </c>
      <c r="CA155" s="1538">
        <v>6.996448333500866</v>
      </c>
      <c r="CB155" s="1538">
        <v>7.0113782521851409</v>
      </c>
      <c r="CC155" s="1538">
        <v>7.0263400302445289</v>
      </c>
      <c r="CD155" s="1538">
        <v>7.0413337356646508</v>
      </c>
      <c r="CE155" s="1538">
        <v>7.0563594365762032</v>
      </c>
      <c r="CF155" s="1538">
        <v>7.0714172012552687</v>
      </c>
      <c r="CG155" s="1538">
        <v>7.0763063619291211</v>
      </c>
      <c r="CH155" s="1538">
        <v>7.0811989029567863</v>
      </c>
      <c r="CI155" s="1538">
        <v>7.0860948266754322</v>
      </c>
      <c r="CJ155" s="1538">
        <v>7.090994135423843</v>
      </c>
      <c r="CK155" s="1538">
        <v>7.0958968315424205</v>
      </c>
      <c r="CL155" s="1538">
        <v>7.0975586278944007</v>
      </c>
      <c r="CM155" s="1538">
        <v>7.0992208134244059</v>
      </c>
      <c r="CN155" s="1538">
        <v>7.1008833882235782</v>
      </c>
      <c r="CO155" s="1538">
        <v>7.1025463523830812</v>
      </c>
      <c r="CP155" s="1538">
        <v>7.1042097059940996</v>
      </c>
      <c r="CQ155" s="1538">
        <v>7.1067306780935082</v>
      </c>
      <c r="CR155" s="1538">
        <v>7.1092525447752264</v>
      </c>
      <c r="CS155" s="1538">
        <v>7.1117753063567024</v>
      </c>
      <c r="CT155" s="1538">
        <v>7.1142989631554965</v>
      </c>
      <c r="CU155" s="1538">
        <v>7.1168235154892816</v>
      </c>
      <c r="CV155" s="1538">
        <v>7.1207088122192239</v>
      </c>
      <c r="CW155" s="1538">
        <v>7.1245962300542702</v>
      </c>
      <c r="CX155" s="1538">
        <v>7.1284857701523974</v>
      </c>
      <c r="CY155" s="1538">
        <v>7.1323774336722154</v>
      </c>
      <c r="CZ155" s="1539">
        <v>7.1362712217729669</v>
      </c>
    </row>
    <row r="156" spans="1:104" x14ac:dyDescent="0.25">
      <c r="A156" s="1537" t="s">
        <v>1085</v>
      </c>
      <c r="B156" s="1538"/>
      <c r="C156" s="1538"/>
      <c r="D156" s="1538"/>
      <c r="E156" s="1538"/>
      <c r="F156" s="1538"/>
      <c r="G156" s="1538"/>
      <c r="H156" s="1538">
        <v>8.4160389626855991</v>
      </c>
      <c r="I156" s="1538">
        <v>10.630483084185546</v>
      </c>
      <c r="J156" s="1538">
        <v>10.241695834954719</v>
      </c>
      <c r="K156" s="1538">
        <v>9.4549147526367854</v>
      </c>
      <c r="L156" s="1538">
        <v>10.431438353650302</v>
      </c>
      <c r="M156" s="1538">
        <v>7.3081429877632402</v>
      </c>
      <c r="N156" s="1538">
        <v>6.8860004096407268</v>
      </c>
      <c r="O156" s="1538">
        <v>6.1462564207083838</v>
      </c>
      <c r="P156" s="1538">
        <v>5.0701845410069568</v>
      </c>
      <c r="Q156" s="1538">
        <v>5.147940545971605</v>
      </c>
      <c r="R156" s="1538">
        <v>5.9174075441245835</v>
      </c>
      <c r="S156" s="1538">
        <v>4.3672641892083037</v>
      </c>
      <c r="T156" s="1538">
        <v>3.755553639162041</v>
      </c>
      <c r="U156" s="1538">
        <v>3.3468214009493336</v>
      </c>
      <c r="V156" s="1538">
        <v>3.6078009129373227</v>
      </c>
      <c r="W156" s="1538">
        <v>3.9595869792693468</v>
      </c>
      <c r="X156" s="1538">
        <v>4.2992239274502966</v>
      </c>
      <c r="Y156" s="1538">
        <v>4.3362295461094007</v>
      </c>
      <c r="Z156" s="1538">
        <v>4.2972619462853157</v>
      </c>
      <c r="AA156" s="1538">
        <v>4.3209431537283329</v>
      </c>
      <c r="AB156" s="1538">
        <v>4.4388231525151278</v>
      </c>
      <c r="AC156" s="1538">
        <v>4.5598555906037213</v>
      </c>
      <c r="AD156" s="1538">
        <v>4.6705511366221319</v>
      </c>
      <c r="AE156" s="1538">
        <v>4.7905826799714895</v>
      </c>
      <c r="AF156" s="1538">
        <v>4.8909868291351355</v>
      </c>
      <c r="AG156" s="1538">
        <v>4.9795195705251665</v>
      </c>
      <c r="AH156" s="1538">
        <v>5.0140428564929254</v>
      </c>
      <c r="AI156" s="1538">
        <v>5.034241784322349</v>
      </c>
      <c r="AJ156" s="1538">
        <v>5.0303794300966009</v>
      </c>
      <c r="AK156" s="1538">
        <v>4.9817061843162831</v>
      </c>
      <c r="AL156" s="1538">
        <v>5.005816752854825</v>
      </c>
      <c r="AM156" s="1538">
        <v>5.1117353012541518</v>
      </c>
      <c r="AN156" s="1538">
        <v>5.1218001698488047</v>
      </c>
      <c r="AO156" s="1538">
        <v>5.1563490468752367</v>
      </c>
      <c r="AP156" s="1538">
        <v>5.1654177598155924</v>
      </c>
      <c r="AQ156" s="1538">
        <v>5.1952502995101684</v>
      </c>
      <c r="AR156" s="1538">
        <v>5.1548078964528896</v>
      </c>
      <c r="AS156" s="1538">
        <v>5.1691436283950809</v>
      </c>
      <c r="AT156" s="1538">
        <v>5.2239208155775625</v>
      </c>
      <c r="AU156" s="1538">
        <v>5.3036701369405987</v>
      </c>
      <c r="AV156" s="1538">
        <v>5.3698761013633396</v>
      </c>
      <c r="AW156" s="1538">
        <v>5.4477553798092231</v>
      </c>
      <c r="AX156" s="1538">
        <v>5.5105548899774046</v>
      </c>
      <c r="AY156" s="1538">
        <v>5.5735610242489493</v>
      </c>
      <c r="AZ156" s="1538">
        <v>5.6745566112130543</v>
      </c>
      <c r="BA156" s="1538">
        <v>5.7069198222653581</v>
      </c>
      <c r="BB156" s="1538">
        <v>5.8107835034348891</v>
      </c>
      <c r="BC156" s="1538">
        <v>5.8430876323795795</v>
      </c>
      <c r="BD156" s="1538">
        <v>5.8755713510037442</v>
      </c>
      <c r="BE156" s="1538">
        <v>5.9082356577077126</v>
      </c>
      <c r="BF156" s="1538">
        <v>5.9410815564422617</v>
      </c>
      <c r="BG156" s="1538">
        <v>5.974110056739474</v>
      </c>
      <c r="BH156" s="1538">
        <v>6.006175946840397</v>
      </c>
      <c r="BI156" s="1538">
        <v>6.0384139498247791</v>
      </c>
      <c r="BJ156" s="1538">
        <v>6.0708249895043265</v>
      </c>
      <c r="BK156" s="1538">
        <v>6.1034099946492821</v>
      </c>
      <c r="BL156" s="1538">
        <v>6.1361698990150408</v>
      </c>
      <c r="BM156" s="1538">
        <v>6.1651091662794615</v>
      </c>
      <c r="BN156" s="1538">
        <v>6.1941849162690321</v>
      </c>
      <c r="BO156" s="1538">
        <v>6.2233977926605295</v>
      </c>
      <c r="BP156" s="1538">
        <v>6.2527484421664239</v>
      </c>
      <c r="BQ156" s="1538">
        <v>6.2822375145491964</v>
      </c>
      <c r="BR156" s="1538">
        <v>6.3074882699506478</v>
      </c>
      <c r="BS156" s="1538">
        <v>6.3328405179567433</v>
      </c>
      <c r="BT156" s="1538">
        <v>6.3582946665057261</v>
      </c>
      <c r="BU156" s="1538">
        <v>6.3838511251755019</v>
      </c>
      <c r="BV156" s="1538">
        <v>6.4095103051902287</v>
      </c>
      <c r="BW156" s="1538">
        <v>6.4307917640583545</v>
      </c>
      <c r="BX156" s="1538">
        <v>6.4521438836275307</v>
      </c>
      <c r="BY156" s="1538">
        <v>6.473566898512062</v>
      </c>
      <c r="BZ156" s="1538">
        <v>6.4950610441052419</v>
      </c>
      <c r="CA156" s="1538">
        <v>6.5166265565819383</v>
      </c>
      <c r="CB156" s="1538">
        <v>6.5305325700258869</v>
      </c>
      <c r="CC156" s="1538">
        <v>6.5444682579046409</v>
      </c>
      <c r="CD156" s="1538">
        <v>6.5584336835413142</v>
      </c>
      <c r="CE156" s="1538">
        <v>6.5724289103941489</v>
      </c>
      <c r="CF156" s="1538">
        <v>6.5864540020568016</v>
      </c>
      <c r="CG156" s="1538">
        <v>6.5910078603528843</v>
      </c>
      <c r="CH156" s="1538">
        <v>6.5955648671755291</v>
      </c>
      <c r="CI156" s="1538">
        <v>6.6001250247016205</v>
      </c>
      <c r="CJ156" s="1538">
        <v>6.6046883351095476</v>
      </c>
      <c r="CK156" s="1538">
        <v>6.6092548005792047</v>
      </c>
      <c r="CL156" s="1538">
        <v>6.6108026296665843</v>
      </c>
      <c r="CM156" s="1538">
        <v>6.6123508212418631</v>
      </c>
      <c r="CN156" s="1538">
        <v>6.6138993753899316</v>
      </c>
      <c r="CO156" s="1538">
        <v>6.6154482921957012</v>
      </c>
      <c r="CP156" s="1538">
        <v>6.6169975717441041</v>
      </c>
      <c r="CQ156" s="1538">
        <v>6.6193456536491393</v>
      </c>
      <c r="CR156" s="1538">
        <v>6.6216945687853457</v>
      </c>
      <c r="CS156" s="1538">
        <v>6.6240443174483996</v>
      </c>
      <c r="CT156" s="1538">
        <v>6.6263948999340831</v>
      </c>
      <c r="CU156" s="1538">
        <v>6.6287463165382841</v>
      </c>
      <c r="CV156" s="1538">
        <v>6.6323651566473876</v>
      </c>
      <c r="CW156" s="1538">
        <v>6.6359859723945851</v>
      </c>
      <c r="CX156" s="1538">
        <v>6.6396087648584388</v>
      </c>
      <c r="CY156" s="1538">
        <v>6.6432335351180996</v>
      </c>
      <c r="CZ156" s="1539">
        <v>6.6468602842533091</v>
      </c>
    </row>
    <row r="157" spans="1:104" x14ac:dyDescent="0.25">
      <c r="A157" s="1537" t="s">
        <v>1080</v>
      </c>
      <c r="B157" s="1538"/>
      <c r="C157" s="1538"/>
      <c r="D157" s="1538"/>
      <c r="E157" s="1538"/>
      <c r="F157" s="1538"/>
      <c r="G157" s="1538"/>
      <c r="H157" s="1538">
        <v>5.0967849132778742</v>
      </c>
      <c r="I157" s="1538">
        <v>5.0967849132778742</v>
      </c>
      <c r="J157" s="1538">
        <v>5.0967849132778742</v>
      </c>
      <c r="K157" s="1538">
        <v>5.0967849132778742</v>
      </c>
      <c r="L157" s="1538">
        <v>5.0967849132778742</v>
      </c>
      <c r="M157" s="1538">
        <v>5.0967849132778742</v>
      </c>
      <c r="N157" s="1538">
        <v>5.0967849132778742</v>
      </c>
      <c r="O157" s="1538">
        <v>5.0967849132778742</v>
      </c>
      <c r="P157" s="1538">
        <v>5.0967849132778742</v>
      </c>
      <c r="Q157" s="1538">
        <v>5.0967849132778742</v>
      </c>
      <c r="R157" s="1538">
        <v>5.0967849132778742</v>
      </c>
      <c r="S157" s="1538">
        <v>5.0967849132778742</v>
      </c>
      <c r="T157" s="1538">
        <v>5.0967849132778742</v>
      </c>
      <c r="U157" s="1538">
        <v>5.0967849132778742</v>
      </c>
      <c r="V157" s="1538">
        <v>5.0967849132778742</v>
      </c>
      <c r="W157" s="1538">
        <v>5.0967849132778742</v>
      </c>
      <c r="X157" s="1538">
        <v>5.0967849132778742</v>
      </c>
      <c r="Y157" s="1538">
        <v>5.0967849132778742</v>
      </c>
      <c r="Z157" s="1538">
        <v>5.0967849132778742</v>
      </c>
      <c r="AA157" s="1538">
        <v>5.0967849132778742</v>
      </c>
      <c r="AB157" s="1538">
        <v>5.0967849132778742</v>
      </c>
      <c r="AC157" s="1538">
        <v>5.0967849132778742</v>
      </c>
      <c r="AD157" s="1538">
        <v>5.0967849132778742</v>
      </c>
      <c r="AE157" s="1538">
        <v>5.0967849132778742</v>
      </c>
      <c r="AF157" s="1538">
        <v>5.0967849132778742</v>
      </c>
      <c r="AG157" s="1538">
        <v>5.0967849132778742</v>
      </c>
      <c r="AH157" s="1538">
        <v>5.0967849132778742</v>
      </c>
      <c r="AI157" s="1538">
        <v>5.0967849132778742</v>
      </c>
      <c r="AJ157" s="1538">
        <v>5.0967849132778742</v>
      </c>
      <c r="AK157" s="1538">
        <v>5.0967849132778742</v>
      </c>
      <c r="AL157" s="1538">
        <v>5.0967849132778742</v>
      </c>
      <c r="AM157" s="1538">
        <v>5.0967849132778742</v>
      </c>
      <c r="AN157" s="1538">
        <v>5.0967849132778742</v>
      </c>
      <c r="AO157" s="1538">
        <v>5.0967849132778742</v>
      </c>
      <c r="AP157" s="1538">
        <v>5.0967849132778742</v>
      </c>
      <c r="AQ157" s="1538">
        <v>5.0967849132778742</v>
      </c>
      <c r="AR157" s="1538">
        <v>5.0967849132778742</v>
      </c>
      <c r="AS157" s="1538">
        <v>5.0967849132778742</v>
      </c>
      <c r="AT157" s="1538">
        <v>5.0967849132778742</v>
      </c>
      <c r="AU157" s="1538">
        <v>5.0967849132778742</v>
      </c>
      <c r="AV157" s="1538">
        <v>5.0967849132778742</v>
      </c>
      <c r="AW157" s="1538">
        <v>5.0967849132778742</v>
      </c>
      <c r="AX157" s="1538">
        <v>5.0967849132778742</v>
      </c>
      <c r="AY157" s="1538">
        <v>5.0967849132778742</v>
      </c>
      <c r="AZ157" s="1538">
        <v>5.0967849132778742</v>
      </c>
      <c r="BA157" s="1538">
        <v>5.0967849132778742</v>
      </c>
      <c r="BB157" s="1538">
        <v>5.0967849132778742</v>
      </c>
      <c r="BC157" s="1538">
        <v>5.1179587571540939</v>
      </c>
      <c r="BD157" s="1538">
        <v>5.1392205646528959</v>
      </c>
      <c r="BE157" s="1538">
        <v>5.1605707012062227</v>
      </c>
      <c r="BF157" s="1538">
        <v>5.1820095337641501</v>
      </c>
      <c r="BG157" s="1538">
        <v>5.2035374308011946</v>
      </c>
      <c r="BH157" s="1538">
        <v>5.2223240063357927</v>
      </c>
      <c r="BI157" s="1538">
        <v>5.2411784079262249</v>
      </c>
      <c r="BJ157" s="1538">
        <v>5.2601008804480855</v>
      </c>
      <c r="BK157" s="1538">
        <v>5.2790916696610548</v>
      </c>
      <c r="BL157" s="1538">
        <v>5.2981510222120916</v>
      </c>
      <c r="BM157" s="1538">
        <v>5.3113630812048802</v>
      </c>
      <c r="BN157" s="1538">
        <v>5.3246080872582748</v>
      </c>
      <c r="BO157" s="1538">
        <v>5.3378861225327325</v>
      </c>
      <c r="BP157" s="1538">
        <v>5.3511972693935945</v>
      </c>
      <c r="BQ157" s="1538">
        <v>5.3645416104115968</v>
      </c>
      <c r="BR157" s="1538">
        <v>5.3779717491778074</v>
      </c>
      <c r="BS157" s="1538">
        <v>5.3914355103185612</v>
      </c>
      <c r="BT157" s="1538">
        <v>5.4049329780075288</v>
      </c>
      <c r="BU157" s="1538">
        <v>5.4184642366291094</v>
      </c>
      <c r="BV157" s="1538">
        <v>5.4320293707789578</v>
      </c>
      <c r="BW157" s="1538">
        <v>5.4450858323773135</v>
      </c>
      <c r="BX157" s="1538">
        <v>5.458173676572823</v>
      </c>
      <c r="BY157" s="1538">
        <v>5.471292978796904</v>
      </c>
      <c r="BZ157" s="1538">
        <v>5.4844438146622805</v>
      </c>
      <c r="CA157" s="1538">
        <v>5.4976262599634209</v>
      </c>
      <c r="CB157" s="1538">
        <v>5.509165721372697</v>
      </c>
      <c r="CC157" s="1538">
        <v>5.5207294039936956</v>
      </c>
      <c r="CD157" s="1538">
        <v>5.5323173586664938</v>
      </c>
      <c r="CE157" s="1538">
        <v>5.5439296363378796</v>
      </c>
      <c r="CF157" s="1538">
        <v>5.5555662880615797</v>
      </c>
      <c r="CG157" s="1538">
        <v>5.5698816197819898</v>
      </c>
      <c r="CH157" s="1538">
        <v>5.5842338386011479</v>
      </c>
      <c r="CI157" s="1538">
        <v>5.598623039568059</v>
      </c>
      <c r="CJ157" s="1538">
        <v>5.6130493179766479</v>
      </c>
      <c r="CK157" s="1538">
        <v>5.6275127693663878</v>
      </c>
      <c r="CL157" s="1538">
        <v>5.6395580019552014</v>
      </c>
      <c r="CM157" s="1538">
        <v>5.6516290163830023</v>
      </c>
      <c r="CN157" s="1538">
        <v>5.6637258678337163</v>
      </c>
      <c r="CO157" s="1538">
        <v>5.6758486116093856</v>
      </c>
      <c r="CP157" s="1538">
        <v>5.6879973031304223</v>
      </c>
      <c r="CQ157" s="1538">
        <v>5.6991168854631553</v>
      </c>
      <c r="CR157" s="1538">
        <v>5.7102582056949531</v>
      </c>
      <c r="CS157" s="1538">
        <v>5.7214213063216786</v>
      </c>
      <c r="CT157" s="1538">
        <v>5.732606229922272</v>
      </c>
      <c r="CU157" s="1538">
        <v>5.7438130191589121</v>
      </c>
      <c r="CV157" s="1538">
        <v>5.7570440466225028</v>
      </c>
      <c r="CW157" s="1538">
        <v>5.7703055521130002</v>
      </c>
      <c r="CX157" s="1538">
        <v>5.7835976058373566</v>
      </c>
      <c r="CY157" s="1538">
        <v>5.796920278164249</v>
      </c>
      <c r="CZ157" s="1539">
        <v>5.8102736396244499</v>
      </c>
    </row>
    <row r="158" spans="1:104" x14ac:dyDescent="0.25">
      <c r="A158" s="1537" t="s">
        <v>1086</v>
      </c>
      <c r="B158" s="1538"/>
      <c r="C158" s="1538"/>
      <c r="D158" s="1538"/>
      <c r="E158" s="1538"/>
      <c r="F158" s="1538"/>
      <c r="G158" s="1538"/>
      <c r="H158" s="1538" t="e">
        <v>#N/A</v>
      </c>
      <c r="I158" s="1538" t="e">
        <v>#N/A</v>
      </c>
      <c r="J158" s="1538" t="e">
        <v>#N/A</v>
      </c>
      <c r="K158" s="1538" t="e">
        <v>#N/A</v>
      </c>
      <c r="L158" s="1538">
        <v>2.2148742453355847</v>
      </c>
      <c r="M158" s="1538">
        <v>2.3408877437334223</v>
      </c>
      <c r="N158" s="1538">
        <v>2.3629142410275352</v>
      </c>
      <c r="O158" s="1538">
        <v>2.4181318326423913</v>
      </c>
      <c r="P158" s="1538">
        <v>2.3501923436687169</v>
      </c>
      <c r="Q158" s="1538">
        <v>2.2749877363600257</v>
      </c>
      <c r="R158" s="1538">
        <v>2.2671813119268305</v>
      </c>
      <c r="S158" s="1538">
        <v>2.0920368648072634</v>
      </c>
      <c r="T158" s="1538">
        <v>1.9706687398025258</v>
      </c>
      <c r="U158" s="1538">
        <v>2.067600203211962</v>
      </c>
      <c r="V158" s="1538">
        <v>2.1142782942327232</v>
      </c>
      <c r="W158" s="1538">
        <v>2.1573963846468813</v>
      </c>
      <c r="X158" s="1538">
        <v>2.1900363582596567</v>
      </c>
      <c r="Y158" s="1538">
        <v>2.1929897559939948</v>
      </c>
      <c r="Z158" s="1538">
        <v>2.2028650611910647</v>
      </c>
      <c r="AA158" s="1538">
        <v>2.2090827406317772</v>
      </c>
      <c r="AB158" s="1538">
        <v>2.2092997907220093</v>
      </c>
      <c r="AC158" s="1538">
        <v>2.2079918032786887</v>
      </c>
      <c r="AD158" s="1538">
        <v>2.2065492258230841</v>
      </c>
      <c r="AE158" s="1538">
        <v>2.1995552842692714</v>
      </c>
      <c r="AF158" s="1538">
        <v>2.1903510334996437</v>
      </c>
      <c r="AG158" s="1538">
        <v>2.1795345460335755</v>
      </c>
      <c r="AH158" s="1538">
        <v>2.1771697426487315</v>
      </c>
      <c r="AI158" s="1538">
        <v>2.177831318906295</v>
      </c>
      <c r="AJ158" s="1538">
        <v>2.1809505846135182</v>
      </c>
      <c r="AK158" s="1538">
        <v>2.1861806387528246</v>
      </c>
      <c r="AL158" s="1538">
        <v>2.1973402359685172</v>
      </c>
      <c r="AM158" s="1538">
        <v>2.2020565733003745</v>
      </c>
      <c r="AN158" s="1538">
        <v>2.2177912831167257</v>
      </c>
      <c r="AO158" s="1538">
        <v>2.2206593773221517</v>
      </c>
      <c r="AP158" s="1538">
        <v>2.2289385587115755</v>
      </c>
      <c r="AQ158" s="1538">
        <v>2.2351116907538557</v>
      </c>
      <c r="AR158" s="1538">
        <v>2.2481536525075447</v>
      </c>
      <c r="AS158" s="1538">
        <v>2.2492673374683427</v>
      </c>
      <c r="AT158" s="1538">
        <v>2.2496910116619402</v>
      </c>
      <c r="AU158" s="1538">
        <v>2.2544263053335558</v>
      </c>
      <c r="AV158" s="1538">
        <v>2.2540196918457411</v>
      </c>
      <c r="AW158" s="1538">
        <v>2.2546357728878843</v>
      </c>
      <c r="AX158" s="1538">
        <v>2.2490256441364247</v>
      </c>
      <c r="AY158" s="1538">
        <v>2.2531477002168603</v>
      </c>
      <c r="AZ158" s="1538">
        <v>2.2540841434009193</v>
      </c>
      <c r="BA158" s="1538">
        <v>2.2596705767276806</v>
      </c>
      <c r="BB158" s="1538">
        <v>2.2620458060993922</v>
      </c>
      <c r="BC158" s="1538">
        <v>2.2703711301923084</v>
      </c>
      <c r="BD158" s="1538">
        <v>2.2787270951418623</v>
      </c>
      <c r="BE158" s="1538">
        <v>2.2871138137198912</v>
      </c>
      <c r="BF158" s="1538">
        <v>2.2955313991132824</v>
      </c>
      <c r="BG158" s="1538">
        <v>2.3039799649255008</v>
      </c>
      <c r="BH158" s="1538">
        <v>2.3125787529279784</v>
      </c>
      <c r="BI158" s="1538">
        <v>2.3212096328567045</v>
      </c>
      <c r="BJ158" s="1538">
        <v>2.3298727244834101</v>
      </c>
      <c r="BK158" s="1538">
        <v>2.338568148026833</v>
      </c>
      <c r="BL158" s="1538">
        <v>2.3472960241543843</v>
      </c>
      <c r="BM158" s="1538">
        <v>2.3559838582312191</v>
      </c>
      <c r="BN158" s="1538">
        <v>2.3647038478010849</v>
      </c>
      <c r="BO158" s="1538">
        <v>2.3734561118781943</v>
      </c>
      <c r="BP158" s="1538">
        <v>2.3822407699172565</v>
      </c>
      <c r="BQ158" s="1538">
        <v>2.3910579418151077</v>
      </c>
      <c r="BR158" s="1538">
        <v>2.3997099382358895</v>
      </c>
      <c r="BS158" s="1538">
        <v>2.4083932417365861</v>
      </c>
      <c r="BT158" s="1538">
        <v>2.4171079656012542</v>
      </c>
      <c r="BU158" s="1538">
        <v>2.4258542235238663</v>
      </c>
      <c r="BV158" s="1538">
        <v>2.434632129609795</v>
      </c>
      <c r="BW158" s="1538">
        <v>2.4428635118796533</v>
      </c>
      <c r="BX158" s="1538">
        <v>2.4511227240845761</v>
      </c>
      <c r="BY158" s="1538">
        <v>2.4594098603163279</v>
      </c>
      <c r="BZ158" s="1538">
        <v>2.467725014984794</v>
      </c>
      <c r="CA158" s="1538">
        <v>2.476068282819055</v>
      </c>
      <c r="CB158" s="1538">
        <v>2.4831576550549128</v>
      </c>
      <c r="CC158" s="1538">
        <v>2.4902673252765117</v>
      </c>
      <c r="CD158" s="1538">
        <v>2.4973973516001715</v>
      </c>
      <c r="CE158" s="1538">
        <v>2.5045477923086086</v>
      </c>
      <c r="CF158" s="1538">
        <v>2.5117187058514112</v>
      </c>
      <c r="CG158" s="1538">
        <v>2.5171937058097216</v>
      </c>
      <c r="CH158" s="1538">
        <v>2.5226806400759916</v>
      </c>
      <c r="CI158" s="1538">
        <v>2.5281795346644143</v>
      </c>
      <c r="CJ158" s="1538">
        <v>2.5336904156458884</v>
      </c>
      <c r="CK158" s="1538">
        <v>2.539213309148141</v>
      </c>
      <c r="CL158" s="1538">
        <v>2.5429573704375228</v>
      </c>
      <c r="CM158" s="1538">
        <v>2.5467069523323964</v>
      </c>
      <c r="CN158" s="1538">
        <v>2.5504620629728754</v>
      </c>
      <c r="CO158" s="1538">
        <v>2.554222710511076</v>
      </c>
      <c r="CP158" s="1538">
        <v>2.5579889031111347</v>
      </c>
      <c r="CQ158" s="1538">
        <v>2.5592501421168059</v>
      </c>
      <c r="CR158" s="1538">
        <v>2.5605120029875006</v>
      </c>
      <c r="CS158" s="1538">
        <v>2.5617744860298348</v>
      </c>
      <c r="CT158" s="1538">
        <v>2.5630375915505756</v>
      </c>
      <c r="CU158" s="1538">
        <v>2.564301319856642</v>
      </c>
      <c r="CV158" s="1538">
        <v>2.5624850697467836</v>
      </c>
      <c r="CW158" s="1538">
        <v>2.5606701060553489</v>
      </c>
      <c r="CX158" s="1538">
        <v>2.5588564278711901</v>
      </c>
      <c r="CY158" s="1538">
        <v>2.5570440342838041</v>
      </c>
      <c r="CZ158" s="1539">
        <v>2.555232924383334</v>
      </c>
    </row>
    <row r="159" spans="1:104" x14ac:dyDescent="0.25">
      <c r="A159" s="1537" t="s">
        <v>683</v>
      </c>
      <c r="B159" s="1538"/>
      <c r="C159" s="1538"/>
      <c r="D159" s="1538"/>
      <c r="E159" s="1538"/>
      <c r="F159" s="1538"/>
      <c r="G159" s="1538"/>
      <c r="H159" s="1538">
        <v>28.373013628420669</v>
      </c>
      <c r="I159" s="1538">
        <v>29.17093293229123</v>
      </c>
      <c r="J159" s="1538">
        <v>30.878569780545078</v>
      </c>
      <c r="K159" s="1538">
        <v>30.682595180991225</v>
      </c>
      <c r="L159" s="1538">
        <v>31.992353762541459</v>
      </c>
      <c r="M159" s="1538">
        <v>31.4429334181984</v>
      </c>
      <c r="N159" s="1538">
        <v>31.156600892671783</v>
      </c>
      <c r="O159" s="1538">
        <v>30.676058322376605</v>
      </c>
      <c r="P159" s="1538">
        <v>29.679126186318804</v>
      </c>
      <c r="Q159" s="1538">
        <v>29.700131988890092</v>
      </c>
      <c r="R159" s="1538">
        <v>30.54196479432273</v>
      </c>
      <c r="S159" s="1538">
        <v>29.932211922183079</v>
      </c>
      <c r="T159" s="1538">
        <v>28.972214109999999</v>
      </c>
      <c r="U159" s="1538">
        <v>29.128232055928784</v>
      </c>
      <c r="V159" s="1538">
        <v>28.995688380521983</v>
      </c>
      <c r="W159" s="1538">
        <v>29.39475155821113</v>
      </c>
      <c r="X159" s="1538">
        <v>29.885964346916182</v>
      </c>
      <c r="Y159" s="1538">
        <v>30.089071101439163</v>
      </c>
      <c r="Z159" s="1538">
        <v>31.081689502737298</v>
      </c>
      <c r="AA159" s="1538">
        <v>31.400245105473072</v>
      </c>
      <c r="AB159" s="1538">
        <v>31.337976372818122</v>
      </c>
      <c r="AC159" s="1538">
        <v>31.854564117923594</v>
      </c>
      <c r="AD159" s="1538">
        <v>32.189964324168578</v>
      </c>
      <c r="AE159" s="1538">
        <v>32.274661250208517</v>
      </c>
      <c r="AF159" s="1538">
        <v>32.347049824843424</v>
      </c>
      <c r="AG159" s="1538">
        <v>32.398275541772193</v>
      </c>
      <c r="AH159" s="1538">
        <v>32.473329377777105</v>
      </c>
      <c r="AI159" s="1538">
        <v>32.424485524938959</v>
      </c>
      <c r="AJ159" s="1538">
        <v>32.33705604252286</v>
      </c>
      <c r="AK159" s="1538">
        <v>32.213589610409308</v>
      </c>
      <c r="AL159" s="1538">
        <v>32.123147965605618</v>
      </c>
      <c r="AM159" s="1538">
        <v>32.189031672252469</v>
      </c>
      <c r="AN159" s="1538">
        <v>32.20134665837643</v>
      </c>
      <c r="AO159" s="1538">
        <v>32.137342472816606</v>
      </c>
      <c r="AP159" s="1538">
        <v>32.106067355666433</v>
      </c>
      <c r="AQ159" s="1538">
        <v>32.055398007309563</v>
      </c>
      <c r="AR159" s="1538">
        <v>31.985796962436115</v>
      </c>
      <c r="AS159" s="1538">
        <v>31.883579639374592</v>
      </c>
      <c r="AT159" s="1538">
        <v>31.88043762605966</v>
      </c>
      <c r="AU159" s="1538">
        <v>31.921825950470875</v>
      </c>
      <c r="AV159" s="1538">
        <v>31.967798865652629</v>
      </c>
      <c r="AW159" s="1538">
        <v>32.011030694105337</v>
      </c>
      <c r="AX159" s="1538">
        <v>32.04019407500644</v>
      </c>
      <c r="AY159" s="1538">
        <v>32.084258086774547</v>
      </c>
      <c r="AZ159" s="1538">
        <v>32.12290532445671</v>
      </c>
      <c r="BA159" s="1538">
        <v>32.1438833578502</v>
      </c>
      <c r="BB159" s="1538">
        <v>32.210559439498944</v>
      </c>
      <c r="BC159" s="1538">
        <v>32.212518425109167</v>
      </c>
      <c r="BD159" s="1538">
        <v>32.214477529861206</v>
      </c>
      <c r="BE159" s="1538">
        <v>32.216436753762309</v>
      </c>
      <c r="BF159" s="1538">
        <v>32.218396096819724</v>
      </c>
      <c r="BG159" s="1538">
        <v>32.220355559040698</v>
      </c>
      <c r="BH159" s="1538">
        <v>32.225068562587758</v>
      </c>
      <c r="BI159" s="1538">
        <v>32.229782255525173</v>
      </c>
      <c r="BJ159" s="1538">
        <v>32.234496637953782</v>
      </c>
      <c r="BK159" s="1538">
        <v>32.239211709974448</v>
      </c>
      <c r="BL159" s="1538">
        <v>32.243927471688032</v>
      </c>
      <c r="BM159" s="1538">
        <v>32.234738373564198</v>
      </c>
      <c r="BN159" s="1538">
        <v>32.225551894213289</v>
      </c>
      <c r="BO159" s="1538">
        <v>32.216368032888994</v>
      </c>
      <c r="BP159" s="1538">
        <v>32.207186788845206</v>
      </c>
      <c r="BQ159" s="1538">
        <v>32.198008161336034</v>
      </c>
      <c r="BR159" s="1538">
        <v>32.188328675270981</v>
      </c>
      <c r="BS159" s="1538">
        <v>32.178652099089362</v>
      </c>
      <c r="BT159" s="1538">
        <v>32.168978431916393</v>
      </c>
      <c r="BU159" s="1538">
        <v>32.15930767287756</v>
      </c>
      <c r="BV159" s="1538">
        <v>32.14963982109861</v>
      </c>
      <c r="BW159" s="1538">
        <v>32.135484213462775</v>
      </c>
      <c r="BX159" s="1538">
        <v>32.121334838594358</v>
      </c>
      <c r="BY159" s="1538">
        <v>32.107191693749044</v>
      </c>
      <c r="BZ159" s="1538">
        <v>32.093054776183735</v>
      </c>
      <c r="CA159" s="1538">
        <v>32.078924083156537</v>
      </c>
      <c r="CB159" s="1538">
        <v>32.05322936592912</v>
      </c>
      <c r="CC159" s="1538">
        <v>32.027555229768936</v>
      </c>
      <c r="CD159" s="1538">
        <v>32.001901658190874</v>
      </c>
      <c r="CE159" s="1538">
        <v>31.976268634723027</v>
      </c>
      <c r="CF159" s="1538">
        <v>31.950656142906677</v>
      </c>
      <c r="CG159" s="1538">
        <v>31.915373500092528</v>
      </c>
      <c r="CH159" s="1538">
        <v>31.880129819385399</v>
      </c>
      <c r="CI159" s="1538">
        <v>31.844925057760001</v>
      </c>
      <c r="CJ159" s="1538">
        <v>31.809759172238564</v>
      </c>
      <c r="CK159" s="1538">
        <v>31.774632119890772</v>
      </c>
      <c r="CL159" s="1538">
        <v>31.736335048107414</v>
      </c>
      <c r="CM159" s="1538">
        <v>31.698084134709202</v>
      </c>
      <c r="CN159" s="1538">
        <v>31.659879324062725</v>
      </c>
      <c r="CO159" s="1538">
        <v>31.621720560601634</v>
      </c>
      <c r="CP159" s="1538">
        <v>31.583607788826551</v>
      </c>
      <c r="CQ159" s="1538">
        <v>31.539463246970023</v>
      </c>
      <c r="CR159" s="1538">
        <v>31.495380406125889</v>
      </c>
      <c r="CS159" s="1538">
        <v>31.451359180054389</v>
      </c>
      <c r="CT159" s="1538">
        <v>31.407399482636293</v>
      </c>
      <c r="CU159" s="1538">
        <v>31.363501227872742</v>
      </c>
      <c r="CV159" s="1538">
        <v>31.320648715953933</v>
      </c>
      <c r="CW159" s="1538">
        <v>31.277854754187555</v>
      </c>
      <c r="CX159" s="1538">
        <v>31.235119262575491</v>
      </c>
      <c r="CY159" s="1538">
        <v>31.192442161228929</v>
      </c>
      <c r="CZ159" s="1539">
        <v>31.1498233703682</v>
      </c>
    </row>
    <row r="160" spans="1:104" x14ac:dyDescent="0.25">
      <c r="A160" s="1537" t="s">
        <v>698</v>
      </c>
      <c r="B160" s="1538"/>
      <c r="C160" s="1538"/>
      <c r="D160" s="1538"/>
      <c r="E160" s="1538"/>
      <c r="F160" s="1538"/>
      <c r="G160" s="1538"/>
      <c r="H160" s="1538">
        <v>18.232352698801531</v>
      </c>
      <c r="I160" s="1538">
        <v>19.279059481202857</v>
      </c>
      <c r="J160" s="1538">
        <v>20.106975671052609</v>
      </c>
      <c r="K160" s="1538">
        <v>20.31728323383771</v>
      </c>
      <c r="L160" s="1538">
        <v>21.702415417864383</v>
      </c>
      <c r="M160" s="1538">
        <v>21.137326303769196</v>
      </c>
      <c r="N160" s="1538">
        <v>20.699724047437488</v>
      </c>
      <c r="O160" s="1538">
        <v>20.430734156114106</v>
      </c>
      <c r="P160" s="1538">
        <v>19.619402543384187</v>
      </c>
      <c r="Q160" s="1538">
        <v>19.94482547791937</v>
      </c>
      <c r="R160" s="1538">
        <v>20.190684361237558</v>
      </c>
      <c r="S160" s="1538">
        <v>19.439058682545589</v>
      </c>
      <c r="T160" s="1538">
        <v>18.777772519999996</v>
      </c>
      <c r="U160" s="1538">
        <v>19.537493744407882</v>
      </c>
      <c r="V160" s="1538">
        <v>19.094688812726531</v>
      </c>
      <c r="W160" s="1538">
        <v>19.340880484069093</v>
      </c>
      <c r="X160" s="1538">
        <v>19.700726786066333</v>
      </c>
      <c r="Y160" s="1538">
        <v>19.809231927025674</v>
      </c>
      <c r="Z160" s="1538">
        <v>20.448628319255093</v>
      </c>
      <c r="AA160" s="1538">
        <v>20.513438149254636</v>
      </c>
      <c r="AB160" s="1538">
        <v>20.459361398826221</v>
      </c>
      <c r="AC160" s="1538">
        <v>20.950622526197662</v>
      </c>
      <c r="AD160" s="1538">
        <v>21.163384692376518</v>
      </c>
      <c r="AE160" s="1538">
        <v>21.285322295688569</v>
      </c>
      <c r="AF160" s="1538">
        <v>21.423623959296947</v>
      </c>
      <c r="AG160" s="1538">
        <v>21.53228264660833</v>
      </c>
      <c r="AH160" s="1538">
        <v>21.607771530610695</v>
      </c>
      <c r="AI160" s="1538">
        <v>21.635145433038627</v>
      </c>
      <c r="AJ160" s="1538">
        <v>21.585785019942069</v>
      </c>
      <c r="AK160" s="1538">
        <v>21.508628925857963</v>
      </c>
      <c r="AL160" s="1538">
        <v>21.446118499871098</v>
      </c>
      <c r="AM160" s="1538">
        <v>21.521952389257063</v>
      </c>
      <c r="AN160" s="1538">
        <v>21.600204159779199</v>
      </c>
      <c r="AO160" s="1538">
        <v>21.583872325260458</v>
      </c>
      <c r="AP160" s="1538">
        <v>21.588666383585327</v>
      </c>
      <c r="AQ160" s="1538">
        <v>21.605374501448264</v>
      </c>
      <c r="AR160" s="1538">
        <v>21.554715579078266</v>
      </c>
      <c r="AS160" s="1538">
        <v>21.491324631109631</v>
      </c>
      <c r="AT160" s="1538">
        <v>21.516251270074765</v>
      </c>
      <c r="AU160" s="1538">
        <v>21.58191413536343</v>
      </c>
      <c r="AV160" s="1538">
        <v>21.663232093841465</v>
      </c>
      <c r="AW160" s="1538">
        <v>21.742367229796333</v>
      </c>
      <c r="AX160" s="1538">
        <v>21.822824570449338</v>
      </c>
      <c r="AY160" s="1538">
        <v>21.895024529503647</v>
      </c>
      <c r="AZ160" s="1538">
        <v>21.976239175929997</v>
      </c>
      <c r="BA160" s="1538">
        <v>22.046603213478718</v>
      </c>
      <c r="BB160" s="1538">
        <v>22.114819497732821</v>
      </c>
      <c r="BC160" s="1538">
        <v>22.13487665280584</v>
      </c>
      <c r="BD160" s="1538">
        <v>22.15495199882406</v>
      </c>
      <c r="BE160" s="1538">
        <v>22.175045552285859</v>
      </c>
      <c r="BF160" s="1538">
        <v>22.195157329704575</v>
      </c>
      <c r="BG160" s="1538">
        <v>22.215287347608523</v>
      </c>
      <c r="BH160" s="1538">
        <v>22.237407284551185</v>
      </c>
      <c r="BI160" s="1538">
        <v>22.259549246489641</v>
      </c>
      <c r="BJ160" s="1538">
        <v>22.281713255354351</v>
      </c>
      <c r="BK160" s="1538">
        <v>22.303899333097611</v>
      </c>
      <c r="BL160" s="1538">
        <v>22.326107501693581</v>
      </c>
      <c r="BM160" s="1538">
        <v>22.336823207612067</v>
      </c>
      <c r="BN160" s="1538">
        <v>22.347544056673097</v>
      </c>
      <c r="BO160" s="1538">
        <v>22.358270051345187</v>
      </c>
      <c r="BP160" s="1538">
        <v>22.369001194098043</v>
      </c>
      <c r="BQ160" s="1538">
        <v>22.379737487402554</v>
      </c>
      <c r="BR160" s="1538">
        <v>22.390100389733625</v>
      </c>
      <c r="BS160" s="1538">
        <v>22.400468090590362</v>
      </c>
      <c r="BT160" s="1538">
        <v>22.410840592194713</v>
      </c>
      <c r="BU160" s="1538">
        <v>22.421217896769658</v>
      </c>
      <c r="BV160" s="1538">
        <v>22.431600006539206</v>
      </c>
      <c r="BW160" s="1538">
        <v>22.438377931004013</v>
      </c>
      <c r="BX160" s="1538">
        <v>22.44515790348412</v>
      </c>
      <c r="BY160" s="1538">
        <v>22.451939924598356</v>
      </c>
      <c r="BZ160" s="1538">
        <v>22.458723994965737</v>
      </c>
      <c r="CA160" s="1538">
        <v>22.465510115205461</v>
      </c>
      <c r="CB160" s="1538">
        <v>22.462969438648798</v>
      </c>
      <c r="CC160" s="1538">
        <v>22.46042904942313</v>
      </c>
      <c r="CD160" s="1538">
        <v>22.45788894749596</v>
      </c>
      <c r="CE160" s="1538">
        <v>22.455349132834797</v>
      </c>
      <c r="CF160" s="1538">
        <v>22.452809605407158</v>
      </c>
      <c r="CG160" s="1538">
        <v>22.442624812220661</v>
      </c>
      <c r="CH160" s="1538">
        <v>22.432444638946507</v>
      </c>
      <c r="CI160" s="1538">
        <v>22.422269083489063</v>
      </c>
      <c r="CJ160" s="1538">
        <v>22.412098143753649</v>
      </c>
      <c r="CK160" s="1538">
        <v>22.401931817646531</v>
      </c>
      <c r="CL160" s="1538">
        <v>22.389459823741635</v>
      </c>
      <c r="CM160" s="1538">
        <v>22.376994773462549</v>
      </c>
      <c r="CN160" s="1538">
        <v>22.364536662943497</v>
      </c>
      <c r="CO160" s="1538">
        <v>22.352085488320853</v>
      </c>
      <c r="CP160" s="1538">
        <v>22.339641245733144</v>
      </c>
      <c r="CQ160" s="1538">
        <v>22.322592014179389</v>
      </c>
      <c r="CR160" s="1538">
        <v>22.305555794307125</v>
      </c>
      <c r="CS160" s="1538">
        <v>22.288532576186064</v>
      </c>
      <c r="CT160" s="1538">
        <v>22.271522349893491</v>
      </c>
      <c r="CU160" s="1538">
        <v>22.254525105514261</v>
      </c>
      <c r="CV160" s="1538">
        <v>22.238544472899552</v>
      </c>
      <c r="CW160" s="1538">
        <v>22.222575315731635</v>
      </c>
      <c r="CX160" s="1538">
        <v>22.206617625770171</v>
      </c>
      <c r="CY160" s="1538">
        <v>22.190671394780733</v>
      </c>
      <c r="CZ160" s="1539">
        <v>22.174736614534808</v>
      </c>
    </row>
    <row r="161" spans="1:104" x14ac:dyDescent="0.25">
      <c r="A161" s="1540" t="s">
        <v>684</v>
      </c>
      <c r="B161" s="1541"/>
      <c r="C161" s="1541"/>
      <c r="D161" s="1541"/>
      <c r="E161" s="1541"/>
      <c r="F161" s="1541"/>
      <c r="G161" s="1541"/>
      <c r="H161" s="1541">
        <v>31.081820315099751</v>
      </c>
      <c r="I161" s="1541">
        <v>31.795307521355493</v>
      </c>
      <c r="J161" s="1541">
        <v>33.946842042036877</v>
      </c>
      <c r="K161" s="1541">
        <v>33.862138723062856</v>
      </c>
      <c r="L161" s="1541">
        <v>35.110516897292094</v>
      </c>
      <c r="M161" s="1541">
        <v>35.620882248372396</v>
      </c>
      <c r="N161" s="1541">
        <v>35.284315436843215</v>
      </c>
      <c r="O161" s="1541">
        <v>35.109707376782602</v>
      </c>
      <c r="P161" s="1541">
        <v>34.944303180720262</v>
      </c>
      <c r="Q161" s="1541">
        <v>35.113313940081568</v>
      </c>
      <c r="R161" s="1541">
        <v>35.603854676435802</v>
      </c>
      <c r="S161" s="1541">
        <v>35.586699324775935</v>
      </c>
      <c r="T161" s="1541">
        <v>34.861101349999998</v>
      </c>
      <c r="U161" s="1541">
        <v>34.664653819323334</v>
      </c>
      <c r="V161" s="1541">
        <v>34.410290069910978</v>
      </c>
      <c r="W161" s="1541">
        <v>34.908531869398402</v>
      </c>
      <c r="X161" s="1541">
        <v>35.616671532127199</v>
      </c>
      <c r="Y161" s="1541">
        <v>35.947520321196222</v>
      </c>
      <c r="Z161" s="1541">
        <v>36.987705865849776</v>
      </c>
      <c r="AA161" s="1541">
        <v>37.546039262370911</v>
      </c>
      <c r="AB161" s="1541">
        <v>37.510823122184988</v>
      </c>
      <c r="AC161" s="1541">
        <v>38.008797637281816</v>
      </c>
      <c r="AD161" s="1541">
        <v>38.419808048103611</v>
      </c>
      <c r="AE161" s="1541">
        <v>38.480927078752217</v>
      </c>
      <c r="AF161" s="1541">
        <v>38.529894147798792</v>
      </c>
      <c r="AG161" s="1541">
        <v>38.610432052895767</v>
      </c>
      <c r="AH161" s="1541">
        <v>38.669048846696292</v>
      </c>
      <c r="AI161" s="1541">
        <v>38.631731396248163</v>
      </c>
      <c r="AJ161" s="1541">
        <v>38.567872226687491</v>
      </c>
      <c r="AK161" s="1541">
        <v>38.465126969563705</v>
      </c>
      <c r="AL161" s="1541">
        <v>38.413723063041203</v>
      </c>
      <c r="AM161" s="1541">
        <v>38.515467425425761</v>
      </c>
      <c r="AN161" s="1541">
        <v>38.527084818246614</v>
      </c>
      <c r="AO161" s="1541">
        <v>38.521472793861179</v>
      </c>
      <c r="AP161" s="1541">
        <v>38.546973809920992</v>
      </c>
      <c r="AQ161" s="1541">
        <v>38.560691565187064</v>
      </c>
      <c r="AR161" s="1541">
        <v>38.568356561168315</v>
      </c>
      <c r="AS161" s="1541">
        <v>38.569368829711408</v>
      </c>
      <c r="AT161" s="1541">
        <v>38.651143635977618</v>
      </c>
      <c r="AU161" s="1541">
        <v>38.781520601750053</v>
      </c>
      <c r="AV161" s="1541">
        <v>38.929117506558889</v>
      </c>
      <c r="AW161" s="1541">
        <v>39.08758776785308</v>
      </c>
      <c r="AX161" s="1541">
        <v>39.228047610742941</v>
      </c>
      <c r="AY161" s="1541">
        <v>39.393119417357944</v>
      </c>
      <c r="AZ161" s="1541">
        <v>39.595269824540118</v>
      </c>
      <c r="BA161" s="1541">
        <v>39.769550621009692</v>
      </c>
      <c r="BB161" s="1541">
        <v>39.980674011616443</v>
      </c>
      <c r="BC161" s="1541">
        <v>39.983105560972888</v>
      </c>
      <c r="BD161" s="1541">
        <v>39.985537258211586</v>
      </c>
      <c r="BE161" s="1541">
        <v>39.987969103341534</v>
      </c>
      <c r="BF161" s="1541">
        <v>39.990401096371727</v>
      </c>
      <c r="BG161" s="1541">
        <v>39.99283323731116</v>
      </c>
      <c r="BH161" s="1541">
        <v>39.998683153044055</v>
      </c>
      <c r="BI161" s="1541">
        <v>40.00453392446812</v>
      </c>
      <c r="BJ161" s="1541">
        <v>40.010385551708517</v>
      </c>
      <c r="BK161" s="1541">
        <v>40.016238034890421</v>
      </c>
      <c r="BL161" s="1541">
        <v>40.022091374139045</v>
      </c>
      <c r="BM161" s="1541">
        <v>40.01068560090993</v>
      </c>
      <c r="BN161" s="1541">
        <v>39.999283078177193</v>
      </c>
      <c r="BO161" s="1541">
        <v>39.987883805014484</v>
      </c>
      <c r="BP161" s="1541">
        <v>39.976487780495717</v>
      </c>
      <c r="BQ161" s="1541">
        <v>39.965095003695069</v>
      </c>
      <c r="BR161" s="1541">
        <v>39.953080546830584</v>
      </c>
      <c r="BS161" s="1541">
        <v>39.941069701797218</v>
      </c>
      <c r="BT161" s="1541">
        <v>39.929062467509169</v>
      </c>
      <c r="BU161" s="1541">
        <v>39.917058842880955</v>
      </c>
      <c r="BV161" s="1541">
        <v>39.905058826827435</v>
      </c>
      <c r="BW161" s="1541">
        <v>39.887488478960996</v>
      </c>
      <c r="BX161" s="1541">
        <v>39.869925867384971</v>
      </c>
      <c r="BY161" s="1541">
        <v>39.852370988693046</v>
      </c>
      <c r="BZ161" s="1541">
        <v>39.8348238394804</v>
      </c>
      <c r="CA161" s="1541">
        <v>39.817284416343718</v>
      </c>
      <c r="CB161" s="1541">
        <v>39.785391393336162</v>
      </c>
      <c r="CC161" s="1541">
        <v>39.75352391614198</v>
      </c>
      <c r="CD161" s="1541">
        <v>39.721681964299371</v>
      </c>
      <c r="CE161" s="1541">
        <v>39.689865517362925</v>
      </c>
      <c r="CF161" s="1541">
        <v>39.658074554903607</v>
      </c>
      <c r="CG161" s="1541">
        <v>39.614280722534119</v>
      </c>
      <c r="CH161" s="1541">
        <v>39.57053525105394</v>
      </c>
      <c r="CI161" s="1541">
        <v>39.526838087058842</v>
      </c>
      <c r="CJ161" s="1541">
        <v>39.48318917720357</v>
      </c>
      <c r="CK161" s="1541">
        <v>39.439588468201791</v>
      </c>
      <c r="CL161" s="1541">
        <v>39.392053039782866</v>
      </c>
      <c r="CM161" s="1541">
        <v>39.344574904480901</v>
      </c>
      <c r="CN161" s="1541">
        <v>39.297153993242112</v>
      </c>
      <c r="CO161" s="1541">
        <v>39.249790237095944</v>
      </c>
      <c r="CP161" s="1541">
        <v>39.202483567154964</v>
      </c>
      <c r="CQ161" s="1541">
        <v>39.147690090479308</v>
      </c>
      <c r="CR161" s="1541">
        <v>39.092973198877175</v>
      </c>
      <c r="CS161" s="1541">
        <v>39.038332785305279</v>
      </c>
      <c r="CT161" s="1541">
        <v>38.983768742869955</v>
      </c>
      <c r="CU161" s="1541">
        <v>38.929280964826951</v>
      </c>
      <c r="CV161" s="1541">
        <v>38.876091192919297</v>
      </c>
      <c r="CW161" s="1541">
        <v>38.822974095147039</v>
      </c>
      <c r="CX161" s="1541">
        <v>38.769929572214203</v>
      </c>
      <c r="CY161" s="1541">
        <v>38.716957524960492</v>
      </c>
      <c r="CZ161" s="1542">
        <v>38.66405785436109</v>
      </c>
    </row>
    <row r="202" spans="1:2" ht="14" x14ac:dyDescent="0.3">
      <c r="A202" s="2"/>
      <c r="B202" s="2"/>
    </row>
    <row r="203" spans="1:2" ht="14" x14ac:dyDescent="0.3">
      <c r="A203" s="2"/>
      <c r="B203" s="2"/>
    </row>
    <row r="249" spans="1:29" x14ac:dyDescent="0.25">
      <c r="A249" s="33"/>
    </row>
    <row r="251" spans="1:29" x14ac:dyDescent="0.25">
      <c r="AC251" s="28"/>
    </row>
    <row r="252" spans="1:29" x14ac:dyDescent="0.25">
      <c r="AC252" s="28"/>
    </row>
    <row r="253" spans="1:29" x14ac:dyDescent="0.25">
      <c r="AC253" s="28"/>
    </row>
    <row r="254" spans="1:29" x14ac:dyDescent="0.25">
      <c r="AC254" s="28"/>
    </row>
    <row r="257" spans="29:29" x14ac:dyDescent="0.25">
      <c r="AC257" s="28"/>
    </row>
    <row r="258" spans="29:29" x14ac:dyDescent="0.25">
      <c r="AC258" s="28"/>
    </row>
    <row r="259" spans="29:29" x14ac:dyDescent="0.25">
      <c r="AC259" s="28"/>
    </row>
    <row r="260" spans="29:29" x14ac:dyDescent="0.25">
      <c r="AC260" s="28"/>
    </row>
    <row r="263" spans="29:29" x14ac:dyDescent="0.25">
      <c r="AC263" s="28"/>
    </row>
    <row r="264" spans="29:29" x14ac:dyDescent="0.25">
      <c r="AC264" s="28"/>
    </row>
    <row r="265" spans="29:29" x14ac:dyDescent="0.25">
      <c r="AC265" s="28"/>
    </row>
    <row r="266" spans="29:29" x14ac:dyDescent="0.25">
      <c r="AC266" s="28"/>
    </row>
    <row r="267" spans="29:29" x14ac:dyDescent="0.25">
      <c r="AC267" s="28"/>
    </row>
    <row r="268" spans="29:29" x14ac:dyDescent="0.25">
      <c r="AC268" s="28"/>
    </row>
    <row r="270" spans="29:29" x14ac:dyDescent="0.25">
      <c r="AC270" s="28"/>
    </row>
    <row r="273" spans="29:29" x14ac:dyDescent="0.25">
      <c r="AC273" s="28"/>
    </row>
    <row r="274" spans="29:29" x14ac:dyDescent="0.25">
      <c r="AC274" s="28"/>
    </row>
    <row r="275" spans="29:29" x14ac:dyDescent="0.25">
      <c r="AC275" s="28"/>
    </row>
    <row r="276" spans="29:29" x14ac:dyDescent="0.25">
      <c r="AC276" s="28"/>
    </row>
    <row r="277" spans="29:29" x14ac:dyDescent="0.25">
      <c r="AC277" s="28"/>
    </row>
    <row r="278" spans="29:29" x14ac:dyDescent="0.25">
      <c r="AC278" s="28"/>
    </row>
    <row r="279" spans="29:29" x14ac:dyDescent="0.25">
      <c r="AC279" s="28"/>
    </row>
    <row r="280" spans="29:29" x14ac:dyDescent="0.25">
      <c r="AC280" s="28"/>
    </row>
    <row r="283" spans="29:29" x14ac:dyDescent="0.25">
      <c r="AC283" s="28"/>
    </row>
    <row r="284" spans="29:29" x14ac:dyDescent="0.25">
      <c r="AC284" s="28"/>
    </row>
    <row r="285" spans="29:29" x14ac:dyDescent="0.25">
      <c r="AC285" s="28"/>
    </row>
    <row r="286" spans="29:29" x14ac:dyDescent="0.25">
      <c r="AC286" s="28"/>
    </row>
    <row r="289" spans="29:29" x14ac:dyDescent="0.25">
      <c r="AC289" s="28"/>
    </row>
    <row r="290" spans="29:29" x14ac:dyDescent="0.25">
      <c r="AC290" s="28"/>
    </row>
    <row r="291" spans="29:29" x14ac:dyDescent="0.25">
      <c r="AC291" s="28"/>
    </row>
    <row r="292" spans="29:29" x14ac:dyDescent="0.25">
      <c r="AC292" s="28"/>
    </row>
    <row r="293" spans="29:29" x14ac:dyDescent="0.25">
      <c r="AC293" s="28"/>
    </row>
    <row r="294" spans="29:29" x14ac:dyDescent="0.25">
      <c r="AC294" s="28"/>
    </row>
    <row r="295" spans="29:29" x14ac:dyDescent="0.25">
      <c r="AC295" s="28"/>
    </row>
    <row r="296" spans="29:29" x14ac:dyDescent="0.25">
      <c r="AC296" s="28"/>
    </row>
    <row r="297" spans="29:29" x14ac:dyDescent="0.25">
      <c r="AC297" s="28"/>
    </row>
    <row r="299" spans="29:29" x14ac:dyDescent="0.25">
      <c r="AC299" s="28"/>
    </row>
    <row r="303" spans="29:29" x14ac:dyDescent="0.25">
      <c r="AC303" s="28"/>
    </row>
    <row r="304" spans="29:29" x14ac:dyDescent="0.25">
      <c r="AC304" s="28"/>
    </row>
    <row r="305" spans="29:29" x14ac:dyDescent="0.25">
      <c r="AC305" s="28"/>
    </row>
    <row r="306" spans="29:29" x14ac:dyDescent="0.25">
      <c r="AC306" s="28"/>
    </row>
    <row r="307" spans="29:29" x14ac:dyDescent="0.25">
      <c r="AC307" s="28"/>
    </row>
    <row r="308" spans="29:29" x14ac:dyDescent="0.25">
      <c r="AC308" s="28"/>
    </row>
    <row r="309" spans="29:29" x14ac:dyDescent="0.25">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topLeftCell="E1" workbookViewId="0"/>
  </sheetViews>
  <sheetFormatPr defaultRowHeight="12.5" x14ac:dyDescent="0.25"/>
  <cols>
    <col min="1" max="1" width="27.81640625" customWidth="1"/>
    <col min="2" max="2" width="12.7265625" customWidth="1"/>
    <col min="3" max="3" width="19.81640625" customWidth="1"/>
    <col min="4" max="4" width="28.26953125" customWidth="1"/>
    <col min="5" max="5" width="16.54296875" customWidth="1"/>
    <col min="6" max="6" width="11.453125" customWidth="1"/>
    <col min="7" max="7" width="9.7265625" customWidth="1"/>
    <col min="8" max="8" width="10.26953125" customWidth="1"/>
    <col min="9" max="9" width="10.453125" customWidth="1"/>
    <col min="10" max="10" width="9.54296875" customWidth="1"/>
    <col min="11" max="12" width="10" customWidth="1"/>
    <col min="13" max="13" width="10.7265625" customWidth="1"/>
    <col min="14" max="14" width="9.54296875" customWidth="1"/>
    <col min="15" max="15" width="10.7265625" customWidth="1"/>
    <col min="16" max="16" width="10.26953125" customWidth="1"/>
    <col min="17" max="17" width="9.54296875" customWidth="1"/>
    <col min="18" max="18" width="9.7265625" customWidth="1"/>
    <col min="19" max="19" width="10" customWidth="1"/>
    <col min="20" max="21" width="9.7265625" customWidth="1"/>
    <col min="22" max="22" width="10" customWidth="1"/>
    <col min="23" max="24" width="9.7265625" customWidth="1"/>
    <col min="25" max="25" width="10" customWidth="1"/>
    <col min="26" max="26" width="9.7265625" customWidth="1"/>
    <col min="27" max="27" width="10.7265625" customWidth="1"/>
    <col min="28" max="28" width="10.26953125" customWidth="1"/>
    <col min="29" max="29" width="10" customWidth="1"/>
    <col min="30" max="30" width="9.7265625" customWidth="1"/>
    <col min="31" max="31" width="10.26953125" customWidth="1"/>
    <col min="32" max="32" width="10.453125" customWidth="1"/>
    <col min="33" max="33" width="9.54296875" customWidth="1"/>
    <col min="34" max="34" width="10" customWidth="1"/>
    <col min="35" max="35" width="9.26953125" customWidth="1"/>
    <col min="36" max="36" width="10" customWidth="1"/>
    <col min="37" max="37" width="10.26953125" customWidth="1"/>
    <col min="38" max="38" width="9.7265625" customWidth="1"/>
    <col min="39" max="39" width="9.54296875" customWidth="1"/>
    <col min="40" max="40" width="9.7265625" customWidth="1"/>
    <col min="41" max="41" width="10.26953125" customWidth="1"/>
    <col min="42" max="44" width="9.7265625" customWidth="1"/>
    <col min="45" max="45" width="9.26953125" customWidth="1"/>
    <col min="46" max="46" width="9.54296875" customWidth="1"/>
    <col min="47" max="47" width="9.7265625" customWidth="1"/>
    <col min="48" max="48" width="10.26953125" customWidth="1"/>
    <col min="49" max="49" width="10.453125" customWidth="1"/>
    <col min="50" max="50" width="9.54296875" customWidth="1"/>
    <col min="51" max="52" width="9.7265625" customWidth="1"/>
    <col min="53" max="54" width="9.54296875" customWidth="1"/>
    <col min="55" max="55" width="9.7265625" customWidth="1"/>
    <col min="56" max="56" width="9.54296875" customWidth="1"/>
    <col min="57" max="59" width="9.7265625" customWidth="1"/>
    <col min="60" max="60" width="9.54296875" customWidth="1"/>
    <col min="61" max="61" width="9.7265625" customWidth="1"/>
    <col min="62" max="62" width="9.54296875" customWidth="1"/>
    <col min="63" max="63" width="9.7265625" customWidth="1"/>
    <col min="64" max="64" width="10.26953125" customWidth="1"/>
    <col min="65" max="65" width="9.7265625" customWidth="1"/>
    <col min="66" max="66" width="10.26953125" customWidth="1"/>
    <col min="67" max="67" width="9.54296875" customWidth="1"/>
    <col min="68" max="68" width="9.7265625" customWidth="1"/>
    <col min="69" max="69" width="9.54296875" customWidth="1"/>
    <col min="70" max="70" width="9.7265625" customWidth="1"/>
    <col min="71" max="71" width="10.26953125" customWidth="1"/>
    <col min="72" max="72" width="9.7265625" customWidth="1"/>
    <col min="73" max="74" width="9.54296875" customWidth="1"/>
  </cols>
  <sheetData>
    <row r="1" spans="1:104" ht="53" thickTop="1" thickBot="1" x14ac:dyDescent="0.35">
      <c r="A1" s="223" t="s">
        <v>1049</v>
      </c>
      <c r="B1" s="224" t="s">
        <v>1048</v>
      </c>
      <c r="C1" s="901" t="s">
        <v>678</v>
      </c>
      <c r="D1" s="901" t="s">
        <v>823</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 thickTop="1" x14ac:dyDescent="0.25">
      <c r="A2" t="s">
        <v>1044</v>
      </c>
      <c r="B2" s="462"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5">
      <c r="A3" t="s">
        <v>1045</v>
      </c>
      <c r="B3" s="462"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5">
      <c r="A4" t="s">
        <v>1046</v>
      </c>
      <c r="B4" s="462"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5">
      <c r="A5" t="s">
        <v>1047</v>
      </c>
      <c r="B5" s="462"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5">
      <c r="A6" t="s">
        <v>674</v>
      </c>
      <c r="B6" s="462"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5">
      <c r="A7" s="462" t="s">
        <v>1087</v>
      </c>
      <c r="B7" s="462"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5">
      <c r="A8" s="462" t="s">
        <v>822</v>
      </c>
      <c r="B8" s="462"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5" x14ac:dyDescent="0.25"/>
  <cols>
    <col min="1" max="1" width="27.81640625" customWidth="1"/>
    <col min="2" max="2" width="19.81640625" customWidth="1"/>
    <col min="3" max="3" width="16.54296875" customWidth="1"/>
    <col min="4" max="4" width="11.4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 min="73" max="73" width="10" customWidth="1"/>
  </cols>
  <sheetData>
    <row r="1" spans="1:72" ht="15.5" x14ac:dyDescent="0.35">
      <c r="A1" s="1679" t="s">
        <v>743</v>
      </c>
      <c r="B1" s="1679"/>
      <c r="C1" s="1679"/>
      <c r="D1" s="1679"/>
      <c r="E1" s="1679"/>
      <c r="F1" s="1679"/>
      <c r="G1" s="1679"/>
      <c r="H1" s="1679"/>
      <c r="I1" s="1679"/>
      <c r="J1" s="1679"/>
      <c r="K1" s="1679"/>
      <c r="L1" s="1679"/>
      <c r="M1" s="1679"/>
      <c r="N1" s="1679"/>
      <c r="O1" s="1679"/>
      <c r="P1" s="1679"/>
      <c r="Q1" s="1679"/>
      <c r="R1" s="1679"/>
      <c r="S1" s="1679"/>
      <c r="T1" s="1679"/>
      <c r="U1" s="1679"/>
      <c r="V1" s="1679"/>
      <c r="W1" s="1679"/>
      <c r="X1" s="1679"/>
      <c r="Y1" s="1679"/>
      <c r="Z1" s="1679"/>
      <c r="AA1" s="1679"/>
      <c r="AB1" s="1679"/>
      <c r="AC1" s="1679"/>
      <c r="AD1" s="1679"/>
      <c r="AE1" s="1679"/>
      <c r="AF1" s="1679"/>
      <c r="AG1" s="1679"/>
      <c r="AH1" s="1679"/>
      <c r="AI1" s="1679"/>
      <c r="AJ1" s="1679"/>
      <c r="AK1" s="1679"/>
      <c r="AL1" s="1679"/>
      <c r="AM1" s="1679"/>
      <c r="AN1" s="1679"/>
      <c r="AO1" s="1679"/>
      <c r="AP1" s="1679"/>
      <c r="AQ1" s="1679"/>
      <c r="AR1" s="1679"/>
      <c r="AS1" s="1679"/>
      <c r="AT1" s="1679"/>
      <c r="AU1" s="1679"/>
      <c r="AV1" s="1679"/>
      <c r="AW1" s="1679"/>
      <c r="AX1" s="1679"/>
      <c r="AY1" s="1679"/>
      <c r="AZ1" s="1679"/>
      <c r="BA1" s="1679"/>
      <c r="BB1" s="1679"/>
      <c r="BC1" s="1679"/>
      <c r="BD1" s="1679"/>
      <c r="BE1" s="1679"/>
      <c r="BF1" s="1679"/>
      <c r="BG1" s="1679"/>
      <c r="BH1" s="1679"/>
      <c r="BI1" s="1679"/>
      <c r="BJ1" s="1679"/>
      <c r="BK1" s="1679"/>
      <c r="BL1" s="1679"/>
      <c r="BM1" s="1679"/>
      <c r="BN1" s="1679"/>
      <c r="BO1" s="1679"/>
      <c r="BP1" s="1679"/>
      <c r="BQ1" s="1679"/>
      <c r="BR1" s="1679"/>
      <c r="BS1" s="1679"/>
      <c r="BT1" s="1679"/>
    </row>
    <row r="2" spans="1:72" x14ac:dyDescent="0.25">
      <c r="A2" s="1680" t="s">
        <v>744</v>
      </c>
      <c r="B2" s="1680"/>
      <c r="C2" s="1680"/>
      <c r="D2" s="1680"/>
      <c r="E2" s="1680"/>
      <c r="F2" s="1680"/>
      <c r="G2" s="1680"/>
      <c r="H2" s="1680"/>
      <c r="I2" s="1680"/>
      <c r="J2" s="1680"/>
      <c r="K2" s="1680"/>
      <c r="L2" s="1680"/>
      <c r="M2" s="1680"/>
      <c r="N2" s="1680"/>
      <c r="O2" s="1680"/>
      <c r="P2" s="1680"/>
      <c r="Q2" s="1680"/>
      <c r="R2" s="1680"/>
      <c r="S2" s="1680"/>
      <c r="T2" s="1680"/>
      <c r="U2" s="1680"/>
      <c r="V2" s="1680"/>
      <c r="W2" s="1680"/>
      <c r="X2" s="1680"/>
      <c r="Y2" s="1680"/>
      <c r="Z2" s="1680"/>
      <c r="AA2" s="1680"/>
      <c r="AB2" s="1680"/>
      <c r="AC2" s="1680"/>
      <c r="AD2" s="1680"/>
      <c r="AE2" s="1680"/>
      <c r="AF2" s="1680"/>
      <c r="AG2" s="1680"/>
      <c r="AH2" s="1680"/>
      <c r="AI2" s="1680"/>
      <c r="AJ2" s="1680"/>
      <c r="AK2" s="1680"/>
      <c r="AL2" s="1680"/>
      <c r="AM2" s="1680"/>
      <c r="AN2" s="1680"/>
      <c r="AO2" s="1680"/>
      <c r="AP2" s="1680"/>
      <c r="AQ2" s="1680"/>
      <c r="AR2" s="1680"/>
      <c r="AS2" s="1680"/>
      <c r="AT2" s="1680"/>
      <c r="AU2" s="1680"/>
      <c r="AV2" s="1680"/>
      <c r="AW2" s="1680"/>
      <c r="AX2" s="1680"/>
      <c r="AY2" s="1680"/>
      <c r="AZ2" s="1680"/>
      <c r="BA2" s="1680"/>
      <c r="BB2" s="1680"/>
      <c r="BC2" s="1680"/>
      <c r="BD2" s="1680"/>
      <c r="BE2" s="1680"/>
      <c r="BF2" s="1680"/>
      <c r="BG2" s="1680"/>
      <c r="BH2" s="1680"/>
      <c r="BI2" s="1680"/>
      <c r="BJ2" s="1680"/>
      <c r="BK2" s="1680"/>
      <c r="BL2" s="1680"/>
      <c r="BM2" s="1680"/>
      <c r="BN2" s="1680"/>
      <c r="BO2" s="1680"/>
      <c r="BP2" s="1680"/>
      <c r="BQ2" s="1680"/>
      <c r="BR2" s="1680"/>
      <c r="BS2" s="1680"/>
      <c r="BT2" s="1680"/>
    </row>
    <row r="3" spans="1:72" ht="13" thickBot="1" x14ac:dyDescent="0.3">
      <c r="A3" s="1681"/>
      <c r="B3" s="1681"/>
      <c r="C3" s="1681"/>
      <c r="D3" s="1681"/>
      <c r="E3" s="1681"/>
      <c r="F3" s="1681"/>
      <c r="G3" s="1681"/>
      <c r="H3" s="1681"/>
      <c r="I3" s="1681"/>
      <c r="J3" s="1681"/>
      <c r="K3" s="1681"/>
      <c r="L3" s="1681"/>
      <c r="M3" s="1681"/>
      <c r="N3" s="1681"/>
      <c r="O3" s="1681"/>
      <c r="P3" s="1681"/>
      <c r="Q3" s="1681"/>
      <c r="R3" s="1681"/>
      <c r="S3" s="1681"/>
      <c r="T3" s="1681"/>
      <c r="U3" s="1681"/>
      <c r="V3" s="1681"/>
      <c r="W3" s="1681"/>
      <c r="X3" s="1681"/>
      <c r="Y3" s="1681"/>
      <c r="Z3" s="1681"/>
      <c r="AA3" s="1681"/>
      <c r="AB3" s="1681"/>
      <c r="AC3" s="1681"/>
      <c r="AD3" s="1681"/>
      <c r="AE3" s="1681"/>
      <c r="AF3" s="1681"/>
      <c r="AG3" s="1681"/>
      <c r="AH3" s="1681"/>
      <c r="AI3" s="1681"/>
      <c r="AJ3" s="1681"/>
      <c r="AK3" s="1681"/>
      <c r="AL3" s="1681"/>
      <c r="AM3" s="1681"/>
      <c r="AN3" s="1681"/>
      <c r="AO3" s="1681"/>
      <c r="AP3" s="1681"/>
      <c r="AQ3" s="1681"/>
      <c r="AR3" s="1681"/>
      <c r="AS3" s="1681"/>
      <c r="AT3" s="1681"/>
      <c r="AU3" s="1681"/>
      <c r="AV3" s="1681"/>
      <c r="AW3" s="1681"/>
      <c r="AX3" s="1681"/>
      <c r="AY3" s="1681"/>
      <c r="AZ3" s="1681"/>
      <c r="BA3" s="1681"/>
      <c r="BB3" s="1681"/>
      <c r="BC3" s="1681"/>
      <c r="BD3" s="1681"/>
      <c r="BE3" s="1681"/>
      <c r="BF3" s="1681"/>
      <c r="BG3" s="1681"/>
      <c r="BH3" s="1681"/>
      <c r="BI3" s="1681"/>
      <c r="BJ3" s="1681"/>
      <c r="BK3" s="1681"/>
      <c r="BL3" s="1681"/>
      <c r="BM3" s="1681"/>
      <c r="BN3" s="1681"/>
      <c r="BO3" s="1681"/>
      <c r="BP3" s="1681"/>
      <c r="BQ3" s="1681"/>
      <c r="BR3" s="1681"/>
      <c r="BS3" s="1681"/>
      <c r="BT3" s="1681"/>
    </row>
    <row r="4" spans="1:72" x14ac:dyDescent="0.25">
      <c r="A4" s="913"/>
      <c r="B4" s="914" t="s">
        <v>1048</v>
      </c>
      <c r="C4" s="915">
        <v>2001</v>
      </c>
      <c r="D4" s="915">
        <v>2002</v>
      </c>
      <c r="E4" s="915">
        <v>2003</v>
      </c>
      <c r="F4" s="915">
        <v>2004</v>
      </c>
      <c r="G4" s="915">
        <v>2005</v>
      </c>
      <c r="H4" s="915">
        <v>2006</v>
      </c>
      <c r="I4" s="915">
        <v>2007</v>
      </c>
      <c r="J4" s="915">
        <v>2008</v>
      </c>
      <c r="K4" s="915">
        <v>2009</v>
      </c>
      <c r="L4" s="915">
        <v>2010</v>
      </c>
      <c r="M4" s="915">
        <v>2011</v>
      </c>
      <c r="N4" s="915">
        <v>2012</v>
      </c>
      <c r="O4" s="915">
        <v>2013</v>
      </c>
      <c r="P4" s="915">
        <v>2014</v>
      </c>
      <c r="Q4" s="915">
        <v>2015</v>
      </c>
      <c r="R4" s="915">
        <v>2016</v>
      </c>
      <c r="S4" s="915">
        <v>2017</v>
      </c>
      <c r="T4" s="915">
        <v>2018</v>
      </c>
      <c r="U4" s="915">
        <v>2019</v>
      </c>
      <c r="V4" s="915">
        <v>2020</v>
      </c>
      <c r="W4" s="915">
        <v>2021</v>
      </c>
      <c r="X4" s="915">
        <v>2022</v>
      </c>
      <c r="Y4" s="915">
        <v>2023</v>
      </c>
      <c r="Z4" s="915">
        <v>2024</v>
      </c>
      <c r="AA4" s="915">
        <v>2025</v>
      </c>
      <c r="AB4" s="915">
        <v>2026</v>
      </c>
      <c r="AC4" s="915">
        <v>2027</v>
      </c>
      <c r="AD4" s="915">
        <v>2028</v>
      </c>
      <c r="AE4" s="915">
        <v>2029</v>
      </c>
      <c r="AF4" s="915">
        <v>2030</v>
      </c>
      <c r="AG4" s="915">
        <v>2031</v>
      </c>
      <c r="AH4" s="915">
        <v>2032</v>
      </c>
      <c r="AI4" s="915">
        <v>2033</v>
      </c>
      <c r="AJ4" s="915">
        <v>2034</v>
      </c>
      <c r="AK4" s="915">
        <v>2035</v>
      </c>
      <c r="AL4" s="915">
        <v>2036</v>
      </c>
      <c r="AM4" s="915">
        <v>2037</v>
      </c>
      <c r="AN4" s="915">
        <v>2038</v>
      </c>
      <c r="AO4" s="915">
        <v>2039</v>
      </c>
      <c r="AP4" s="915">
        <v>2040</v>
      </c>
      <c r="AQ4" s="915">
        <v>2041</v>
      </c>
      <c r="AR4" s="915">
        <v>2042</v>
      </c>
      <c r="AS4" s="915">
        <v>2043</v>
      </c>
      <c r="AT4" s="915">
        <v>2044</v>
      </c>
      <c r="AU4" s="915">
        <v>2045</v>
      </c>
      <c r="AV4" s="915">
        <v>2046</v>
      </c>
      <c r="AW4" s="915">
        <v>2047</v>
      </c>
      <c r="AX4" s="915">
        <v>2048</v>
      </c>
      <c r="AY4" s="915">
        <v>2049</v>
      </c>
      <c r="AZ4" s="915">
        <v>2050</v>
      </c>
      <c r="BA4" s="915">
        <v>2051</v>
      </c>
      <c r="BB4" s="915">
        <v>2052</v>
      </c>
      <c r="BC4" s="915">
        <v>2053</v>
      </c>
      <c r="BD4" s="915">
        <v>2054</v>
      </c>
      <c r="BE4" s="915">
        <v>2056</v>
      </c>
      <c r="BF4" s="915">
        <v>2056</v>
      </c>
      <c r="BG4" s="915">
        <v>2057</v>
      </c>
      <c r="BH4" s="915">
        <v>2058</v>
      </c>
      <c r="BI4" s="915">
        <v>2059</v>
      </c>
      <c r="BJ4" s="915">
        <v>2060</v>
      </c>
      <c r="BK4" s="915">
        <v>2061</v>
      </c>
      <c r="BL4" s="915">
        <v>2062</v>
      </c>
      <c r="BM4" s="915">
        <v>2063</v>
      </c>
      <c r="BN4" s="915">
        <v>2064</v>
      </c>
      <c r="BO4" s="915">
        <v>2065</v>
      </c>
      <c r="BP4" s="915">
        <v>2066</v>
      </c>
      <c r="BQ4" s="915">
        <v>2067</v>
      </c>
      <c r="BR4" s="915">
        <v>2068</v>
      </c>
      <c r="BS4" s="915">
        <v>2069</v>
      </c>
      <c r="BT4" s="916">
        <v>2070</v>
      </c>
    </row>
    <row r="5" spans="1:72" x14ac:dyDescent="0.25">
      <c r="A5" s="1682" t="s">
        <v>745</v>
      </c>
      <c r="B5" s="1683"/>
      <c r="C5" s="1683"/>
      <c r="D5" s="1683"/>
      <c r="E5" s="1683"/>
      <c r="F5" s="1683"/>
      <c r="G5" s="1683"/>
      <c r="H5" s="1683"/>
      <c r="I5" s="1683"/>
      <c r="J5" s="1683"/>
      <c r="K5" s="1683"/>
      <c r="L5" s="1683"/>
      <c r="M5" s="1683"/>
      <c r="N5" s="1683"/>
      <c r="O5" s="1683"/>
      <c r="P5" s="1683"/>
      <c r="Q5" s="1683"/>
      <c r="R5" s="1683"/>
      <c r="S5" s="1683"/>
      <c r="T5" s="1683"/>
      <c r="U5" s="1683"/>
      <c r="V5" s="1683"/>
      <c r="W5" s="1683"/>
      <c r="X5" s="1683"/>
      <c r="Y5" s="1683"/>
      <c r="Z5" s="1683"/>
      <c r="AA5" s="1683"/>
      <c r="AB5" s="1683"/>
      <c r="AC5" s="1683"/>
      <c r="AD5" s="1683"/>
      <c r="AE5" s="1683"/>
      <c r="AF5" s="1683"/>
      <c r="AG5" s="1683"/>
      <c r="AH5" s="1683"/>
      <c r="AI5" s="1683"/>
      <c r="AJ5" s="1683"/>
      <c r="AK5" s="1683"/>
      <c r="AL5" s="1683"/>
      <c r="AM5" s="1683"/>
      <c r="AN5" s="1683"/>
      <c r="AO5" s="1683"/>
      <c r="AP5" s="1683"/>
      <c r="AQ5" s="1683"/>
      <c r="AR5" s="1683"/>
      <c r="AS5" s="1683"/>
      <c r="AT5" s="1683"/>
      <c r="AU5" s="1683"/>
      <c r="AV5" s="1683"/>
      <c r="AW5" s="1683"/>
      <c r="AX5" s="1683"/>
      <c r="AY5" s="1683"/>
      <c r="AZ5" s="1683"/>
      <c r="BA5" s="1683"/>
      <c r="BB5" s="1683"/>
      <c r="BC5" s="1683"/>
      <c r="BD5" s="1683"/>
      <c r="BE5" s="1683"/>
      <c r="BF5" s="1683"/>
      <c r="BG5" s="1683"/>
      <c r="BH5" s="1683"/>
      <c r="BI5" s="1683"/>
      <c r="BJ5" s="1683"/>
      <c r="BK5" s="1683"/>
      <c r="BL5" s="1683"/>
      <c r="BM5" s="1683"/>
      <c r="BN5" s="1683"/>
      <c r="BO5" s="1683"/>
      <c r="BP5" s="1683"/>
      <c r="BQ5" s="1683"/>
      <c r="BR5" s="1683"/>
      <c r="BS5" s="1683"/>
      <c r="BT5" s="1684"/>
    </row>
    <row r="6" spans="1:72" x14ac:dyDescent="0.25">
      <c r="A6" s="917" t="s">
        <v>746</v>
      </c>
      <c r="B6" s="918" t="s">
        <v>747</v>
      </c>
      <c r="C6" s="919">
        <v>8.9541000728991982</v>
      </c>
      <c r="D6" s="919">
        <v>6.8979457774252282</v>
      </c>
      <c r="E6" s="919">
        <v>8.4197996967243682</v>
      </c>
      <c r="F6" s="919">
        <v>8.8059982398770913</v>
      </c>
      <c r="G6" s="919">
        <v>8.8656468751295598</v>
      </c>
      <c r="H6" s="919">
        <v>8.2234977371287847</v>
      </c>
      <c r="I6" s="919">
        <v>7.8073426530046319</v>
      </c>
      <c r="J6" s="919">
        <v>7.4325694992857168</v>
      </c>
      <c r="K6" s="919">
        <v>7.297531685739191</v>
      </c>
      <c r="L6" s="919">
        <v>7.1966502441550162</v>
      </c>
      <c r="M6" s="919">
        <v>7.2405429268783017</v>
      </c>
      <c r="N6" s="919">
        <v>7.2944294079294778</v>
      </c>
      <c r="O6" s="919">
        <v>7.4037989917791105</v>
      </c>
      <c r="P6" s="919">
        <v>7.5440859727139706</v>
      </c>
      <c r="Q6" s="919">
        <v>7.6385998163583153</v>
      </c>
      <c r="R6" s="919">
        <v>7.6698249061152577</v>
      </c>
      <c r="S6" s="919">
        <v>7.596507558282819</v>
      </c>
      <c r="T6" s="919">
        <v>7.644327174942454</v>
      </c>
      <c r="U6" s="919">
        <v>7.7875295315148705</v>
      </c>
      <c r="V6" s="919">
        <v>8.0180296178133954</v>
      </c>
      <c r="W6" s="919">
        <v>8.1425457338117244</v>
      </c>
      <c r="X6" s="919">
        <v>8.1602542175436898</v>
      </c>
      <c r="Y6" s="919">
        <v>8.1927349319997838</v>
      </c>
      <c r="Z6" s="919">
        <v>8.2544961582939571</v>
      </c>
      <c r="AA6" s="919">
        <v>8.3511330316651513</v>
      </c>
      <c r="AB6" s="920">
        <v>8.4290329061652454</v>
      </c>
      <c r="AC6" s="920">
        <v>8.5069327806653394</v>
      </c>
      <c r="AD6" s="920">
        <v>8.5848326551654335</v>
      </c>
      <c r="AE6" s="920">
        <v>8.6627325296655275</v>
      </c>
      <c r="AF6" s="920">
        <v>8.7406324041656216</v>
      </c>
      <c r="AG6" s="920">
        <v>8.8185322786657157</v>
      </c>
      <c r="AH6" s="920">
        <v>8.8964321531658097</v>
      </c>
      <c r="AI6" s="920">
        <v>8.9743320276659038</v>
      </c>
      <c r="AJ6" s="920">
        <v>9.0522319021659978</v>
      </c>
      <c r="AK6" s="920">
        <v>9.1301317766660848</v>
      </c>
      <c r="AL6" s="920">
        <v>9.2578200706648097</v>
      </c>
      <c r="AM6" s="920">
        <v>9.3855083646635347</v>
      </c>
      <c r="AN6" s="920">
        <v>9.5131966586622596</v>
      </c>
      <c r="AO6" s="920">
        <v>9.6408849526609846</v>
      </c>
      <c r="AP6" s="920">
        <v>9.7685732466597095</v>
      </c>
      <c r="AQ6" s="920">
        <v>9.8962615406584344</v>
      </c>
      <c r="AR6" s="920">
        <v>10.023949834657159</v>
      </c>
      <c r="AS6" s="920">
        <v>10.151638128655884</v>
      </c>
      <c r="AT6" s="920">
        <v>10.279326422654609</v>
      </c>
      <c r="AU6" s="920">
        <v>10.407014716653334</v>
      </c>
      <c r="AV6" s="920">
        <v>10.534703010652059</v>
      </c>
      <c r="AW6" s="920">
        <v>10.662391304650784</v>
      </c>
      <c r="AX6" s="920">
        <v>10.790079598649509</v>
      </c>
      <c r="AY6" s="920">
        <v>10.917767892648234</v>
      </c>
      <c r="AZ6" s="921">
        <v>11.045456186646948</v>
      </c>
      <c r="BA6" s="920">
        <v>11.066404719719236</v>
      </c>
      <c r="BB6" s="920">
        <v>11.087353252791523</v>
      </c>
      <c r="BC6" s="920">
        <v>11.10830178586381</v>
      </c>
      <c r="BD6" s="920">
        <v>11.129250318936098</v>
      </c>
      <c r="BE6" s="920">
        <v>11.150198852008385</v>
      </c>
      <c r="BF6" s="920">
        <v>11.171147385080673</v>
      </c>
      <c r="BG6" s="920">
        <v>11.19209591815296</v>
      </c>
      <c r="BH6" s="920">
        <v>11.213044451225247</v>
      </c>
      <c r="BI6" s="920">
        <v>11.233992984297535</v>
      </c>
      <c r="BJ6" s="920">
        <v>11.254941517369822</v>
      </c>
      <c r="BK6" s="920">
        <v>11.27589005044211</v>
      </c>
      <c r="BL6" s="920">
        <v>11.296838583514397</v>
      </c>
      <c r="BM6" s="920">
        <v>11.317787116586684</v>
      </c>
      <c r="BN6" s="920">
        <v>11.338735649658972</v>
      </c>
      <c r="BO6" s="921">
        <v>11.359684182731248</v>
      </c>
      <c r="BP6" s="920">
        <v>11.381228672680008</v>
      </c>
      <c r="BQ6" s="920">
        <v>11.402773162628767</v>
      </c>
      <c r="BR6" s="920">
        <v>11.424317652577527</v>
      </c>
      <c r="BS6" s="920">
        <v>11.445862142526286</v>
      </c>
      <c r="BT6" s="922">
        <v>11.467406632475045</v>
      </c>
    </row>
    <row r="7" spans="1:72" x14ac:dyDescent="0.25">
      <c r="A7" s="923" t="s">
        <v>748</v>
      </c>
      <c r="B7" s="918" t="s">
        <v>747</v>
      </c>
      <c r="C7" s="919">
        <v>5.2088497969877503</v>
      </c>
      <c r="D7" s="919">
        <v>4.0515519538015683</v>
      </c>
      <c r="E7" s="919">
        <v>5.7953765594734321</v>
      </c>
      <c r="F7" s="919">
        <v>6.3059286733843276</v>
      </c>
      <c r="G7" s="919">
        <v>6.3351569917966728</v>
      </c>
      <c r="H7" s="919">
        <v>5.6603640970194089</v>
      </c>
      <c r="I7" s="919">
        <v>5.2154936812958672</v>
      </c>
      <c r="J7" s="919">
        <v>4.824472465605103</v>
      </c>
      <c r="K7" s="919">
        <v>4.7214620293311338</v>
      </c>
      <c r="L7" s="919">
        <v>4.5987567766657387</v>
      </c>
      <c r="M7" s="919">
        <v>4.6224680014376371</v>
      </c>
      <c r="N7" s="919">
        <v>4.6768878495918127</v>
      </c>
      <c r="O7" s="919">
        <v>4.7861952984108127</v>
      </c>
      <c r="P7" s="919">
        <v>4.922351045428587</v>
      </c>
      <c r="Q7" s="919">
        <v>5.0173813554475863</v>
      </c>
      <c r="R7" s="919">
        <v>5.0686005039035118</v>
      </c>
      <c r="S7" s="919">
        <v>5.0229759936062797</v>
      </c>
      <c r="T7" s="919">
        <v>5.0914502886106439</v>
      </c>
      <c r="U7" s="919">
        <v>5.2365480121576597</v>
      </c>
      <c r="V7" s="919">
        <v>5.4816269649649545</v>
      </c>
      <c r="W7" s="919">
        <v>5.5841408180740668</v>
      </c>
      <c r="X7" s="919">
        <v>5.5850370537559959</v>
      </c>
      <c r="Y7" s="919">
        <v>5.6052826350589937</v>
      </c>
      <c r="Z7" s="919">
        <v>5.6612136071582997</v>
      </c>
      <c r="AA7" s="919">
        <v>5.7676752715740598</v>
      </c>
      <c r="AB7" s="920">
        <v>5.8539244792759346</v>
      </c>
      <c r="AC7" s="920">
        <v>5.9401736869778095</v>
      </c>
      <c r="AD7" s="920">
        <v>6.0264228946796843</v>
      </c>
      <c r="AE7" s="920">
        <v>6.1126721023815591</v>
      </c>
      <c r="AF7" s="920">
        <v>6.1989213100834339</v>
      </c>
      <c r="AG7" s="920">
        <v>6.2851705177853088</v>
      </c>
      <c r="AH7" s="920">
        <v>6.3714197254871836</v>
      </c>
      <c r="AI7" s="920">
        <v>6.4576689331890584</v>
      </c>
      <c r="AJ7" s="920">
        <v>6.5439181408909333</v>
      </c>
      <c r="AK7" s="920">
        <v>6.6301673485928063</v>
      </c>
      <c r="AL7" s="920">
        <v>6.7228927087931387</v>
      </c>
      <c r="AM7" s="920">
        <v>6.8156180689934711</v>
      </c>
      <c r="AN7" s="920">
        <v>6.9083434291938035</v>
      </c>
      <c r="AO7" s="920">
        <v>7.0010687893941359</v>
      </c>
      <c r="AP7" s="920">
        <v>7.0937941495944683</v>
      </c>
      <c r="AQ7" s="920">
        <v>7.1865195097948007</v>
      </c>
      <c r="AR7" s="920">
        <v>7.2792448699951331</v>
      </c>
      <c r="AS7" s="920">
        <v>7.3719702301954655</v>
      </c>
      <c r="AT7" s="920">
        <v>7.4646955903957979</v>
      </c>
      <c r="AU7" s="920">
        <v>7.5574209505961303</v>
      </c>
      <c r="AV7" s="920">
        <v>7.6501463107964627</v>
      </c>
      <c r="AW7" s="920">
        <v>7.7428716709967951</v>
      </c>
      <c r="AX7" s="920">
        <v>7.8355970311971275</v>
      </c>
      <c r="AY7" s="920">
        <v>7.9283223913974599</v>
      </c>
      <c r="AZ7" s="921">
        <v>8.021047751597786</v>
      </c>
      <c r="BA7" s="920">
        <v>8.0362602680624171</v>
      </c>
      <c r="BB7" s="920">
        <v>8.0514727845270482</v>
      </c>
      <c r="BC7" s="920">
        <v>8.0666853009916792</v>
      </c>
      <c r="BD7" s="920">
        <v>8.0818978174563103</v>
      </c>
      <c r="BE7" s="920">
        <v>8.0971103339209414</v>
      </c>
      <c r="BF7" s="920">
        <v>8.1123228503855724</v>
      </c>
      <c r="BG7" s="920">
        <v>8.1275353668502035</v>
      </c>
      <c r="BH7" s="920">
        <v>8.1427478833148346</v>
      </c>
      <c r="BI7" s="920">
        <v>8.1579603997794656</v>
      </c>
      <c r="BJ7" s="920">
        <v>8.1731729162440967</v>
      </c>
      <c r="BK7" s="920">
        <v>8.1883854327087278</v>
      </c>
      <c r="BL7" s="920">
        <v>8.2035979491733588</v>
      </c>
      <c r="BM7" s="920">
        <v>8.2188104656379899</v>
      </c>
      <c r="BN7" s="920">
        <v>8.234022982102621</v>
      </c>
      <c r="BO7" s="921">
        <v>8.2492354985672645</v>
      </c>
      <c r="BP7" s="920">
        <v>8.2648807901462327</v>
      </c>
      <c r="BQ7" s="920">
        <v>8.2805260817252009</v>
      </c>
      <c r="BR7" s="920">
        <v>8.2961713733041691</v>
      </c>
      <c r="BS7" s="920">
        <v>8.3118166648831373</v>
      </c>
      <c r="BT7" s="922">
        <v>8.3274619564621091</v>
      </c>
    </row>
    <row r="8" spans="1:72" x14ac:dyDescent="0.25">
      <c r="A8" s="923" t="s">
        <v>749</v>
      </c>
      <c r="B8" s="918" t="s">
        <v>747</v>
      </c>
      <c r="C8" s="919">
        <v>5.6269638934579786</v>
      </c>
      <c r="D8" s="919">
        <v>3.8422456293735823</v>
      </c>
      <c r="E8" s="919">
        <v>5.691139826234779</v>
      </c>
      <c r="F8" s="919">
        <v>6.2376343214286925</v>
      </c>
      <c r="G8" s="919">
        <v>6.1731978092553481</v>
      </c>
      <c r="H8" s="919">
        <v>5.4998161252939477</v>
      </c>
      <c r="I8" s="919">
        <v>5.0667498741509744</v>
      </c>
      <c r="J8" s="919">
        <v>4.6999946247856554</v>
      </c>
      <c r="K8" s="919">
        <v>4.5877827360944901</v>
      </c>
      <c r="L8" s="919">
        <v>4.4974766767249967</v>
      </c>
      <c r="M8" s="919">
        <v>4.5471429464952013</v>
      </c>
      <c r="N8" s="919">
        <v>4.6470168064225401</v>
      </c>
      <c r="O8" s="919">
        <v>4.7885290901615907</v>
      </c>
      <c r="P8" s="919">
        <v>4.9298490038457894</v>
      </c>
      <c r="Q8" s="919">
        <v>5.0143193411377212</v>
      </c>
      <c r="R8" s="919">
        <v>5.0431599369588911</v>
      </c>
      <c r="S8" s="919">
        <v>4.9958503246307417</v>
      </c>
      <c r="T8" s="919">
        <v>5.071809156885692</v>
      </c>
      <c r="U8" s="919">
        <v>5.2209958625289659</v>
      </c>
      <c r="V8" s="919">
        <v>5.4542850660827948</v>
      </c>
      <c r="W8" s="919">
        <v>5.5514960671370845</v>
      </c>
      <c r="X8" s="919">
        <v>5.5489887943807661</v>
      </c>
      <c r="Y8" s="919">
        <v>5.5622220646660265</v>
      </c>
      <c r="Z8" s="919">
        <v>5.6263508841676488</v>
      </c>
      <c r="AA8" s="919">
        <v>5.730461856104295</v>
      </c>
      <c r="AB8" s="920">
        <v>5.8123040182474703</v>
      </c>
      <c r="AC8" s="920">
        <v>5.8941461803906456</v>
      </c>
      <c r="AD8" s="920">
        <v>5.9759883425338209</v>
      </c>
      <c r="AE8" s="920">
        <v>6.0578305046769962</v>
      </c>
      <c r="AF8" s="920">
        <v>6.1396726668201715</v>
      </c>
      <c r="AG8" s="920">
        <v>6.2215148289633468</v>
      </c>
      <c r="AH8" s="920">
        <v>6.3033569911065221</v>
      </c>
      <c r="AI8" s="920">
        <v>6.3851991532496974</v>
      </c>
      <c r="AJ8" s="920">
        <v>6.4670413153928727</v>
      </c>
      <c r="AK8" s="920">
        <v>6.5488834775360516</v>
      </c>
      <c r="AL8" s="920">
        <v>6.6404720525202734</v>
      </c>
      <c r="AM8" s="920">
        <v>6.7320606275044952</v>
      </c>
      <c r="AN8" s="920">
        <v>6.823649202488717</v>
      </c>
      <c r="AO8" s="920">
        <v>6.9152377774729388</v>
      </c>
      <c r="AP8" s="920">
        <v>7.0068263524571606</v>
      </c>
      <c r="AQ8" s="920">
        <v>7.0984149274413824</v>
      </c>
      <c r="AR8" s="920">
        <v>7.1900035024256042</v>
      </c>
      <c r="AS8" s="920">
        <v>7.2815920774098259</v>
      </c>
      <c r="AT8" s="920">
        <v>7.3731806523940477</v>
      </c>
      <c r="AU8" s="920">
        <v>7.4647692273782695</v>
      </c>
      <c r="AV8" s="920">
        <v>7.5563578023624913</v>
      </c>
      <c r="AW8" s="920">
        <v>7.6479463773467131</v>
      </c>
      <c r="AX8" s="920">
        <v>7.7395349523309349</v>
      </c>
      <c r="AY8" s="920">
        <v>7.8311235273151567</v>
      </c>
      <c r="AZ8" s="921">
        <v>7.9227121022993829</v>
      </c>
      <c r="BA8" s="920">
        <v>7.9377381178566102</v>
      </c>
      <c r="BB8" s="920">
        <v>7.9527641334138375</v>
      </c>
      <c r="BC8" s="920">
        <v>7.9677901489710647</v>
      </c>
      <c r="BD8" s="920">
        <v>7.982816164528292</v>
      </c>
      <c r="BE8" s="920">
        <v>7.9978421800855193</v>
      </c>
      <c r="BF8" s="920">
        <v>8.0128681956427457</v>
      </c>
      <c r="BG8" s="920">
        <v>8.0278942111999729</v>
      </c>
      <c r="BH8" s="920">
        <v>8.0429202267572002</v>
      </c>
      <c r="BI8" s="920">
        <v>8.0579462423144275</v>
      </c>
      <c r="BJ8" s="920">
        <v>8.0729722578716547</v>
      </c>
      <c r="BK8" s="920">
        <v>8.087998273428882</v>
      </c>
      <c r="BL8" s="920">
        <v>8.1030242889861093</v>
      </c>
      <c r="BM8" s="920">
        <v>8.1180503045433365</v>
      </c>
      <c r="BN8" s="920">
        <v>8.1330763201005638</v>
      </c>
      <c r="BO8" s="921">
        <v>8.1481023356577857</v>
      </c>
      <c r="BP8" s="920">
        <v>8.1635558206357306</v>
      </c>
      <c r="BQ8" s="920">
        <v>8.1790093056136755</v>
      </c>
      <c r="BR8" s="920">
        <v>8.1944627905916203</v>
      </c>
      <c r="BS8" s="920">
        <v>8.2099162755695652</v>
      </c>
      <c r="BT8" s="922">
        <v>8.2253697605475136</v>
      </c>
    </row>
    <row r="9" spans="1:72" x14ac:dyDescent="0.25">
      <c r="A9" s="1682" t="s">
        <v>750</v>
      </c>
      <c r="B9" s="1683"/>
      <c r="C9" s="1683"/>
      <c r="D9" s="1683"/>
      <c r="E9" s="1683"/>
      <c r="F9" s="1683"/>
      <c r="G9" s="1683"/>
      <c r="H9" s="1683"/>
      <c r="I9" s="1683"/>
      <c r="J9" s="1683"/>
      <c r="K9" s="1683"/>
      <c r="L9" s="1683"/>
      <c r="M9" s="1683"/>
      <c r="N9" s="1683"/>
      <c r="O9" s="1683"/>
      <c r="P9" s="1683"/>
      <c r="Q9" s="1683"/>
      <c r="R9" s="1683"/>
      <c r="S9" s="1683"/>
      <c r="T9" s="1683"/>
      <c r="U9" s="1683"/>
      <c r="V9" s="1683"/>
      <c r="W9" s="1683"/>
      <c r="X9" s="1683"/>
      <c r="Y9" s="1683"/>
      <c r="Z9" s="1683"/>
      <c r="AA9" s="1683"/>
      <c r="AB9" s="1683"/>
      <c r="AC9" s="1683"/>
      <c r="AD9" s="1683"/>
      <c r="AE9" s="1683"/>
      <c r="AF9" s="1683"/>
      <c r="AG9" s="1683"/>
      <c r="AH9" s="1683"/>
      <c r="AI9" s="1683"/>
      <c r="AJ9" s="1683"/>
      <c r="AK9" s="1683"/>
      <c r="AL9" s="1683"/>
      <c r="AM9" s="1683"/>
      <c r="AN9" s="1683"/>
      <c r="AO9" s="1683"/>
      <c r="AP9" s="1683"/>
      <c r="AQ9" s="1683"/>
      <c r="AR9" s="1683"/>
      <c r="AS9" s="1683"/>
      <c r="AT9" s="1683"/>
      <c r="AU9" s="1683"/>
      <c r="AV9" s="1683"/>
      <c r="AW9" s="1683"/>
      <c r="AX9" s="1683"/>
      <c r="AY9" s="1683"/>
      <c r="AZ9" s="1683"/>
      <c r="BA9" s="1683"/>
      <c r="BB9" s="1683"/>
      <c r="BC9" s="1683"/>
      <c r="BD9" s="1683"/>
      <c r="BE9" s="1683"/>
      <c r="BF9" s="1683"/>
      <c r="BG9" s="1683"/>
      <c r="BH9" s="1683"/>
      <c r="BI9" s="1683"/>
      <c r="BJ9" s="1683"/>
      <c r="BK9" s="1683"/>
      <c r="BL9" s="1683"/>
      <c r="BM9" s="1683"/>
      <c r="BN9" s="1683"/>
      <c r="BO9" s="1683"/>
      <c r="BP9" s="1683"/>
      <c r="BQ9" s="1683"/>
      <c r="BR9" s="1683"/>
      <c r="BS9" s="1683"/>
      <c r="BT9" s="1684"/>
    </row>
    <row r="10" spans="1:72" x14ac:dyDescent="0.25">
      <c r="A10" s="923" t="s">
        <v>683</v>
      </c>
      <c r="B10" s="918" t="s">
        <v>747</v>
      </c>
      <c r="C10" s="919">
        <v>24.866788774356646</v>
      </c>
      <c r="D10" s="919">
        <v>24.345010037692106</v>
      </c>
      <c r="E10" s="919">
        <v>24.223933219909672</v>
      </c>
      <c r="F10" s="919">
        <v>24.020635352944481</v>
      </c>
      <c r="G10" s="919">
        <v>23.91295186528621</v>
      </c>
      <c r="H10" s="919">
        <v>22.837542614846832</v>
      </c>
      <c r="I10" s="919">
        <v>21.69091966017233</v>
      </c>
      <c r="J10" s="919">
        <v>21.090846376599046</v>
      </c>
      <c r="K10" s="919">
        <v>21.058556043876806</v>
      </c>
      <c r="L10" s="919">
        <v>20.987678365887316</v>
      </c>
      <c r="M10" s="919">
        <v>20.983490961902529</v>
      </c>
      <c r="N10" s="919">
        <v>21.313707333690761</v>
      </c>
      <c r="O10" s="919">
        <v>21.638938984780914</v>
      </c>
      <c r="P10" s="919">
        <v>22.13258341123478</v>
      </c>
      <c r="Q10" s="919">
        <v>22.313049388381657</v>
      </c>
      <c r="R10" s="919">
        <v>22.486876361774936</v>
      </c>
      <c r="S10" s="919">
        <v>22.494946956634521</v>
      </c>
      <c r="T10" s="919">
        <v>22.662665807975912</v>
      </c>
      <c r="U10" s="919">
        <v>22.922821701697636</v>
      </c>
      <c r="V10" s="919">
        <v>23.270139622238439</v>
      </c>
      <c r="W10" s="919">
        <v>23.509686568997985</v>
      </c>
      <c r="X10" s="919">
        <v>23.493712398241108</v>
      </c>
      <c r="Y10" s="919">
        <v>23.423848763951703</v>
      </c>
      <c r="Z10" s="919">
        <v>23.513217827059155</v>
      </c>
      <c r="AA10" s="919">
        <v>23.645542576627872</v>
      </c>
      <c r="AB10" s="920">
        <v>23.786749293232678</v>
      </c>
      <c r="AC10" s="920">
        <v>23.927956009837484</v>
      </c>
      <c r="AD10" s="920">
        <v>24.06916272644229</v>
      </c>
      <c r="AE10" s="920">
        <v>24.210369443047096</v>
      </c>
      <c r="AF10" s="920">
        <v>24.351576159651902</v>
      </c>
      <c r="AG10" s="920">
        <v>24.492782876256708</v>
      </c>
      <c r="AH10" s="920">
        <v>24.633989592861514</v>
      </c>
      <c r="AI10" s="920">
        <v>24.77519630946632</v>
      </c>
      <c r="AJ10" s="920">
        <v>24.916403026071126</v>
      </c>
      <c r="AK10" s="920">
        <v>25.057609742675933</v>
      </c>
      <c r="AL10" s="920">
        <v>25.047759076850095</v>
      </c>
      <c r="AM10" s="920">
        <v>25.037908411024258</v>
      </c>
      <c r="AN10" s="920">
        <v>25.028057745198421</v>
      </c>
      <c r="AO10" s="920">
        <v>25.018207079372583</v>
      </c>
      <c r="AP10" s="920">
        <v>25.008356413546746</v>
      </c>
      <c r="AQ10" s="920">
        <v>24.998505747720909</v>
      </c>
      <c r="AR10" s="920">
        <v>24.988655081895072</v>
      </c>
      <c r="AS10" s="920">
        <v>24.978804416069234</v>
      </c>
      <c r="AT10" s="920">
        <v>24.968953750243397</v>
      </c>
      <c r="AU10" s="920">
        <v>24.95910308441756</v>
      </c>
      <c r="AV10" s="920">
        <v>24.949252418591723</v>
      </c>
      <c r="AW10" s="920">
        <v>24.939401752765885</v>
      </c>
      <c r="AX10" s="920">
        <v>24.929551086940048</v>
      </c>
      <c r="AY10" s="920">
        <v>24.919700421114211</v>
      </c>
      <c r="AZ10" s="921">
        <v>24.90984975528837</v>
      </c>
      <c r="BA10" s="920">
        <v>24.925673674379027</v>
      </c>
      <c r="BB10" s="920">
        <v>24.941497593469684</v>
      </c>
      <c r="BC10" s="920">
        <v>24.957321512560341</v>
      </c>
      <c r="BD10" s="920">
        <v>24.973145431650998</v>
      </c>
      <c r="BE10" s="920">
        <v>24.988969350741655</v>
      </c>
      <c r="BF10" s="920">
        <v>25.004793269832312</v>
      </c>
      <c r="BG10" s="920">
        <v>25.020617188922969</v>
      </c>
      <c r="BH10" s="920">
        <v>25.036441108013626</v>
      </c>
      <c r="BI10" s="920">
        <v>25.052265027104283</v>
      </c>
      <c r="BJ10" s="920">
        <v>25.068088946194941</v>
      </c>
      <c r="BK10" s="920">
        <v>25.083912865285598</v>
      </c>
      <c r="BL10" s="920">
        <v>25.099736784376255</v>
      </c>
      <c r="BM10" s="920">
        <v>25.115560703466912</v>
      </c>
      <c r="BN10" s="920">
        <v>25.131384622557569</v>
      </c>
      <c r="BO10" s="921">
        <v>25.147208541648205</v>
      </c>
      <c r="BP10" s="920">
        <v>25.163183242307905</v>
      </c>
      <c r="BQ10" s="920">
        <v>25.179157942967606</v>
      </c>
      <c r="BR10" s="920">
        <v>25.195132643627307</v>
      </c>
      <c r="BS10" s="920">
        <v>25.211107344287008</v>
      </c>
      <c r="BT10" s="922">
        <v>25.227082044946716</v>
      </c>
    </row>
    <row r="11" spans="1:72" x14ac:dyDescent="0.25">
      <c r="A11" s="923" t="s">
        <v>698</v>
      </c>
      <c r="B11" s="918" t="s">
        <v>747</v>
      </c>
      <c r="C11" s="919">
        <v>16.038863482553147</v>
      </c>
      <c r="D11" s="919">
        <v>15.36037109932807</v>
      </c>
      <c r="E11" s="919">
        <v>15.664056310113844</v>
      </c>
      <c r="F11" s="919">
        <v>16.390134465019642</v>
      </c>
      <c r="G11" s="919">
        <v>16.26049394877451</v>
      </c>
      <c r="H11" s="919">
        <v>15.718549229064077</v>
      </c>
      <c r="I11" s="919">
        <v>15.083546116666987</v>
      </c>
      <c r="J11" s="919">
        <v>14.764544869368896</v>
      </c>
      <c r="K11" s="919">
        <v>14.679648534306921</v>
      </c>
      <c r="L11" s="919">
        <v>14.510741661179726</v>
      </c>
      <c r="M11" s="919">
        <v>14.370329416023063</v>
      </c>
      <c r="N11" s="919">
        <v>14.522587083420669</v>
      </c>
      <c r="O11" s="919">
        <v>14.791267903345901</v>
      </c>
      <c r="P11" s="919">
        <v>15.142176731577413</v>
      </c>
      <c r="Q11" s="919">
        <v>15.304996360023072</v>
      </c>
      <c r="R11" s="919">
        <v>15.443286072533045</v>
      </c>
      <c r="S11" s="919">
        <v>15.485992224711291</v>
      </c>
      <c r="T11" s="919">
        <v>15.663456831338236</v>
      </c>
      <c r="U11" s="919">
        <v>15.910829809476709</v>
      </c>
      <c r="V11" s="919">
        <v>16.241389166634008</v>
      </c>
      <c r="W11" s="919">
        <v>16.419768400912066</v>
      </c>
      <c r="X11" s="919">
        <v>16.405212897174714</v>
      </c>
      <c r="Y11" s="919">
        <v>16.372526888577397</v>
      </c>
      <c r="Z11" s="919">
        <v>16.449089176249931</v>
      </c>
      <c r="AA11" s="919">
        <v>16.568027554817903</v>
      </c>
      <c r="AB11" s="920">
        <v>16.704753726753587</v>
      </c>
      <c r="AC11" s="920">
        <v>16.841479898689272</v>
      </c>
      <c r="AD11" s="920">
        <v>16.978206070624957</v>
      </c>
      <c r="AE11" s="920">
        <v>17.114932242560641</v>
      </c>
      <c r="AF11" s="920">
        <v>17.251658414496326</v>
      </c>
      <c r="AG11" s="920">
        <v>17.388384586432011</v>
      </c>
      <c r="AH11" s="920">
        <v>17.525110758367695</v>
      </c>
      <c r="AI11" s="920">
        <v>17.66183693030338</v>
      </c>
      <c r="AJ11" s="920">
        <v>17.798563102239065</v>
      </c>
      <c r="AK11" s="920">
        <v>17.935289274174743</v>
      </c>
      <c r="AL11" s="920">
        <v>17.928238540168429</v>
      </c>
      <c r="AM11" s="920">
        <v>17.921187806162116</v>
      </c>
      <c r="AN11" s="920">
        <v>17.914137072155803</v>
      </c>
      <c r="AO11" s="920">
        <v>17.90708633814949</v>
      </c>
      <c r="AP11" s="920">
        <v>17.900035604143177</v>
      </c>
      <c r="AQ11" s="920">
        <v>17.892984870136864</v>
      </c>
      <c r="AR11" s="920">
        <v>17.885934136130551</v>
      </c>
      <c r="AS11" s="920">
        <v>17.878883402124238</v>
      </c>
      <c r="AT11" s="920">
        <v>17.871832668117925</v>
      </c>
      <c r="AU11" s="920">
        <v>17.864781934111612</v>
      </c>
      <c r="AV11" s="920">
        <v>17.857731200105299</v>
      </c>
      <c r="AW11" s="920">
        <v>17.850680466098986</v>
      </c>
      <c r="AX11" s="920">
        <v>17.843629732092673</v>
      </c>
      <c r="AY11" s="920">
        <v>17.83657899808636</v>
      </c>
      <c r="AZ11" s="921">
        <v>17.829528264080036</v>
      </c>
      <c r="BA11" s="920">
        <v>17.840854426840831</v>
      </c>
      <c r="BB11" s="920">
        <v>17.852180589601627</v>
      </c>
      <c r="BC11" s="920">
        <v>17.863506752362422</v>
      </c>
      <c r="BD11" s="920">
        <v>17.874832915123218</v>
      </c>
      <c r="BE11" s="920">
        <v>17.886159077884013</v>
      </c>
      <c r="BF11" s="920">
        <v>17.897485240644809</v>
      </c>
      <c r="BG11" s="920">
        <v>17.908811403405604</v>
      </c>
      <c r="BH11" s="920">
        <v>17.9201375661664</v>
      </c>
      <c r="BI11" s="920">
        <v>17.931463728927195</v>
      </c>
      <c r="BJ11" s="920">
        <v>17.94278989168799</v>
      </c>
      <c r="BK11" s="920">
        <v>17.954116054448786</v>
      </c>
      <c r="BL11" s="920">
        <v>17.965442217209581</v>
      </c>
      <c r="BM11" s="920">
        <v>17.976768379970377</v>
      </c>
      <c r="BN11" s="920">
        <v>17.988094542731172</v>
      </c>
      <c r="BO11" s="921">
        <v>17.999420705491971</v>
      </c>
      <c r="BP11" s="920">
        <v>18.010854791996724</v>
      </c>
      <c r="BQ11" s="920">
        <v>18.022288878501477</v>
      </c>
      <c r="BR11" s="920">
        <v>18.033722965006231</v>
      </c>
      <c r="BS11" s="920">
        <v>18.045157051510984</v>
      </c>
      <c r="BT11" s="922">
        <v>18.056591138015737</v>
      </c>
    </row>
    <row r="12" spans="1:72" x14ac:dyDescent="0.25">
      <c r="A12" s="924" t="s">
        <v>751</v>
      </c>
      <c r="B12" s="918"/>
      <c r="C12" s="918"/>
      <c r="D12" s="918"/>
      <c r="E12" s="918"/>
      <c r="F12" s="918"/>
      <c r="G12" s="918"/>
      <c r="H12" s="918"/>
      <c r="I12" s="918"/>
      <c r="J12" s="918"/>
      <c r="K12" s="918"/>
      <c r="L12" s="918"/>
      <c r="M12" s="918"/>
      <c r="N12" s="918"/>
      <c r="O12" s="918"/>
      <c r="P12" s="918"/>
      <c r="Q12" s="918"/>
      <c r="R12" s="918"/>
      <c r="S12" s="918"/>
      <c r="T12" s="918"/>
      <c r="U12" s="918"/>
      <c r="V12" s="918"/>
      <c r="W12" s="918"/>
      <c r="X12" s="918"/>
      <c r="Y12" s="918"/>
      <c r="Z12" s="918"/>
      <c r="AA12" s="918"/>
      <c r="AB12" s="918"/>
      <c r="AC12" s="918"/>
      <c r="AD12" s="918"/>
      <c r="AE12" s="918"/>
      <c r="AF12" s="918"/>
      <c r="AG12" s="918"/>
      <c r="AH12" s="918"/>
      <c r="AI12" s="918"/>
      <c r="AJ12" s="918"/>
      <c r="AK12" s="918"/>
      <c r="AL12" s="918"/>
      <c r="AM12" s="918"/>
      <c r="AN12" s="918"/>
      <c r="AO12" s="918"/>
      <c r="AP12" s="918"/>
      <c r="AQ12" s="918"/>
      <c r="AR12" s="918"/>
      <c r="AS12" s="918"/>
      <c r="AT12" s="918"/>
      <c r="AU12" s="918"/>
      <c r="AV12" s="918"/>
      <c r="AW12" s="918"/>
      <c r="AX12" s="918"/>
      <c r="AY12" s="918"/>
      <c r="AZ12" s="918"/>
      <c r="BA12" s="918"/>
      <c r="BB12" s="918"/>
      <c r="BC12" s="918"/>
      <c r="BD12" s="918"/>
      <c r="BE12" s="918"/>
      <c r="BF12" s="918"/>
      <c r="BG12" s="918"/>
      <c r="BH12" s="918"/>
      <c r="BI12" s="918"/>
      <c r="BJ12" s="918"/>
      <c r="BK12" s="918"/>
      <c r="BL12" s="918"/>
      <c r="BM12" s="918"/>
      <c r="BN12" s="918"/>
      <c r="BO12" s="918"/>
      <c r="BP12" s="918"/>
      <c r="BQ12" s="918"/>
      <c r="BR12" s="918"/>
      <c r="BS12" s="918"/>
      <c r="BT12" s="925"/>
    </row>
    <row r="13" spans="1:72" x14ac:dyDescent="0.25">
      <c r="A13" s="923" t="s">
        <v>1086</v>
      </c>
      <c r="B13" s="918" t="s">
        <v>747</v>
      </c>
      <c r="C13" s="919">
        <v>1.3268491834774256</v>
      </c>
      <c r="D13" s="919">
        <v>1.32388562245189</v>
      </c>
      <c r="E13" s="919">
        <v>1.3334961719108085</v>
      </c>
      <c r="F13" s="919">
        <v>1.3380821099821107</v>
      </c>
      <c r="G13" s="919">
        <v>1.3443425871291239</v>
      </c>
      <c r="H13" s="919">
        <v>1.3528785733681756</v>
      </c>
      <c r="I13" s="919">
        <v>1.3415886383011697</v>
      </c>
      <c r="J13" s="919">
        <v>1.3403624656065469</v>
      </c>
      <c r="K13" s="919">
        <v>1.330997225248586</v>
      </c>
      <c r="L13" s="919">
        <v>1.3164209684110997</v>
      </c>
      <c r="M13" s="919">
        <v>1.3072140481112184</v>
      </c>
      <c r="N13" s="919">
        <v>1.3019573002491378</v>
      </c>
      <c r="O13" s="919">
        <v>1.2978333982656636</v>
      </c>
      <c r="P13" s="919">
        <v>1.295833644439585</v>
      </c>
      <c r="Q13" s="919">
        <v>1.2953486183904279</v>
      </c>
      <c r="R13" s="919">
        <v>1.2970626753456174</v>
      </c>
      <c r="S13" s="919">
        <v>1.2955796364343368</v>
      </c>
      <c r="T13" s="919">
        <v>1.3002382724914889</v>
      </c>
      <c r="U13" s="919">
        <v>1.3044509032987155</v>
      </c>
      <c r="V13" s="919">
        <v>1.3304805103337984</v>
      </c>
      <c r="W13" s="919">
        <v>1.3397570218680066</v>
      </c>
      <c r="X13" s="919">
        <v>1.3519914094007222</v>
      </c>
      <c r="Y13" s="919">
        <v>1.3569265463442153</v>
      </c>
      <c r="Z13" s="919">
        <v>1.3726611244228613</v>
      </c>
      <c r="AA13" s="919">
        <v>1.3854931266802686</v>
      </c>
      <c r="AB13" s="920">
        <v>1.3951349014789893</v>
      </c>
      <c r="AC13" s="920">
        <v>1.4047766762777101</v>
      </c>
      <c r="AD13" s="920">
        <v>1.4144184510764308</v>
      </c>
      <c r="AE13" s="920">
        <v>1.4240602258751516</v>
      </c>
      <c r="AF13" s="920">
        <v>1.4337020006738723</v>
      </c>
      <c r="AG13" s="920">
        <v>1.4433437754725931</v>
      </c>
      <c r="AH13" s="920">
        <v>1.4529855502713138</v>
      </c>
      <c r="AI13" s="920">
        <v>1.4626273250700346</v>
      </c>
      <c r="AJ13" s="920">
        <v>1.4722690998687553</v>
      </c>
      <c r="AK13" s="920">
        <v>1.481910874667477</v>
      </c>
      <c r="AL13" s="920">
        <v>1.4862555877963981</v>
      </c>
      <c r="AM13" s="920">
        <v>1.4906003009253193</v>
      </c>
      <c r="AN13" s="920">
        <v>1.4949450140542404</v>
      </c>
      <c r="AO13" s="920">
        <v>1.4992897271831616</v>
      </c>
      <c r="AP13" s="920">
        <v>1.5036344403120827</v>
      </c>
      <c r="AQ13" s="920">
        <v>1.5079791534410039</v>
      </c>
      <c r="AR13" s="920">
        <v>1.512323866569925</v>
      </c>
      <c r="AS13" s="920">
        <v>1.5166685796988462</v>
      </c>
      <c r="AT13" s="920">
        <v>1.5210132928277673</v>
      </c>
      <c r="AU13" s="920">
        <v>1.5253580059566885</v>
      </c>
      <c r="AV13" s="920">
        <v>1.5297027190856096</v>
      </c>
      <c r="AW13" s="920">
        <v>1.5340474322145308</v>
      </c>
      <c r="AX13" s="920">
        <v>1.5383921453434519</v>
      </c>
      <c r="AY13" s="920">
        <v>1.5427368584723731</v>
      </c>
      <c r="AZ13" s="921">
        <v>1.5470815716012942</v>
      </c>
      <c r="BA13" s="920">
        <v>1.5500157274134729</v>
      </c>
      <c r="BB13" s="920">
        <v>1.5529498832256516</v>
      </c>
      <c r="BC13" s="920">
        <v>1.5558840390378303</v>
      </c>
      <c r="BD13" s="920">
        <v>1.5588181948500091</v>
      </c>
      <c r="BE13" s="920">
        <v>1.5617523506621878</v>
      </c>
      <c r="BF13" s="920">
        <v>1.5646865064743665</v>
      </c>
      <c r="BG13" s="920">
        <v>1.5676206622865452</v>
      </c>
      <c r="BH13" s="920">
        <v>1.5705548180987239</v>
      </c>
      <c r="BI13" s="920">
        <v>1.5734889739109026</v>
      </c>
      <c r="BJ13" s="920">
        <v>1.5764231297230813</v>
      </c>
      <c r="BK13" s="920">
        <v>1.57935728553526</v>
      </c>
      <c r="BL13" s="920">
        <v>1.5822914413474387</v>
      </c>
      <c r="BM13" s="920">
        <v>1.5852255971596174</v>
      </c>
      <c r="BN13" s="920">
        <v>1.5881597529717961</v>
      </c>
      <c r="BO13" s="921">
        <v>1.5910939087839742</v>
      </c>
      <c r="BP13" s="920">
        <v>1.5941115372826113</v>
      </c>
      <c r="BQ13" s="920">
        <v>1.5971291657812485</v>
      </c>
      <c r="BR13" s="920">
        <v>1.6001467942798857</v>
      </c>
      <c r="BS13" s="920">
        <v>1.6031644227785229</v>
      </c>
      <c r="BT13" s="922">
        <v>1.6061820512771605</v>
      </c>
    </row>
    <row r="14" spans="1:72" x14ac:dyDescent="0.25">
      <c r="A14" s="1682" t="s">
        <v>752</v>
      </c>
      <c r="B14" s="1683"/>
      <c r="C14" s="1683"/>
      <c r="D14" s="1683"/>
      <c r="E14" s="1683"/>
      <c r="F14" s="1683"/>
      <c r="G14" s="1683"/>
      <c r="H14" s="1683"/>
      <c r="I14" s="1683"/>
      <c r="J14" s="1683"/>
      <c r="K14" s="1683"/>
      <c r="L14" s="1683"/>
      <c r="M14" s="1683"/>
      <c r="N14" s="1683"/>
      <c r="O14" s="1683"/>
      <c r="P14" s="1683"/>
      <c r="Q14" s="1683"/>
      <c r="R14" s="1683"/>
      <c r="S14" s="1683"/>
      <c r="T14" s="1683"/>
      <c r="U14" s="1683"/>
      <c r="V14" s="1683"/>
      <c r="W14" s="1683"/>
      <c r="X14" s="1683"/>
      <c r="Y14" s="1683"/>
      <c r="Z14" s="1683"/>
      <c r="AA14" s="1683"/>
      <c r="AB14" s="1683"/>
      <c r="AC14" s="1683"/>
      <c r="AD14" s="1683"/>
      <c r="AE14" s="1683"/>
      <c r="AF14" s="1683"/>
      <c r="AG14" s="1683"/>
      <c r="AH14" s="1683"/>
      <c r="AI14" s="1683"/>
      <c r="AJ14" s="1683"/>
      <c r="AK14" s="1683"/>
      <c r="AL14" s="1683"/>
      <c r="AM14" s="1683"/>
      <c r="AN14" s="1683"/>
      <c r="AO14" s="1683"/>
      <c r="AP14" s="1683"/>
      <c r="AQ14" s="1683"/>
      <c r="AR14" s="1683"/>
      <c r="AS14" s="1683"/>
      <c r="AT14" s="1683"/>
      <c r="AU14" s="1683"/>
      <c r="AV14" s="1683"/>
      <c r="AW14" s="1683"/>
      <c r="AX14" s="1683"/>
      <c r="AY14" s="1683"/>
      <c r="AZ14" s="1683"/>
      <c r="BA14" s="1683"/>
      <c r="BB14" s="1683"/>
      <c r="BC14" s="1683"/>
      <c r="BD14" s="1683"/>
      <c r="BE14" s="1683"/>
      <c r="BF14" s="1683"/>
      <c r="BG14" s="1683"/>
      <c r="BH14" s="1683"/>
      <c r="BI14" s="1683"/>
      <c r="BJ14" s="1683"/>
      <c r="BK14" s="1683"/>
      <c r="BL14" s="1683"/>
      <c r="BM14" s="1683"/>
      <c r="BN14" s="1683"/>
      <c r="BO14" s="1683"/>
      <c r="BP14" s="1683"/>
      <c r="BQ14" s="1683"/>
      <c r="BR14" s="1683"/>
      <c r="BS14" s="1683"/>
      <c r="BT14" s="1684"/>
    </row>
    <row r="15" spans="1:72" ht="23" x14ac:dyDescent="0.25">
      <c r="A15" s="917" t="s">
        <v>753</v>
      </c>
      <c r="B15" s="918" t="s">
        <v>747</v>
      </c>
      <c r="C15" s="919">
        <v>10.789461735918687</v>
      </c>
      <c r="D15" s="919">
        <v>9.9590971559848445</v>
      </c>
      <c r="E15" s="919">
        <v>11.383831536994775</v>
      </c>
      <c r="F15" s="919">
        <v>12.531178240506115</v>
      </c>
      <c r="G15" s="919">
        <v>12.036300060884058</v>
      </c>
      <c r="H15" s="919">
        <v>12.613383383121093</v>
      </c>
      <c r="I15" s="919">
        <v>13.01890940036416</v>
      </c>
      <c r="J15" s="919">
        <v>12.908589399085846</v>
      </c>
      <c r="K15" s="919">
        <v>12.946875513724528</v>
      </c>
      <c r="L15" s="919">
        <v>13.039098811599491</v>
      </c>
      <c r="M15" s="919">
        <v>13.088955960183741</v>
      </c>
      <c r="N15" s="919">
        <v>13.133508268392355</v>
      </c>
      <c r="O15" s="919">
        <v>13.038477461293056</v>
      </c>
      <c r="P15" s="919">
        <v>12.989168095138872</v>
      </c>
      <c r="Q15" s="919">
        <v>12.752903866318045</v>
      </c>
      <c r="R15" s="919">
        <v>12.539506322932722</v>
      </c>
      <c r="S15" s="919">
        <v>12.335074118848111</v>
      </c>
      <c r="T15" s="919">
        <v>12.292193988584152</v>
      </c>
      <c r="U15" s="919">
        <v>12.304560350921868</v>
      </c>
      <c r="V15" s="919">
        <v>12.340337204483362</v>
      </c>
      <c r="W15" s="919">
        <v>12.418707870087554</v>
      </c>
      <c r="X15" s="919">
        <v>12.438495640484758</v>
      </c>
      <c r="Y15" s="919">
        <v>12.492141534697302</v>
      </c>
      <c r="Z15" s="919">
        <v>12.624332072599859</v>
      </c>
      <c r="AA15" s="919">
        <v>13.025979869770596</v>
      </c>
      <c r="AB15" s="919">
        <v>13.053872203635709</v>
      </c>
      <c r="AC15" s="919">
        <v>13.081764537500822</v>
      </c>
      <c r="AD15" s="919">
        <v>13.109656871365935</v>
      </c>
      <c r="AE15" s="919">
        <v>13.137549205231048</v>
      </c>
      <c r="AF15" s="919">
        <v>13.165441539096161</v>
      </c>
      <c r="AG15" s="919">
        <v>13.193333872961274</v>
      </c>
      <c r="AH15" s="919">
        <v>13.221226206826387</v>
      </c>
      <c r="AI15" s="919">
        <v>13.2491185406915</v>
      </c>
      <c r="AJ15" s="919">
        <v>13.277010874556613</v>
      </c>
      <c r="AK15" s="919">
        <v>13.304903208421727</v>
      </c>
      <c r="AL15" s="919">
        <v>13.445726499778688</v>
      </c>
      <c r="AM15" s="919">
        <v>13.586549791135649</v>
      </c>
      <c r="AN15" s="919">
        <v>13.72737308249261</v>
      </c>
      <c r="AO15" s="919">
        <v>13.868196373849571</v>
      </c>
      <c r="AP15" s="919">
        <v>14.009019665206532</v>
      </c>
      <c r="AQ15" s="919">
        <v>14.149842956563493</v>
      </c>
      <c r="AR15" s="919">
        <v>14.290666247920454</v>
      </c>
      <c r="AS15" s="919">
        <v>14.431489539277415</v>
      </c>
      <c r="AT15" s="919">
        <v>14.572312830634376</v>
      </c>
      <c r="AU15" s="919">
        <v>14.713136121991337</v>
      </c>
      <c r="AV15" s="919">
        <v>14.853959413348298</v>
      </c>
      <c r="AW15" s="919">
        <v>14.994782704705258</v>
      </c>
      <c r="AX15" s="919">
        <v>15.135605996062219</v>
      </c>
      <c r="AY15" s="919">
        <v>15.27642928741918</v>
      </c>
      <c r="AZ15" s="919">
        <v>15.417252578776129</v>
      </c>
      <c r="BA15" s="919">
        <v>15.505038084680947</v>
      </c>
      <c r="BB15" s="919">
        <v>15.592823590585766</v>
      </c>
      <c r="BC15" s="919">
        <v>15.680609096490585</v>
      </c>
      <c r="BD15" s="919">
        <v>15.768394602395404</v>
      </c>
      <c r="BE15" s="919">
        <v>15.856180108300222</v>
      </c>
      <c r="BF15" s="919">
        <v>15.943965614205041</v>
      </c>
      <c r="BG15" s="919">
        <v>16.03175112010986</v>
      </c>
      <c r="BH15" s="919">
        <v>16.119536626014678</v>
      </c>
      <c r="BI15" s="919">
        <v>16.207322131919497</v>
      </c>
      <c r="BJ15" s="919">
        <v>16.295107637824316</v>
      </c>
      <c r="BK15" s="919">
        <v>16.382893143729135</v>
      </c>
      <c r="BL15" s="919">
        <v>16.470678649633953</v>
      </c>
      <c r="BM15" s="919">
        <v>16.558464155538772</v>
      </c>
      <c r="BN15" s="919">
        <v>16.646249661443591</v>
      </c>
      <c r="BO15" s="919">
        <v>16.734035167348416</v>
      </c>
      <c r="BP15" s="919">
        <v>16.829318405103567</v>
      </c>
      <c r="BQ15" s="919">
        <v>16.924601642858718</v>
      </c>
      <c r="BR15" s="919">
        <v>17.019884880613869</v>
      </c>
      <c r="BS15" s="919">
        <v>17.11516811836902</v>
      </c>
      <c r="BT15" s="926">
        <v>17.210451356124164</v>
      </c>
    </row>
    <row r="16" spans="1:72" x14ac:dyDescent="0.25">
      <c r="A16" s="923" t="s">
        <v>754</v>
      </c>
      <c r="B16" s="918" t="s">
        <v>747</v>
      </c>
      <c r="C16" s="919">
        <v>12.730520250245322</v>
      </c>
      <c r="D16" s="919">
        <v>11.801320287416596</v>
      </c>
      <c r="E16" s="919">
        <v>13.477350603859424</v>
      </c>
      <c r="F16" s="919">
        <v>15.275134761378448</v>
      </c>
      <c r="G16" s="919">
        <v>14.956036086352325</v>
      </c>
      <c r="H16" s="919">
        <v>15.333911517881027</v>
      </c>
      <c r="I16" s="919">
        <v>14.969645149302909</v>
      </c>
      <c r="J16" s="919">
        <v>14.856007634468792</v>
      </c>
      <c r="K16" s="919">
        <v>14.855665643260203</v>
      </c>
      <c r="L16" s="919">
        <v>14.676357863084307</v>
      </c>
      <c r="M16" s="919">
        <v>14.660823111264261</v>
      </c>
      <c r="N16" s="919">
        <v>14.621396694543213</v>
      </c>
      <c r="O16" s="919">
        <v>14.496914877081778</v>
      </c>
      <c r="P16" s="919">
        <v>14.525867813038341</v>
      </c>
      <c r="Q16" s="919">
        <v>14.406443289990676</v>
      </c>
      <c r="R16" s="919">
        <v>14.511791494657368</v>
      </c>
      <c r="S16" s="919">
        <v>14.408484301477108</v>
      </c>
      <c r="T16" s="919">
        <v>14.421367627269808</v>
      </c>
      <c r="U16" s="919">
        <v>14.483474821414545</v>
      </c>
      <c r="V16" s="919">
        <v>14.423047758498246</v>
      </c>
      <c r="W16" s="919">
        <v>14.678410804496627</v>
      </c>
      <c r="X16" s="919">
        <v>14.842794247393387</v>
      </c>
      <c r="Y16" s="919">
        <v>14.985196801851416</v>
      </c>
      <c r="Z16" s="919">
        <v>15.125157698145465</v>
      </c>
      <c r="AA16" s="919">
        <v>15.225733932459173</v>
      </c>
      <c r="AB16" s="920">
        <v>15.312322281050708</v>
      </c>
      <c r="AC16" s="920">
        <v>15.398910629642243</v>
      </c>
      <c r="AD16" s="920">
        <v>15.485498978233778</v>
      </c>
      <c r="AE16" s="920">
        <v>15.572087326825313</v>
      </c>
      <c r="AF16" s="920">
        <v>15.658675675416848</v>
      </c>
      <c r="AG16" s="920">
        <v>15.745264024008383</v>
      </c>
      <c r="AH16" s="920">
        <v>15.831852372599919</v>
      </c>
      <c r="AI16" s="920">
        <v>15.918440721191454</v>
      </c>
      <c r="AJ16" s="920">
        <v>16.005029069782989</v>
      </c>
      <c r="AK16" s="920">
        <v>16.091617418374518</v>
      </c>
      <c r="AL16" s="920">
        <v>16.26193617174043</v>
      </c>
      <c r="AM16" s="920">
        <v>16.432254925106342</v>
      </c>
      <c r="AN16" s="920">
        <v>16.602573678472254</v>
      </c>
      <c r="AO16" s="920">
        <v>16.772892431838166</v>
      </c>
      <c r="AP16" s="920">
        <v>16.943211185204078</v>
      </c>
      <c r="AQ16" s="920">
        <v>17.113529938569989</v>
      </c>
      <c r="AR16" s="920">
        <v>17.283848691935901</v>
      </c>
      <c r="AS16" s="920">
        <v>17.454167445301813</v>
      </c>
      <c r="AT16" s="920">
        <v>17.624486198667725</v>
      </c>
      <c r="AU16" s="920">
        <v>17.794804952033637</v>
      </c>
      <c r="AV16" s="920">
        <v>17.965123705399549</v>
      </c>
      <c r="AW16" s="920">
        <v>18.135442458765461</v>
      </c>
      <c r="AX16" s="920">
        <v>18.305761212131372</v>
      </c>
      <c r="AY16" s="920">
        <v>18.476079965497284</v>
      </c>
      <c r="AZ16" s="919">
        <v>18.646398718863171</v>
      </c>
      <c r="BA16" s="920">
        <v>18.752570913712709</v>
      </c>
      <c r="BB16" s="920">
        <v>18.858743108562248</v>
      </c>
      <c r="BC16" s="920">
        <v>18.964915303411786</v>
      </c>
      <c r="BD16" s="920">
        <v>19.071087498261324</v>
      </c>
      <c r="BE16" s="920">
        <v>19.177259693110862</v>
      </c>
      <c r="BF16" s="920">
        <v>19.283431887960401</v>
      </c>
      <c r="BG16" s="920">
        <v>19.389604082809939</v>
      </c>
      <c r="BH16" s="920">
        <v>19.495776277659477</v>
      </c>
      <c r="BI16" s="920">
        <v>19.601948472509015</v>
      </c>
      <c r="BJ16" s="920">
        <v>19.708120667358553</v>
      </c>
      <c r="BK16" s="920">
        <v>19.814292862208092</v>
      </c>
      <c r="BL16" s="920">
        <v>19.92046505705763</v>
      </c>
      <c r="BM16" s="920">
        <v>20.026637251907168</v>
      </c>
      <c r="BN16" s="920">
        <v>20.132809446756706</v>
      </c>
      <c r="BO16" s="919">
        <v>20.238981641606255</v>
      </c>
      <c r="BP16" s="920">
        <v>20.354221969500514</v>
      </c>
      <c r="BQ16" s="920">
        <v>20.469462297394774</v>
      </c>
      <c r="BR16" s="920">
        <v>20.584702625289033</v>
      </c>
      <c r="BS16" s="920">
        <v>20.699942953183292</v>
      </c>
      <c r="BT16" s="926">
        <v>20.815183281077545</v>
      </c>
    </row>
    <row r="17" spans="1:72" x14ac:dyDescent="0.25">
      <c r="A17" s="923" t="s">
        <v>312</v>
      </c>
      <c r="B17" s="918" t="s">
        <v>747</v>
      </c>
      <c r="C17" s="919">
        <v>15.730049999999999</v>
      </c>
      <c r="D17" s="919">
        <v>15.730049999999999</v>
      </c>
      <c r="E17" s="919">
        <v>15.730049999999999</v>
      </c>
      <c r="F17" s="919">
        <v>15.730049999999999</v>
      </c>
      <c r="G17" s="919">
        <v>15.730049999999999</v>
      </c>
      <c r="H17" s="919">
        <v>15.730049999999999</v>
      </c>
      <c r="I17" s="919">
        <v>15.730049999999999</v>
      </c>
      <c r="J17" s="919">
        <v>15.730049999999999</v>
      </c>
      <c r="K17" s="919">
        <v>15.730049999999999</v>
      </c>
      <c r="L17" s="919">
        <v>15.730049999999999</v>
      </c>
      <c r="M17" s="919">
        <v>15.730049999999999</v>
      </c>
      <c r="N17" s="919">
        <v>15.730049999999999</v>
      </c>
      <c r="O17" s="919">
        <v>15.730049999999999</v>
      </c>
      <c r="P17" s="919">
        <v>15.730049999999999</v>
      </c>
      <c r="Q17" s="919">
        <v>15.730049999999999</v>
      </c>
      <c r="R17" s="919">
        <v>15.730049999999999</v>
      </c>
      <c r="S17" s="919">
        <v>15.730049999999999</v>
      </c>
      <c r="T17" s="919">
        <v>15.730049999999999</v>
      </c>
      <c r="U17" s="919">
        <v>15.730049999999999</v>
      </c>
      <c r="V17" s="919">
        <v>15.730049999999999</v>
      </c>
      <c r="W17" s="919">
        <v>15.730049999999999</v>
      </c>
      <c r="X17" s="919">
        <v>15.730049999999999</v>
      </c>
      <c r="Y17" s="919">
        <v>15.730049999999999</v>
      </c>
      <c r="Z17" s="919">
        <v>15.730049999999999</v>
      </c>
      <c r="AA17" s="919">
        <v>15.730049999999999</v>
      </c>
      <c r="AB17" s="919">
        <v>15.730049999999999</v>
      </c>
      <c r="AC17" s="919">
        <v>15.730049999999999</v>
      </c>
      <c r="AD17" s="919">
        <v>15.730049999999999</v>
      </c>
      <c r="AE17" s="919">
        <v>15.730049999999999</v>
      </c>
      <c r="AF17" s="919">
        <v>15.730049999999999</v>
      </c>
      <c r="AG17" s="919">
        <v>15.730049999999999</v>
      </c>
      <c r="AH17" s="919">
        <v>15.730049999999999</v>
      </c>
      <c r="AI17" s="919">
        <v>15.730049999999999</v>
      </c>
      <c r="AJ17" s="919">
        <v>15.730049999999999</v>
      </c>
      <c r="AK17" s="919">
        <v>15.730049999999999</v>
      </c>
      <c r="AL17" s="919">
        <v>15.730049999999999</v>
      </c>
      <c r="AM17" s="919">
        <v>15.730049999999999</v>
      </c>
      <c r="AN17" s="919">
        <v>15.730049999999999</v>
      </c>
      <c r="AO17" s="919">
        <v>15.730049999999999</v>
      </c>
      <c r="AP17" s="919">
        <v>15.730049999999999</v>
      </c>
      <c r="AQ17" s="919">
        <v>15.730049999999999</v>
      </c>
      <c r="AR17" s="919">
        <v>15.730049999999999</v>
      </c>
      <c r="AS17" s="919">
        <v>15.730049999999999</v>
      </c>
      <c r="AT17" s="919">
        <v>15.730049999999999</v>
      </c>
      <c r="AU17" s="919">
        <v>15.730049999999999</v>
      </c>
      <c r="AV17" s="919">
        <v>15.730049999999999</v>
      </c>
      <c r="AW17" s="919">
        <v>15.730049999999999</v>
      </c>
      <c r="AX17" s="919">
        <v>15.730049999999999</v>
      </c>
      <c r="AY17" s="919">
        <v>15.730049999999999</v>
      </c>
      <c r="AZ17" s="919">
        <v>15.730049999999999</v>
      </c>
      <c r="BA17" s="919">
        <v>15.730049999999999</v>
      </c>
      <c r="BB17" s="919">
        <v>15.730049999999999</v>
      </c>
      <c r="BC17" s="919">
        <v>15.730049999999999</v>
      </c>
      <c r="BD17" s="919">
        <v>15.730049999999999</v>
      </c>
      <c r="BE17" s="919">
        <v>15.730049999999999</v>
      </c>
      <c r="BF17" s="919">
        <v>15.730049999999999</v>
      </c>
      <c r="BG17" s="919">
        <v>15.730049999999999</v>
      </c>
      <c r="BH17" s="919">
        <v>15.730049999999999</v>
      </c>
      <c r="BI17" s="919">
        <v>15.730049999999999</v>
      </c>
      <c r="BJ17" s="919">
        <v>15.730049999999999</v>
      </c>
      <c r="BK17" s="919">
        <v>15.730049999999999</v>
      </c>
      <c r="BL17" s="919">
        <v>15.730049999999999</v>
      </c>
      <c r="BM17" s="919">
        <v>15.730049999999999</v>
      </c>
      <c r="BN17" s="919">
        <v>15.730049999999999</v>
      </c>
      <c r="BO17" s="919">
        <v>15.730049999999999</v>
      </c>
      <c r="BP17" s="919">
        <v>15.730049999999999</v>
      </c>
      <c r="BQ17" s="919">
        <v>15.730049999999999</v>
      </c>
      <c r="BR17" s="919">
        <v>15.730049999999999</v>
      </c>
      <c r="BS17" s="919">
        <v>15.730049999999999</v>
      </c>
      <c r="BT17" s="926">
        <v>15.730049999999999</v>
      </c>
    </row>
    <row r="18" spans="1:72" x14ac:dyDescent="0.25">
      <c r="A18" s="917" t="s">
        <v>311</v>
      </c>
      <c r="B18" s="918" t="s">
        <v>747</v>
      </c>
      <c r="C18" s="919">
        <v>8.7353999999999985</v>
      </c>
      <c r="D18" s="919">
        <v>8.7353999999999985</v>
      </c>
      <c r="E18" s="919">
        <v>8.7353999999999985</v>
      </c>
      <c r="F18" s="919">
        <v>8.7353999999999985</v>
      </c>
      <c r="G18" s="919">
        <v>8.7353999999999985</v>
      </c>
      <c r="H18" s="919">
        <v>8.7353999999999985</v>
      </c>
      <c r="I18" s="919">
        <v>8.7353999999999985</v>
      </c>
      <c r="J18" s="919">
        <v>8.7353999999999985</v>
      </c>
      <c r="K18" s="919">
        <v>8.7353999999999985</v>
      </c>
      <c r="L18" s="919">
        <v>8.7353999999999985</v>
      </c>
      <c r="M18" s="919">
        <v>8.7353999999999985</v>
      </c>
      <c r="N18" s="919">
        <v>8.7353999999999985</v>
      </c>
      <c r="O18" s="919">
        <v>8.7353999999999985</v>
      </c>
      <c r="P18" s="919">
        <v>8.7353999999999985</v>
      </c>
      <c r="Q18" s="919">
        <v>8.7353999999999985</v>
      </c>
      <c r="R18" s="919">
        <v>8.7353999999999985</v>
      </c>
      <c r="S18" s="919">
        <v>8.7353999999999985</v>
      </c>
      <c r="T18" s="919">
        <v>8.7353999999999985</v>
      </c>
      <c r="U18" s="919">
        <v>8.7353999999999985</v>
      </c>
      <c r="V18" s="919">
        <v>8.7353999999999985</v>
      </c>
      <c r="W18" s="919">
        <v>8.7353999999999985</v>
      </c>
      <c r="X18" s="919">
        <v>8.7353999999999985</v>
      </c>
      <c r="Y18" s="919">
        <v>8.7353999999999985</v>
      </c>
      <c r="Z18" s="919">
        <v>8.7353999999999985</v>
      </c>
      <c r="AA18" s="919">
        <v>8.7353999999999985</v>
      </c>
      <c r="AB18" s="919">
        <v>8.7353999999999985</v>
      </c>
      <c r="AC18" s="919">
        <v>8.7353999999999985</v>
      </c>
      <c r="AD18" s="919">
        <v>8.7353999999999985</v>
      </c>
      <c r="AE18" s="919">
        <v>8.7353999999999985</v>
      </c>
      <c r="AF18" s="919">
        <v>8.7353999999999985</v>
      </c>
      <c r="AG18" s="919">
        <v>8.7353999999999985</v>
      </c>
      <c r="AH18" s="919">
        <v>8.7353999999999985</v>
      </c>
      <c r="AI18" s="919">
        <v>8.7353999999999985</v>
      </c>
      <c r="AJ18" s="919">
        <v>8.7353999999999985</v>
      </c>
      <c r="AK18" s="919">
        <v>8.7353999999999985</v>
      </c>
      <c r="AL18" s="919">
        <v>8.7353999999999985</v>
      </c>
      <c r="AM18" s="919">
        <v>8.7353999999999985</v>
      </c>
      <c r="AN18" s="919">
        <v>8.7353999999999985</v>
      </c>
      <c r="AO18" s="919">
        <v>8.7353999999999985</v>
      </c>
      <c r="AP18" s="919">
        <v>8.7353999999999985</v>
      </c>
      <c r="AQ18" s="919">
        <v>8.7353999999999985</v>
      </c>
      <c r="AR18" s="919">
        <v>8.7353999999999985</v>
      </c>
      <c r="AS18" s="919">
        <v>8.7353999999999985</v>
      </c>
      <c r="AT18" s="919">
        <v>8.7353999999999985</v>
      </c>
      <c r="AU18" s="919">
        <v>8.7353999999999985</v>
      </c>
      <c r="AV18" s="919">
        <v>8.7353999999999985</v>
      </c>
      <c r="AW18" s="919">
        <v>8.7353999999999985</v>
      </c>
      <c r="AX18" s="919">
        <v>8.7353999999999985</v>
      </c>
      <c r="AY18" s="919">
        <v>8.7353999999999985</v>
      </c>
      <c r="AZ18" s="919">
        <v>8.7353999999999985</v>
      </c>
      <c r="BA18" s="919">
        <v>8.7353999999999985</v>
      </c>
      <c r="BB18" s="919">
        <v>8.7353999999999985</v>
      </c>
      <c r="BC18" s="919">
        <v>8.7353999999999985</v>
      </c>
      <c r="BD18" s="919">
        <v>8.7353999999999985</v>
      </c>
      <c r="BE18" s="919">
        <v>8.7353999999999985</v>
      </c>
      <c r="BF18" s="919">
        <v>8.7353999999999985</v>
      </c>
      <c r="BG18" s="919">
        <v>8.7353999999999985</v>
      </c>
      <c r="BH18" s="919">
        <v>8.7353999999999985</v>
      </c>
      <c r="BI18" s="919">
        <v>8.7353999999999985</v>
      </c>
      <c r="BJ18" s="919">
        <v>8.7353999999999985</v>
      </c>
      <c r="BK18" s="919">
        <v>8.7353999999999985</v>
      </c>
      <c r="BL18" s="919">
        <v>8.7353999999999985</v>
      </c>
      <c r="BM18" s="919">
        <v>8.7353999999999985</v>
      </c>
      <c r="BN18" s="919">
        <v>8.7353999999999985</v>
      </c>
      <c r="BO18" s="919">
        <v>8.7353999999999985</v>
      </c>
      <c r="BP18" s="919">
        <v>8.7353999999999985</v>
      </c>
      <c r="BQ18" s="919">
        <v>8.7353999999999985</v>
      </c>
      <c r="BR18" s="919">
        <v>8.7353999999999985</v>
      </c>
      <c r="BS18" s="919">
        <v>8.7353999999999985</v>
      </c>
      <c r="BT18" s="926">
        <v>8.7353999999999985</v>
      </c>
    </row>
    <row r="19" spans="1:72" x14ac:dyDescent="0.25">
      <c r="A19" s="1682" t="s">
        <v>755</v>
      </c>
      <c r="B19" s="1683"/>
      <c r="C19" s="1683"/>
      <c r="D19" s="1683"/>
      <c r="E19" s="1683"/>
      <c r="F19" s="1683"/>
      <c r="G19" s="1683"/>
      <c r="H19" s="1683"/>
      <c r="I19" s="1683"/>
      <c r="J19" s="1683"/>
      <c r="K19" s="1683"/>
      <c r="L19" s="1683"/>
      <c r="M19" s="1683"/>
      <c r="N19" s="1683"/>
      <c r="O19" s="1683"/>
      <c r="P19" s="1683"/>
      <c r="Q19" s="1683"/>
      <c r="R19" s="1683"/>
      <c r="S19" s="1683"/>
      <c r="T19" s="1683"/>
      <c r="U19" s="1683"/>
      <c r="V19" s="1683"/>
      <c r="W19" s="1683"/>
      <c r="X19" s="1683"/>
      <c r="Y19" s="1683"/>
      <c r="Z19" s="1683"/>
      <c r="AA19" s="1683"/>
      <c r="AB19" s="1683"/>
      <c r="AC19" s="1683"/>
      <c r="AD19" s="1683"/>
      <c r="AE19" s="1683"/>
      <c r="AF19" s="1683"/>
      <c r="AG19" s="1683"/>
      <c r="AH19" s="1683"/>
      <c r="AI19" s="1683"/>
      <c r="AJ19" s="1683"/>
      <c r="AK19" s="1683"/>
      <c r="AL19" s="1683"/>
      <c r="AM19" s="1683"/>
      <c r="AN19" s="1683"/>
      <c r="AO19" s="1683"/>
      <c r="AP19" s="1683"/>
      <c r="AQ19" s="1683"/>
      <c r="AR19" s="1683"/>
      <c r="AS19" s="1683"/>
      <c r="AT19" s="1683"/>
      <c r="AU19" s="1683"/>
      <c r="AV19" s="1683"/>
      <c r="AW19" s="1683"/>
      <c r="AX19" s="1683"/>
      <c r="AY19" s="1683"/>
      <c r="AZ19" s="1683"/>
      <c r="BA19" s="1683"/>
      <c r="BB19" s="1683"/>
      <c r="BC19" s="1683"/>
      <c r="BD19" s="1683"/>
      <c r="BE19" s="1683"/>
      <c r="BF19" s="1683"/>
      <c r="BG19" s="1683"/>
      <c r="BH19" s="1683"/>
      <c r="BI19" s="1683"/>
      <c r="BJ19" s="1683"/>
      <c r="BK19" s="1683"/>
      <c r="BL19" s="1683"/>
      <c r="BM19" s="1683"/>
      <c r="BN19" s="1683"/>
      <c r="BO19" s="1683"/>
      <c r="BP19" s="1683"/>
      <c r="BQ19" s="1683"/>
      <c r="BR19" s="1683"/>
      <c r="BS19" s="1683"/>
      <c r="BT19" s="1684"/>
    </row>
    <row r="20" spans="1:72" ht="23.5" thickBot="1" x14ac:dyDescent="0.3">
      <c r="A20" s="927" t="s">
        <v>756</v>
      </c>
      <c r="B20" s="928" t="s">
        <v>747</v>
      </c>
      <c r="C20" s="929">
        <v>1.2696286520685174</v>
      </c>
      <c r="D20" s="929">
        <v>1.2696286520685174</v>
      </c>
      <c r="E20" s="929">
        <v>1.2696286520685174</v>
      </c>
      <c r="F20" s="929">
        <v>1.2696286520685174</v>
      </c>
      <c r="G20" s="929">
        <v>1.2696286520685174</v>
      </c>
      <c r="H20" s="929">
        <v>1.2696286520685174</v>
      </c>
      <c r="I20" s="929">
        <v>1.2696286520685174</v>
      </c>
      <c r="J20" s="929">
        <v>1.2696286520685174</v>
      </c>
      <c r="K20" s="929">
        <v>1.2696286520685174</v>
      </c>
      <c r="L20" s="929">
        <v>1.2696286520685174</v>
      </c>
      <c r="M20" s="929">
        <v>1.2716814065585227</v>
      </c>
      <c r="N20" s="929">
        <v>1.2809188017635484</v>
      </c>
      <c r="O20" s="929">
        <v>1.3178683825836508</v>
      </c>
      <c r="P20" s="929">
        <v>1.3209475143186591</v>
      </c>
      <c r="Q20" s="929">
        <v>1.3435278137087219</v>
      </c>
      <c r="R20" s="929">
        <v>1.3466069454437304</v>
      </c>
      <c r="S20" s="929">
        <v>1.3630289813637759</v>
      </c>
      <c r="T20" s="929">
        <v>1.3578970951387617</v>
      </c>
      <c r="U20" s="929">
        <v>1.383556526263833</v>
      </c>
      <c r="V20" s="929">
        <v>1.4030576939188868</v>
      </c>
      <c r="W20" s="929">
        <v>1.460534819639046</v>
      </c>
      <c r="X20" s="929">
        <v>1.4800359872941</v>
      </c>
      <c r="Y20" s="929">
        <v>1.4861942507641173</v>
      </c>
      <c r="Z20" s="929">
        <v>1.5118536818891883</v>
      </c>
      <c r="AA20" s="929">
        <v>1.5262229633192279</v>
      </c>
      <c r="AB20" s="929">
        <v>1.6236006669873051</v>
      </c>
      <c r="AC20" s="929">
        <v>1.7209783706553823</v>
      </c>
      <c r="AD20" s="929">
        <v>1.8183560743234595</v>
      </c>
      <c r="AE20" s="929">
        <v>1.9157337779915367</v>
      </c>
      <c r="AF20" s="929">
        <v>2.0131114816596138</v>
      </c>
      <c r="AG20" s="929">
        <v>2.1104891853276913</v>
      </c>
      <c r="AH20" s="929">
        <v>2.2078668889957687</v>
      </c>
      <c r="AI20" s="929">
        <v>2.3052445926638461</v>
      </c>
      <c r="AJ20" s="929">
        <v>2.4026222963319235</v>
      </c>
      <c r="AK20" s="929">
        <v>2.5</v>
      </c>
      <c r="AL20" s="929">
        <v>2.5714285714285716</v>
      </c>
      <c r="AM20" s="929">
        <v>2.6428571428571432</v>
      </c>
      <c r="AN20" s="929">
        <v>2.7142857142857149</v>
      </c>
      <c r="AO20" s="929">
        <v>2.7857142857142865</v>
      </c>
      <c r="AP20" s="929">
        <v>2.8571428571428581</v>
      </c>
      <c r="AQ20" s="929">
        <v>2.9285714285714297</v>
      </c>
      <c r="AR20" s="929">
        <v>3</v>
      </c>
      <c r="AS20" s="929">
        <v>3.071428571428573</v>
      </c>
      <c r="AT20" s="929">
        <v>3.1428571428571446</v>
      </c>
      <c r="AU20" s="929">
        <v>3.2142857142857162</v>
      </c>
      <c r="AV20" s="929">
        <v>3.2857142857142878</v>
      </c>
      <c r="AW20" s="929">
        <v>3.3571428571428594</v>
      </c>
      <c r="AX20" s="929">
        <v>3.428571428571431</v>
      </c>
      <c r="AY20" s="929">
        <v>3.5</v>
      </c>
      <c r="AZ20" s="929">
        <v>3.5714285714285743</v>
      </c>
      <c r="BA20" s="929">
        <v>3.6428571428571459</v>
      </c>
      <c r="BB20" s="929">
        <v>3.7142857142857175</v>
      </c>
      <c r="BC20" s="929">
        <v>3.7857142857142891</v>
      </c>
      <c r="BD20" s="929">
        <v>3.8571428571428608</v>
      </c>
      <c r="BE20" s="929">
        <v>3.9285714285714324</v>
      </c>
      <c r="BF20" s="929">
        <v>4</v>
      </c>
      <c r="BG20" s="929">
        <v>4.0714285714285747</v>
      </c>
      <c r="BH20" s="929">
        <v>4.1428571428571459</v>
      </c>
      <c r="BI20" s="929">
        <v>4.2142857142857171</v>
      </c>
      <c r="BJ20" s="929">
        <v>4.2857142857142883</v>
      </c>
      <c r="BK20" s="929">
        <v>4.3571428571428594</v>
      </c>
      <c r="BL20" s="929">
        <v>4.4285714285714306</v>
      </c>
      <c r="BM20" s="929">
        <v>4.5</v>
      </c>
      <c r="BN20" s="929">
        <v>4.571428571428573</v>
      </c>
      <c r="BO20" s="929">
        <v>4.6428571428571441</v>
      </c>
      <c r="BP20" s="929">
        <v>4.7142857142857153</v>
      </c>
      <c r="BQ20" s="929">
        <v>4.7857142857142865</v>
      </c>
      <c r="BR20" s="929">
        <v>4.8571428571428577</v>
      </c>
      <c r="BS20" s="929">
        <v>4.9285714285714288</v>
      </c>
      <c r="BT20" s="930">
        <v>5</v>
      </c>
    </row>
    <row r="21" spans="1:72" ht="47.25" customHeight="1" x14ac:dyDescent="0.25">
      <c r="A21" s="1690" t="s">
        <v>437</v>
      </c>
      <c r="B21" s="1691"/>
      <c r="C21" s="1691"/>
      <c r="D21" s="1691"/>
      <c r="E21" s="1691"/>
      <c r="F21" s="1691"/>
      <c r="G21" s="1691"/>
      <c r="H21" s="1691"/>
      <c r="I21" s="1691"/>
      <c r="J21" s="1691"/>
      <c r="K21" s="1691"/>
      <c r="L21" s="1691"/>
      <c r="M21" s="1691"/>
      <c r="N21" s="1691"/>
      <c r="O21" s="1691"/>
      <c r="P21" s="1691"/>
      <c r="Q21" s="1691"/>
      <c r="R21" s="1691"/>
      <c r="S21" s="1691"/>
      <c r="T21" s="1691"/>
      <c r="U21" s="931"/>
      <c r="V21" s="931"/>
      <c r="W21" s="931"/>
      <c r="X21" s="931"/>
      <c r="Y21" s="931"/>
      <c r="Z21" s="931"/>
      <c r="AA21" s="931"/>
      <c r="AB21" s="931"/>
      <c r="AC21" s="931"/>
      <c r="AD21" s="931"/>
      <c r="AE21" s="931"/>
      <c r="AF21" s="931"/>
      <c r="AG21" s="931"/>
      <c r="AH21" s="931"/>
      <c r="AI21" s="931"/>
      <c r="AJ21" s="931"/>
      <c r="AK21" s="931"/>
      <c r="AL21" s="931"/>
      <c r="AM21" s="931"/>
      <c r="AN21" s="931"/>
      <c r="AO21" s="931"/>
      <c r="AP21" s="931"/>
      <c r="AQ21" s="931"/>
      <c r="AR21" s="931"/>
      <c r="AS21" s="931"/>
      <c r="AT21" s="931"/>
      <c r="AU21" s="931"/>
      <c r="AV21" s="931"/>
      <c r="AW21" s="931"/>
      <c r="AX21" s="931"/>
      <c r="AY21" s="931"/>
      <c r="AZ21" s="931"/>
      <c r="BA21" s="931"/>
      <c r="BB21" s="931"/>
      <c r="BC21" s="931"/>
      <c r="BD21" s="931"/>
      <c r="BE21" s="931"/>
      <c r="BF21" s="931"/>
      <c r="BG21" s="931"/>
      <c r="BH21" s="931"/>
      <c r="BI21" s="931"/>
      <c r="BJ21" s="931"/>
      <c r="BK21" s="931"/>
      <c r="BL21" s="931"/>
      <c r="BM21" s="931"/>
      <c r="BN21" s="931"/>
      <c r="BO21" s="931"/>
      <c r="BP21" s="931"/>
      <c r="BQ21" s="931"/>
      <c r="BR21" s="931"/>
      <c r="BS21" s="931"/>
      <c r="BT21" s="931"/>
    </row>
    <row r="22" spans="1:72" x14ac:dyDescent="0.25">
      <c r="A22" s="932"/>
      <c r="B22" s="932"/>
      <c r="C22" s="932"/>
      <c r="D22" s="932"/>
      <c r="E22" s="932"/>
      <c r="F22" s="932"/>
      <c r="G22" s="932"/>
      <c r="H22" s="932"/>
      <c r="I22" s="932"/>
      <c r="J22" s="932"/>
      <c r="K22" s="932"/>
      <c r="L22" s="932"/>
      <c r="M22" s="932"/>
      <c r="N22" s="932"/>
      <c r="O22" s="932"/>
      <c r="P22" s="932"/>
      <c r="Q22" s="932"/>
      <c r="R22" s="932"/>
      <c r="S22" s="932"/>
      <c r="T22" s="932"/>
      <c r="U22" s="933"/>
      <c r="V22" s="933"/>
      <c r="W22" s="933"/>
      <c r="X22" s="933"/>
      <c r="Y22" s="933"/>
      <c r="Z22" s="933"/>
      <c r="AA22" s="933"/>
      <c r="AB22" s="933"/>
      <c r="AC22" s="933"/>
      <c r="AD22" s="933"/>
      <c r="AE22" s="933"/>
      <c r="AF22" s="933"/>
      <c r="AG22" s="933"/>
      <c r="AH22" s="933"/>
      <c r="AI22" s="933"/>
      <c r="AJ22" s="933"/>
      <c r="AK22" s="933"/>
      <c r="AL22" s="933"/>
      <c r="AM22" s="933"/>
      <c r="AN22" s="933"/>
      <c r="AO22" s="933"/>
      <c r="AP22" s="933"/>
      <c r="AQ22" s="933"/>
      <c r="AR22" s="933"/>
      <c r="AS22" s="933"/>
      <c r="AT22" s="933"/>
      <c r="AU22" s="933"/>
      <c r="AV22" s="933"/>
      <c r="AW22" s="933"/>
      <c r="AX22" s="933"/>
      <c r="AY22" s="933"/>
      <c r="AZ22" s="933"/>
      <c r="BA22" s="933"/>
      <c r="BB22" s="933"/>
      <c r="BC22" s="933"/>
      <c r="BD22" s="933"/>
      <c r="BE22" s="933"/>
      <c r="BF22" s="933"/>
      <c r="BG22" s="933"/>
      <c r="BH22" s="933"/>
      <c r="BI22" s="933"/>
      <c r="BJ22" s="933"/>
      <c r="BK22" s="933"/>
      <c r="BL22" s="933"/>
      <c r="BM22" s="933"/>
      <c r="BN22" s="933"/>
      <c r="BO22" s="933"/>
      <c r="BP22" s="933"/>
      <c r="BQ22" s="933"/>
      <c r="BR22" s="933"/>
      <c r="BS22" s="933"/>
      <c r="BT22" s="933"/>
    </row>
    <row r="23" spans="1:72" ht="42.75" customHeight="1" x14ac:dyDescent="0.25">
      <c r="A23" s="1692" t="s">
        <v>757</v>
      </c>
      <c r="B23" s="1692"/>
      <c r="C23" s="1692"/>
      <c r="D23" s="1692"/>
      <c r="E23" s="1692"/>
      <c r="F23" s="1692"/>
      <c r="G23" s="1692"/>
      <c r="H23" s="1692"/>
      <c r="I23" s="1692"/>
      <c r="J23" s="1692"/>
      <c r="K23" s="1692"/>
      <c r="L23" s="1692"/>
      <c r="M23" s="1692"/>
      <c r="N23" s="1692"/>
      <c r="O23" s="1692"/>
      <c r="P23" s="1692"/>
      <c r="Q23" s="1692"/>
      <c r="R23" s="1692"/>
      <c r="S23" s="1692"/>
      <c r="T23" s="1692"/>
      <c r="U23" s="933"/>
      <c r="V23" s="933"/>
      <c r="W23" s="933"/>
      <c r="X23" s="933"/>
      <c r="Y23" s="933"/>
      <c r="Z23" s="933"/>
      <c r="AA23" s="933"/>
      <c r="AB23" s="933"/>
      <c r="AC23" s="933"/>
      <c r="AD23" s="933"/>
      <c r="AE23" s="933"/>
      <c r="AF23" s="933"/>
      <c r="AG23" s="933"/>
      <c r="AH23" s="933"/>
      <c r="AI23" s="933"/>
      <c r="AJ23" s="933"/>
      <c r="AK23" s="933"/>
      <c r="AL23" s="933"/>
      <c r="AM23" s="933"/>
      <c r="AN23" s="933"/>
      <c r="AO23" s="933"/>
      <c r="AP23" s="933"/>
      <c r="AQ23" s="933"/>
      <c r="AR23" s="933"/>
      <c r="AS23" s="933"/>
      <c r="AT23" s="933"/>
      <c r="AU23" s="933"/>
      <c r="AV23" s="933"/>
      <c r="AW23" s="933"/>
      <c r="AX23" s="933"/>
      <c r="AY23" s="933"/>
      <c r="AZ23" s="933"/>
      <c r="BA23" s="933"/>
      <c r="BB23" s="933"/>
      <c r="BC23" s="933"/>
      <c r="BD23" s="933"/>
      <c r="BE23" s="933"/>
      <c r="BF23" s="933"/>
      <c r="BG23" s="933"/>
      <c r="BH23" s="933"/>
      <c r="BI23" s="933"/>
      <c r="BJ23" s="933"/>
      <c r="BK23" s="933"/>
      <c r="BL23" s="933"/>
      <c r="BM23" s="933"/>
      <c r="BN23" s="933"/>
      <c r="BO23" s="933"/>
      <c r="BP23" s="933"/>
      <c r="BQ23" s="933"/>
      <c r="BR23" s="933"/>
      <c r="BS23" s="933"/>
      <c r="BT23" s="933"/>
    </row>
    <row r="24" spans="1:72" x14ac:dyDescent="0.25">
      <c r="A24" s="933"/>
      <c r="B24" s="933"/>
      <c r="C24" s="933"/>
      <c r="D24" s="933"/>
      <c r="E24" s="933"/>
      <c r="F24" s="933"/>
      <c r="G24" s="933"/>
      <c r="H24" s="933"/>
      <c r="I24" s="933"/>
      <c r="J24" s="933"/>
      <c r="K24" s="933"/>
      <c r="L24" s="933"/>
      <c r="M24" s="933"/>
      <c r="N24" s="933"/>
      <c r="O24" s="933"/>
      <c r="P24" s="933"/>
      <c r="Q24" s="933"/>
      <c r="R24" s="933"/>
      <c r="S24" s="933"/>
      <c r="T24" s="933"/>
      <c r="U24" s="933"/>
      <c r="V24" s="933"/>
      <c r="W24" s="933"/>
      <c r="X24" s="933"/>
      <c r="Y24" s="933"/>
      <c r="Z24" s="933"/>
      <c r="AA24" s="933"/>
      <c r="AB24" s="933"/>
      <c r="AC24" s="933"/>
      <c r="AD24" s="933"/>
      <c r="AE24" s="933"/>
      <c r="AF24" s="933"/>
      <c r="AG24" s="933"/>
      <c r="AH24" s="933"/>
      <c r="AI24" s="933"/>
      <c r="AJ24" s="933"/>
      <c r="AK24" s="933"/>
      <c r="AL24" s="933"/>
      <c r="AM24" s="933"/>
      <c r="AN24" s="933"/>
      <c r="AO24" s="933"/>
      <c r="AP24" s="933"/>
      <c r="AQ24" s="933"/>
      <c r="AR24" s="933"/>
      <c r="AS24" s="933"/>
      <c r="AT24" s="933"/>
      <c r="AU24" s="933"/>
      <c r="AV24" s="933"/>
      <c r="AW24" s="933"/>
      <c r="AX24" s="933"/>
      <c r="AY24" s="933"/>
      <c r="AZ24" s="933"/>
      <c r="BA24" s="933"/>
      <c r="BB24" s="933"/>
      <c r="BC24" s="933"/>
      <c r="BD24" s="933"/>
      <c r="BE24" s="933"/>
      <c r="BF24" s="933"/>
      <c r="BG24" s="933"/>
      <c r="BH24" s="933"/>
      <c r="BI24" s="933"/>
      <c r="BJ24" s="933"/>
      <c r="BK24" s="933"/>
      <c r="BL24" s="933"/>
      <c r="BM24" s="933"/>
      <c r="BN24" s="933"/>
      <c r="BO24" s="933"/>
      <c r="BP24" s="933"/>
      <c r="BQ24" s="933"/>
      <c r="BR24" s="933"/>
      <c r="BS24" s="933"/>
      <c r="BT24" s="933"/>
    </row>
    <row r="25" spans="1:72" ht="15.5" x14ac:dyDescent="0.35">
      <c r="A25" s="1693" t="s">
        <v>1113</v>
      </c>
      <c r="B25" s="1693"/>
      <c r="C25" s="1693"/>
      <c r="D25" s="1693"/>
      <c r="E25" s="1693"/>
      <c r="F25" s="1693"/>
      <c r="G25" s="1693"/>
      <c r="H25" s="1693"/>
      <c r="I25" s="1693"/>
      <c r="J25" s="1693"/>
      <c r="K25" s="1693"/>
      <c r="L25" s="933"/>
      <c r="M25" s="933"/>
      <c r="N25" s="933"/>
      <c r="O25" s="933"/>
      <c r="P25" s="933"/>
      <c r="Q25" s="933"/>
      <c r="R25" s="933"/>
      <c r="S25" s="933"/>
      <c r="T25" s="933"/>
      <c r="U25" s="933"/>
      <c r="V25" s="933"/>
      <c r="W25" s="933"/>
      <c r="X25" s="933"/>
      <c r="Y25" s="933"/>
      <c r="Z25" s="933"/>
      <c r="AA25" s="933"/>
      <c r="AB25" s="933"/>
      <c r="AC25" s="933"/>
      <c r="AD25" s="933"/>
      <c r="AE25" s="933"/>
      <c r="AF25" s="933"/>
      <c r="AG25" s="933"/>
      <c r="AH25" s="933"/>
      <c r="AI25" s="933"/>
      <c r="AJ25" s="933"/>
      <c r="AK25" s="933"/>
      <c r="AL25" s="933"/>
      <c r="AM25" s="933"/>
      <c r="AN25" s="933"/>
      <c r="AO25" s="933"/>
      <c r="AP25" s="933"/>
      <c r="AQ25" s="933"/>
      <c r="AR25" s="933"/>
      <c r="AS25" s="933"/>
      <c r="AT25" s="933"/>
      <c r="AU25" s="933"/>
      <c r="AV25" s="933"/>
      <c r="AW25" s="933"/>
      <c r="AX25" s="933"/>
      <c r="AY25" s="933"/>
      <c r="AZ25" s="933"/>
      <c r="BA25" s="933"/>
      <c r="BB25" s="933"/>
      <c r="BC25" s="933"/>
      <c r="BD25" s="933"/>
      <c r="BE25" s="933"/>
      <c r="BF25" s="933"/>
      <c r="BG25" s="933"/>
      <c r="BH25" s="933"/>
      <c r="BI25" s="933"/>
      <c r="BJ25" s="933"/>
      <c r="BK25" s="933"/>
      <c r="BL25" s="933"/>
      <c r="BM25" s="933"/>
      <c r="BN25" s="933"/>
      <c r="BO25" s="933"/>
      <c r="BP25" s="933"/>
      <c r="BQ25" s="933"/>
      <c r="BR25" s="933"/>
      <c r="BS25" s="933"/>
      <c r="BT25" s="933"/>
    </row>
    <row r="26" spans="1:72" ht="13" thickBot="1" x14ac:dyDescent="0.3">
      <c r="A26" s="1694"/>
      <c r="B26" s="1694"/>
      <c r="C26" s="1694"/>
      <c r="D26" s="1694"/>
      <c r="E26" s="1694"/>
      <c r="F26" s="1694"/>
      <c r="G26" s="1694"/>
      <c r="H26" s="1694"/>
      <c r="I26" s="1694"/>
      <c r="J26" s="1694"/>
      <c r="K26" s="1694"/>
      <c r="L26" s="933"/>
      <c r="M26" s="933"/>
      <c r="N26" s="933"/>
      <c r="O26" s="933"/>
      <c r="P26" s="933"/>
      <c r="Q26" s="933"/>
      <c r="R26" s="933"/>
      <c r="S26" s="933"/>
      <c r="T26" s="933"/>
      <c r="U26" s="933"/>
      <c r="V26" s="933"/>
      <c r="W26" s="933"/>
      <c r="X26" s="933"/>
      <c r="Y26" s="933"/>
      <c r="Z26" s="933"/>
      <c r="AA26" s="933"/>
      <c r="AB26" s="933"/>
      <c r="AC26" s="933"/>
      <c r="AD26" s="933"/>
      <c r="AE26" s="933"/>
      <c r="AF26" s="933"/>
      <c r="AG26" s="933"/>
      <c r="AH26" s="933"/>
      <c r="AI26" s="933"/>
      <c r="AJ26" s="933"/>
      <c r="AK26" s="933"/>
      <c r="AL26" s="933"/>
      <c r="AM26" s="933"/>
      <c r="AN26" s="933"/>
      <c r="AO26" s="933"/>
      <c r="AP26" s="933"/>
      <c r="AQ26" s="933"/>
      <c r="AR26" s="933"/>
      <c r="AS26" s="933"/>
      <c r="AT26" s="933"/>
      <c r="AU26" s="933"/>
      <c r="AV26" s="933"/>
      <c r="AW26" s="933"/>
      <c r="AX26" s="933"/>
      <c r="AY26" s="933"/>
      <c r="AZ26" s="933"/>
      <c r="BA26" s="933"/>
      <c r="BB26" s="933"/>
      <c r="BC26" s="933"/>
      <c r="BD26" s="933"/>
      <c r="BE26" s="933"/>
      <c r="BF26" s="933"/>
      <c r="BG26" s="933"/>
      <c r="BH26" s="933"/>
      <c r="BI26" s="933"/>
      <c r="BJ26" s="933"/>
      <c r="BK26" s="933"/>
      <c r="BL26" s="933"/>
      <c r="BM26" s="933"/>
      <c r="BN26" s="933"/>
      <c r="BO26" s="933"/>
      <c r="BP26" s="933"/>
      <c r="BQ26" s="933"/>
      <c r="BR26" s="933"/>
      <c r="BS26" s="933"/>
      <c r="BT26" s="933"/>
    </row>
    <row r="27" spans="1:72" ht="39" x14ac:dyDescent="0.25">
      <c r="A27" s="934"/>
      <c r="B27" s="935" t="s">
        <v>758</v>
      </c>
      <c r="C27" s="935" t="s">
        <v>759</v>
      </c>
      <c r="D27" s="935" t="s">
        <v>1115</v>
      </c>
      <c r="E27" s="1695"/>
      <c r="F27" s="1695"/>
      <c r="G27" s="1695"/>
      <c r="H27" s="1695"/>
      <c r="I27" s="1695"/>
      <c r="J27" s="1697" t="s">
        <v>760</v>
      </c>
      <c r="K27" s="1698"/>
      <c r="L27" s="933"/>
      <c r="M27" s="933"/>
      <c r="N27" s="933"/>
      <c r="O27" s="933"/>
      <c r="P27" s="933"/>
      <c r="Q27" s="933"/>
      <c r="R27" s="933"/>
      <c r="S27" s="933"/>
      <c r="T27" s="933"/>
      <c r="U27" s="933"/>
      <c r="V27" s="933"/>
      <c r="W27" s="933"/>
      <c r="X27" s="933"/>
      <c r="Y27" s="933"/>
      <c r="Z27" s="933"/>
      <c r="AA27" s="933"/>
      <c r="AB27" s="933"/>
      <c r="AC27" s="933"/>
      <c r="AD27" s="933"/>
      <c r="AE27" s="933"/>
      <c r="AF27" s="933"/>
      <c r="AG27" s="933"/>
      <c r="AH27" s="933"/>
      <c r="AI27" s="933"/>
      <c r="AJ27" s="933"/>
      <c r="AK27" s="933"/>
      <c r="AL27" s="933"/>
      <c r="AM27" s="933"/>
      <c r="AN27" s="933"/>
      <c r="AO27" s="933"/>
      <c r="AP27" s="933"/>
      <c r="AQ27" s="933"/>
      <c r="AR27" s="933"/>
      <c r="AS27" s="933"/>
      <c r="AT27" s="933"/>
      <c r="AU27" s="933"/>
      <c r="AV27" s="933"/>
      <c r="AW27" s="933"/>
      <c r="AX27" s="933"/>
      <c r="AY27" s="933"/>
      <c r="AZ27" s="933"/>
      <c r="BA27" s="933"/>
      <c r="BB27" s="933"/>
      <c r="BC27" s="933"/>
      <c r="BD27" s="933"/>
      <c r="BE27" s="933"/>
      <c r="BF27" s="933"/>
      <c r="BG27" s="933"/>
      <c r="BH27" s="933"/>
      <c r="BI27" s="933"/>
      <c r="BJ27" s="933"/>
      <c r="BK27" s="933"/>
      <c r="BL27" s="933"/>
      <c r="BM27" s="933"/>
      <c r="BN27" s="933"/>
      <c r="BO27" s="933"/>
      <c r="BP27" s="933"/>
      <c r="BQ27" s="933"/>
      <c r="BR27" s="933"/>
      <c r="BS27" s="933"/>
      <c r="BT27" s="933"/>
    </row>
    <row r="28" spans="1:72" x14ac:dyDescent="0.25">
      <c r="A28" s="936" t="s">
        <v>569</v>
      </c>
      <c r="B28" s="937">
        <f>G40/F40</f>
        <v>1.0482288241385485</v>
      </c>
      <c r="C28" s="937">
        <f>H40/G40</f>
        <v>1.0526415477404851</v>
      </c>
      <c r="D28" s="937">
        <f>I40/H40</f>
        <v>1.0160295046377366</v>
      </c>
      <c r="E28" s="1696"/>
      <c r="F28" s="1696"/>
      <c r="G28" s="1696"/>
      <c r="H28" s="1696"/>
      <c r="I28" s="1696"/>
      <c r="J28" s="1696" t="s">
        <v>1083</v>
      </c>
      <c r="K28" s="1699" t="s">
        <v>1091</v>
      </c>
      <c r="L28" s="933"/>
      <c r="M28" s="933"/>
      <c r="N28" s="933"/>
      <c r="O28" s="933"/>
      <c r="P28" s="933"/>
      <c r="Q28" s="933"/>
      <c r="R28" s="933"/>
      <c r="S28" s="933"/>
      <c r="T28" s="933"/>
      <c r="U28" s="933"/>
      <c r="V28" s="933"/>
      <c r="W28" s="933"/>
      <c r="X28" s="933"/>
      <c r="Y28" s="933"/>
      <c r="Z28" s="933"/>
      <c r="AA28" s="933"/>
      <c r="AB28" s="933"/>
      <c r="AC28" s="933"/>
      <c r="AD28" s="933"/>
      <c r="AE28" s="933"/>
      <c r="AF28" s="933"/>
      <c r="AG28" s="933"/>
      <c r="AH28" s="933"/>
      <c r="AI28" s="933"/>
      <c r="AJ28" s="933"/>
      <c r="AK28" s="933"/>
      <c r="AL28" s="933"/>
      <c r="AM28" s="933"/>
      <c r="AN28" s="933"/>
      <c r="AO28" s="933"/>
      <c r="AP28" s="933"/>
      <c r="AQ28" s="933"/>
      <c r="AR28" s="933"/>
      <c r="AS28" s="933"/>
      <c r="AT28" s="933"/>
      <c r="AU28" s="933"/>
      <c r="AV28" s="933"/>
      <c r="AW28" s="933"/>
      <c r="AX28" s="933"/>
      <c r="AY28" s="933"/>
      <c r="AZ28" s="933"/>
      <c r="BA28" s="933"/>
      <c r="BB28" s="933"/>
      <c r="BC28" s="933"/>
      <c r="BD28" s="933"/>
      <c r="BE28" s="933"/>
      <c r="BF28" s="933"/>
      <c r="BG28" s="933"/>
      <c r="BH28" s="933"/>
      <c r="BI28" s="933"/>
      <c r="BJ28" s="933"/>
      <c r="BK28" s="933"/>
      <c r="BL28" s="933"/>
      <c r="BM28" s="933"/>
      <c r="BN28" s="933"/>
      <c r="BO28" s="933"/>
      <c r="BP28" s="933"/>
      <c r="BQ28" s="933"/>
      <c r="BR28" s="933"/>
      <c r="BS28" s="933"/>
      <c r="BT28" s="933"/>
    </row>
    <row r="29" spans="1:72" x14ac:dyDescent="0.25">
      <c r="A29" s="938" t="s">
        <v>570</v>
      </c>
      <c r="B29" s="939">
        <f t="shared" ref="B29:B35" si="0">G41/F41</f>
        <v>1.1441282284851997</v>
      </c>
      <c r="C29" s="939">
        <f t="shared" ref="C29:C35" si="1">H41/G41</f>
        <v>1.1360328119345371</v>
      </c>
      <c r="D29" s="939">
        <f t="shared" ref="D29:D35" si="2">I41/H41</f>
        <v>1.0363018547359477</v>
      </c>
      <c r="E29" s="1696"/>
      <c r="F29" s="1696"/>
      <c r="G29" s="1696"/>
      <c r="H29" s="1696"/>
      <c r="I29" s="1696"/>
      <c r="J29" s="1696"/>
      <c r="K29" s="1699"/>
      <c r="L29" s="933"/>
      <c r="M29" s="933"/>
      <c r="N29" s="933"/>
      <c r="O29" s="933"/>
      <c r="P29" s="933"/>
      <c r="Q29" s="933"/>
      <c r="R29" s="933"/>
      <c r="S29" s="933"/>
      <c r="T29" s="933"/>
      <c r="U29" s="933"/>
      <c r="V29" s="933"/>
      <c r="W29" s="933"/>
      <c r="X29" s="933"/>
      <c r="Y29" s="933"/>
      <c r="Z29" s="933"/>
      <c r="AA29" s="933"/>
      <c r="AB29" s="933"/>
      <c r="AC29" s="933"/>
      <c r="AD29" s="933"/>
      <c r="AE29" s="933"/>
      <c r="AF29" s="933"/>
      <c r="AG29" s="933"/>
      <c r="AH29" s="933"/>
      <c r="AI29" s="933"/>
      <c r="AJ29" s="933"/>
      <c r="AK29" s="933"/>
      <c r="AL29" s="933"/>
      <c r="AM29" s="933"/>
      <c r="AN29" s="933"/>
      <c r="AO29" s="933"/>
      <c r="AP29" s="933"/>
      <c r="AQ29" s="933"/>
      <c r="AR29" s="933"/>
      <c r="AS29" s="933"/>
      <c r="AT29" s="933"/>
      <c r="AU29" s="933"/>
      <c r="AV29" s="933"/>
      <c r="AW29" s="933"/>
      <c r="AX29" s="933"/>
      <c r="AY29" s="933"/>
      <c r="AZ29" s="933"/>
      <c r="BA29" s="933"/>
      <c r="BB29" s="933"/>
      <c r="BC29" s="933"/>
      <c r="BD29" s="933"/>
      <c r="BE29" s="933"/>
      <c r="BF29" s="933"/>
      <c r="BG29" s="933"/>
      <c r="BH29" s="933"/>
      <c r="BI29" s="933"/>
      <c r="BJ29" s="933"/>
      <c r="BK29" s="933"/>
      <c r="BL29" s="933"/>
      <c r="BM29" s="933"/>
      <c r="BN29" s="933"/>
      <c r="BO29" s="933"/>
      <c r="BP29" s="933"/>
      <c r="BQ29" s="933"/>
      <c r="BR29" s="933"/>
      <c r="BS29" s="933"/>
      <c r="BT29" s="933"/>
    </row>
    <row r="30" spans="1:72" x14ac:dyDescent="0.25">
      <c r="A30" s="936" t="s">
        <v>571</v>
      </c>
      <c r="B30" s="937">
        <f t="shared" si="0"/>
        <v>1.1252277801242987</v>
      </c>
      <c r="C30" s="937">
        <f t="shared" si="1"/>
        <v>1.1222249629995065</v>
      </c>
      <c r="D30" s="937">
        <f t="shared" si="2"/>
        <v>1.0285793469898747</v>
      </c>
      <c r="E30" s="1696"/>
      <c r="F30" s="1696"/>
      <c r="G30" s="1696"/>
      <c r="H30" s="1696"/>
      <c r="I30" s="1696"/>
      <c r="J30" s="940">
        <v>1991</v>
      </c>
      <c r="K30" s="941">
        <v>84.5</v>
      </c>
      <c r="L30" s="933"/>
      <c r="M30" s="933"/>
      <c r="N30" s="933"/>
      <c r="O30" s="933"/>
      <c r="P30" s="933"/>
      <c r="Q30" s="933"/>
      <c r="R30" s="933"/>
      <c r="S30" s="933"/>
      <c r="T30" s="933"/>
      <c r="U30" s="933"/>
      <c r="V30" s="933"/>
      <c r="W30" s="933"/>
      <c r="X30" s="933"/>
      <c r="Y30" s="933"/>
      <c r="Z30" s="933"/>
      <c r="AA30" s="933"/>
      <c r="AB30" s="933"/>
      <c r="AC30" s="933"/>
      <c r="AD30" s="933"/>
      <c r="AE30" s="933"/>
      <c r="AF30" s="933"/>
      <c r="AG30" s="933"/>
      <c r="AH30" s="933"/>
      <c r="AI30" s="933"/>
      <c r="AJ30" s="933"/>
      <c r="AK30" s="933"/>
      <c r="AL30" s="933"/>
      <c r="AM30" s="933"/>
      <c r="AN30" s="933"/>
      <c r="AO30" s="933"/>
      <c r="AP30" s="933"/>
      <c r="AQ30" s="933"/>
      <c r="AR30" s="933"/>
      <c r="AS30" s="933"/>
      <c r="AT30" s="933"/>
      <c r="AU30" s="933"/>
      <c r="AV30" s="933"/>
      <c r="AW30" s="933"/>
      <c r="AX30" s="933"/>
      <c r="AY30" s="933"/>
      <c r="AZ30" s="933"/>
      <c r="BA30" s="933"/>
      <c r="BB30" s="933"/>
      <c r="BC30" s="933"/>
      <c r="BD30" s="933"/>
      <c r="BE30" s="933"/>
      <c r="BF30" s="933"/>
      <c r="BG30" s="933"/>
      <c r="BH30" s="933"/>
      <c r="BI30" s="933"/>
      <c r="BJ30" s="933"/>
      <c r="BK30" s="933"/>
      <c r="BL30" s="933"/>
      <c r="BM30" s="933"/>
      <c r="BN30" s="933"/>
      <c r="BO30" s="933"/>
      <c r="BP30" s="933"/>
      <c r="BQ30" s="933"/>
      <c r="BR30" s="933"/>
      <c r="BS30" s="933"/>
      <c r="BT30" s="933"/>
    </row>
    <row r="31" spans="1:72" x14ac:dyDescent="0.25">
      <c r="A31" s="938" t="s">
        <v>572</v>
      </c>
      <c r="B31" s="939">
        <f t="shared" si="0"/>
        <v>1.0687839040840581</v>
      </c>
      <c r="C31" s="939">
        <f t="shared" si="1"/>
        <v>1.0213566498986533</v>
      </c>
      <c r="D31" s="939">
        <f t="shared" si="2"/>
        <v>1.0031375164207406</v>
      </c>
      <c r="E31" s="1696"/>
      <c r="F31" s="1696"/>
      <c r="G31" s="1696"/>
      <c r="H31" s="1696"/>
      <c r="I31" s="1696"/>
      <c r="J31" s="942">
        <v>1992</v>
      </c>
      <c r="K31" s="943">
        <v>86.4</v>
      </c>
      <c r="L31" s="933"/>
      <c r="M31" s="933"/>
      <c r="N31" s="933"/>
      <c r="O31" s="933"/>
      <c r="P31" s="933"/>
      <c r="Q31" s="933"/>
      <c r="R31" s="933"/>
      <c r="S31" s="933"/>
      <c r="T31" s="933"/>
      <c r="U31" s="933"/>
      <c r="V31" s="933"/>
      <c r="W31" s="933"/>
      <c r="X31" s="933"/>
      <c r="Y31" s="933"/>
      <c r="Z31" s="933"/>
      <c r="AA31" s="933"/>
      <c r="AB31" s="933"/>
      <c r="AC31" s="933"/>
      <c r="AD31" s="933"/>
      <c r="AE31" s="933"/>
      <c r="AF31" s="933"/>
      <c r="AG31" s="933"/>
      <c r="AH31" s="933"/>
      <c r="AI31" s="933"/>
      <c r="AJ31" s="933"/>
      <c r="AK31" s="933"/>
      <c r="AL31" s="933"/>
      <c r="AM31" s="933"/>
      <c r="AN31" s="933"/>
      <c r="AO31" s="933"/>
      <c r="AP31" s="933"/>
      <c r="AQ31" s="933"/>
      <c r="AR31" s="933"/>
      <c r="AS31" s="933"/>
      <c r="AT31" s="933"/>
      <c r="AU31" s="933"/>
      <c r="AV31" s="933"/>
      <c r="AW31" s="933"/>
      <c r="AX31" s="933"/>
      <c r="AY31" s="933"/>
      <c r="AZ31" s="933"/>
      <c r="BA31" s="933"/>
      <c r="BB31" s="933"/>
      <c r="BC31" s="933"/>
      <c r="BD31" s="933"/>
      <c r="BE31" s="933"/>
      <c r="BF31" s="933"/>
      <c r="BG31" s="933"/>
      <c r="BH31" s="933"/>
      <c r="BI31" s="933"/>
      <c r="BJ31" s="933"/>
      <c r="BK31" s="933"/>
      <c r="BL31" s="933"/>
      <c r="BM31" s="933"/>
      <c r="BN31" s="933"/>
      <c r="BO31" s="933"/>
      <c r="BP31" s="933"/>
      <c r="BQ31" s="933"/>
      <c r="BR31" s="933"/>
      <c r="BS31" s="933"/>
      <c r="BT31" s="933"/>
    </row>
    <row r="32" spans="1:72" x14ac:dyDescent="0.25">
      <c r="A32" s="936" t="s">
        <v>573</v>
      </c>
      <c r="B32" s="937">
        <f t="shared" si="0"/>
        <v>1.03736526166104</v>
      </c>
      <c r="C32" s="937">
        <f t="shared" si="1"/>
        <v>1.0084486821562659</v>
      </c>
      <c r="D32" s="937">
        <f t="shared" si="2"/>
        <v>1.0010687685088917</v>
      </c>
      <c r="E32" s="1696"/>
      <c r="F32" s="1696"/>
      <c r="G32" s="1696"/>
      <c r="H32" s="1696"/>
      <c r="I32" s="1696"/>
      <c r="J32" s="940">
        <v>1993</v>
      </c>
      <c r="K32" s="941">
        <v>88.4</v>
      </c>
      <c r="L32" s="933"/>
      <c r="M32" s="933"/>
      <c r="N32" s="933"/>
      <c r="O32" s="933"/>
      <c r="P32" s="933"/>
      <c r="Q32" s="933"/>
      <c r="R32" s="933"/>
      <c r="S32" s="933"/>
      <c r="T32" s="933"/>
      <c r="U32" s="933"/>
      <c r="V32" s="933"/>
      <c r="W32" s="933"/>
      <c r="X32" s="933"/>
      <c r="Y32" s="933"/>
      <c r="Z32" s="933"/>
      <c r="AA32" s="933"/>
      <c r="AB32" s="933"/>
      <c r="AC32" s="933"/>
      <c r="AD32" s="933"/>
      <c r="AE32" s="933"/>
      <c r="AF32" s="933"/>
      <c r="AG32" s="933"/>
      <c r="AH32" s="933"/>
      <c r="AI32" s="933"/>
      <c r="AJ32" s="933"/>
      <c r="AK32" s="933"/>
      <c r="AL32" s="933"/>
      <c r="AM32" s="933"/>
      <c r="AN32" s="933"/>
      <c r="AO32" s="933"/>
      <c r="AP32" s="933"/>
      <c r="AQ32" s="933"/>
      <c r="AR32" s="933"/>
      <c r="AS32" s="933"/>
      <c r="AT32" s="933"/>
      <c r="AU32" s="933"/>
      <c r="AV32" s="933"/>
      <c r="AW32" s="933"/>
      <c r="AX32" s="933"/>
      <c r="AY32" s="933"/>
      <c r="AZ32" s="933"/>
      <c r="BA32" s="933"/>
      <c r="BB32" s="933"/>
      <c r="BC32" s="933"/>
      <c r="BD32" s="933"/>
      <c r="BE32" s="933"/>
      <c r="BF32" s="933"/>
      <c r="BG32" s="933"/>
      <c r="BH32" s="933"/>
      <c r="BI32" s="933"/>
      <c r="BJ32" s="933"/>
      <c r="BK32" s="933"/>
      <c r="BL32" s="933"/>
      <c r="BM32" s="933"/>
      <c r="BN32" s="933"/>
      <c r="BO32" s="933"/>
      <c r="BP32" s="933"/>
      <c r="BQ32" s="933"/>
      <c r="BR32" s="933"/>
      <c r="BS32" s="933"/>
      <c r="BT32" s="933"/>
    </row>
    <row r="33" spans="1:72" x14ac:dyDescent="0.25">
      <c r="A33" s="938" t="s">
        <v>574</v>
      </c>
      <c r="B33" s="939">
        <f t="shared" si="0"/>
        <v>0.975071533164794</v>
      </c>
      <c r="C33" s="939">
        <f t="shared" si="1"/>
        <v>1.0087393571750138</v>
      </c>
      <c r="D33" s="939">
        <f t="shared" si="2"/>
        <v>0.99663324890666094</v>
      </c>
      <c r="E33" s="1696"/>
      <c r="F33" s="1696"/>
      <c r="G33" s="1696"/>
      <c r="H33" s="1696"/>
      <c r="I33" s="1696"/>
      <c r="J33" s="942">
        <v>1994</v>
      </c>
      <c r="K33" s="943">
        <v>90.3</v>
      </c>
      <c r="L33" s="933"/>
      <c r="M33" s="933"/>
      <c r="N33" s="933"/>
      <c r="O33" s="933"/>
      <c r="P33" s="933"/>
      <c r="Q33" s="933"/>
      <c r="R33" s="933"/>
      <c r="S33" s="933"/>
      <c r="T33" s="933"/>
      <c r="U33" s="933"/>
      <c r="V33" s="933"/>
      <c r="W33" s="933"/>
      <c r="X33" s="933"/>
      <c r="Y33" s="933"/>
      <c r="Z33" s="933"/>
      <c r="AA33" s="933"/>
      <c r="AB33" s="933"/>
      <c r="AC33" s="933"/>
      <c r="AD33" s="933"/>
      <c r="AE33" s="933"/>
      <c r="AF33" s="933"/>
      <c r="AG33" s="933"/>
      <c r="AH33" s="933"/>
      <c r="AI33" s="933"/>
      <c r="AJ33" s="933"/>
      <c r="AK33" s="933"/>
      <c r="AL33" s="933"/>
      <c r="AM33" s="933"/>
      <c r="AN33" s="933"/>
      <c r="AO33" s="933"/>
      <c r="AP33" s="933"/>
      <c r="AQ33" s="933"/>
      <c r="AR33" s="933"/>
      <c r="AS33" s="933"/>
      <c r="AT33" s="933"/>
      <c r="AU33" s="933"/>
      <c r="AV33" s="933"/>
      <c r="AW33" s="933"/>
      <c r="AX33" s="933"/>
      <c r="AY33" s="933"/>
      <c r="AZ33" s="933"/>
      <c r="BA33" s="933"/>
      <c r="BB33" s="933"/>
      <c r="BC33" s="933"/>
      <c r="BD33" s="933"/>
      <c r="BE33" s="933"/>
      <c r="BF33" s="933"/>
      <c r="BG33" s="933"/>
      <c r="BH33" s="933"/>
      <c r="BI33" s="933"/>
      <c r="BJ33" s="933"/>
      <c r="BK33" s="933"/>
      <c r="BL33" s="933"/>
      <c r="BM33" s="933"/>
      <c r="BN33" s="933"/>
      <c r="BO33" s="933"/>
      <c r="BP33" s="933"/>
      <c r="BQ33" s="933"/>
      <c r="BR33" s="933"/>
      <c r="BS33" s="933"/>
      <c r="BT33" s="933"/>
    </row>
    <row r="34" spans="1:72" x14ac:dyDescent="0.25">
      <c r="A34" s="936" t="s">
        <v>575</v>
      </c>
      <c r="B34" s="937">
        <f t="shared" si="0"/>
        <v>1.0938371922267365</v>
      </c>
      <c r="C34" s="937">
        <f t="shared" si="1"/>
        <v>1.0852680569229392</v>
      </c>
      <c r="D34" s="937">
        <f t="shared" si="2"/>
        <v>1.0142672175626977</v>
      </c>
      <c r="E34" s="1696"/>
      <c r="F34" s="1696"/>
      <c r="G34" s="1696"/>
      <c r="H34" s="1696"/>
      <c r="I34" s="1696"/>
      <c r="J34" s="940">
        <v>1995</v>
      </c>
      <c r="K34" s="941">
        <v>92.1</v>
      </c>
      <c r="L34" s="933"/>
      <c r="M34" s="933"/>
      <c r="N34" s="933"/>
      <c r="O34" s="933"/>
      <c r="P34" s="933"/>
      <c r="Q34" s="933"/>
      <c r="R34" s="933"/>
      <c r="S34" s="933"/>
      <c r="T34" s="933"/>
      <c r="U34" s="933"/>
      <c r="V34" s="933"/>
      <c r="W34" s="933"/>
      <c r="X34" s="933"/>
      <c r="Y34" s="933"/>
      <c r="Z34" s="933"/>
      <c r="AA34" s="933"/>
      <c r="AB34" s="933"/>
      <c r="AC34" s="933"/>
      <c r="AD34" s="933"/>
      <c r="AE34" s="933"/>
      <c r="AF34" s="933"/>
      <c r="AG34" s="933"/>
      <c r="AH34" s="933"/>
      <c r="AI34" s="933"/>
      <c r="AJ34" s="933"/>
      <c r="AK34" s="933"/>
      <c r="AL34" s="933"/>
      <c r="AM34" s="933"/>
      <c r="AN34" s="933"/>
      <c r="AO34" s="933"/>
      <c r="AP34" s="933"/>
      <c r="AQ34" s="933"/>
      <c r="AR34" s="933"/>
      <c r="AS34" s="933"/>
      <c r="AT34" s="933"/>
      <c r="AU34" s="933"/>
      <c r="AV34" s="933"/>
      <c r="AW34" s="933"/>
      <c r="AX34" s="933"/>
      <c r="AY34" s="933"/>
      <c r="AZ34" s="933"/>
      <c r="BA34" s="933"/>
      <c r="BB34" s="933"/>
      <c r="BC34" s="933"/>
      <c r="BD34" s="933"/>
      <c r="BE34" s="933"/>
      <c r="BF34" s="933"/>
      <c r="BG34" s="933"/>
      <c r="BH34" s="933"/>
      <c r="BI34" s="933"/>
      <c r="BJ34" s="933"/>
      <c r="BK34" s="933"/>
      <c r="BL34" s="933"/>
      <c r="BM34" s="933"/>
      <c r="BN34" s="933"/>
      <c r="BO34" s="933"/>
      <c r="BP34" s="933"/>
      <c r="BQ34" s="933"/>
      <c r="BR34" s="933"/>
      <c r="BS34" s="933"/>
      <c r="BT34" s="933"/>
    </row>
    <row r="35" spans="1:72" x14ac:dyDescent="0.25">
      <c r="A35" s="938" t="s">
        <v>312</v>
      </c>
      <c r="B35" s="939">
        <f t="shared" si="0"/>
        <v>1.0046194107582356</v>
      </c>
      <c r="C35" s="939">
        <f t="shared" si="1"/>
        <v>1.003094645903579</v>
      </c>
      <c r="D35" s="939">
        <f t="shared" si="2"/>
        <v>0.99710816742279029</v>
      </c>
      <c r="E35" s="1696"/>
      <c r="F35" s="1696"/>
      <c r="G35" s="1696"/>
      <c r="H35" s="1696"/>
      <c r="I35" s="1696"/>
      <c r="J35" s="942">
        <v>1996</v>
      </c>
      <c r="K35" s="943">
        <v>93.9</v>
      </c>
      <c r="L35" s="933"/>
      <c r="M35" s="933"/>
      <c r="N35" s="933"/>
      <c r="O35" s="933"/>
      <c r="P35" s="933"/>
      <c r="Q35" s="933"/>
      <c r="R35" s="933"/>
      <c r="S35" s="933"/>
      <c r="T35" s="933"/>
      <c r="U35" s="933"/>
      <c r="V35" s="933"/>
      <c r="W35" s="933"/>
      <c r="X35" s="933"/>
      <c r="Y35" s="933"/>
      <c r="Z35" s="933"/>
      <c r="AA35" s="933"/>
      <c r="AB35" s="933"/>
      <c r="AC35" s="933"/>
      <c r="AD35" s="933"/>
      <c r="AE35" s="933"/>
      <c r="AF35" s="933"/>
      <c r="AG35" s="933"/>
      <c r="AH35" s="933"/>
      <c r="AI35" s="933"/>
      <c r="AJ35" s="933"/>
      <c r="AK35" s="933"/>
      <c r="AL35" s="933"/>
      <c r="AM35" s="933"/>
      <c r="AN35" s="933"/>
      <c r="AO35" s="933"/>
      <c r="AP35" s="933"/>
      <c r="AQ35" s="933"/>
      <c r="AR35" s="933"/>
      <c r="AS35" s="933"/>
      <c r="AT35" s="933"/>
      <c r="AU35" s="933"/>
      <c r="AV35" s="933"/>
      <c r="AW35" s="933"/>
      <c r="AX35" s="933"/>
      <c r="AY35" s="933"/>
      <c r="AZ35" s="933"/>
      <c r="BA35" s="933"/>
      <c r="BB35" s="933"/>
      <c r="BC35" s="933"/>
      <c r="BD35" s="933"/>
      <c r="BE35" s="933"/>
      <c r="BF35" s="933"/>
      <c r="BG35" s="933"/>
      <c r="BH35" s="933"/>
      <c r="BI35" s="933"/>
      <c r="BJ35" s="933"/>
      <c r="BK35" s="933"/>
      <c r="BL35" s="933"/>
      <c r="BM35" s="933"/>
      <c r="BN35" s="933"/>
      <c r="BO35" s="933"/>
      <c r="BP35" s="933"/>
      <c r="BQ35" s="933"/>
      <c r="BR35" s="933"/>
      <c r="BS35" s="933"/>
      <c r="BT35" s="933"/>
    </row>
    <row r="36" spans="1:72" x14ac:dyDescent="0.25">
      <c r="A36" s="1700"/>
      <c r="B36" s="1701"/>
      <c r="C36" s="1701"/>
      <c r="D36" s="1701"/>
      <c r="E36" s="1696"/>
      <c r="F36" s="1696"/>
      <c r="G36" s="1696"/>
      <c r="H36" s="1696"/>
      <c r="I36" s="1696"/>
      <c r="J36" s="940">
        <v>1997</v>
      </c>
      <c r="K36" s="941">
        <v>95.4</v>
      </c>
      <c r="L36" s="933"/>
      <c r="M36" s="933"/>
      <c r="N36" s="933"/>
      <c r="O36" s="933"/>
      <c r="P36" s="933"/>
      <c r="Q36" s="933"/>
      <c r="R36" s="933"/>
      <c r="S36" s="933"/>
      <c r="T36" s="933"/>
      <c r="U36" s="933"/>
      <c r="V36" s="933"/>
      <c r="W36" s="933"/>
      <c r="X36" s="933"/>
      <c r="Y36" s="933"/>
      <c r="Z36" s="933"/>
      <c r="AA36" s="933"/>
      <c r="AB36" s="933"/>
      <c r="AC36" s="933"/>
      <c r="AD36" s="933"/>
      <c r="AE36" s="933"/>
      <c r="AF36" s="933"/>
      <c r="AG36" s="933"/>
      <c r="AH36" s="933"/>
      <c r="AI36" s="933"/>
      <c r="AJ36" s="933"/>
      <c r="AK36" s="933"/>
      <c r="AL36" s="933"/>
      <c r="AM36" s="933"/>
      <c r="AN36" s="933"/>
      <c r="AO36" s="933"/>
      <c r="AP36" s="933"/>
      <c r="AQ36" s="933"/>
      <c r="AR36" s="933"/>
      <c r="AS36" s="933"/>
      <c r="AT36" s="933"/>
      <c r="AU36" s="933"/>
      <c r="AV36" s="933"/>
      <c r="AW36" s="933"/>
      <c r="AX36" s="933"/>
      <c r="AY36" s="933"/>
      <c r="AZ36" s="933"/>
      <c r="BA36" s="933"/>
      <c r="BB36" s="933"/>
      <c r="BC36" s="933"/>
      <c r="BD36" s="933"/>
      <c r="BE36" s="933"/>
      <c r="BF36" s="933"/>
      <c r="BG36" s="933"/>
      <c r="BH36" s="933"/>
      <c r="BI36" s="933"/>
      <c r="BJ36" s="933"/>
      <c r="BK36" s="933"/>
      <c r="BL36" s="933"/>
      <c r="BM36" s="933"/>
      <c r="BN36" s="933"/>
      <c r="BO36" s="933"/>
      <c r="BP36" s="933"/>
      <c r="BQ36" s="933"/>
      <c r="BR36" s="933"/>
      <c r="BS36" s="933"/>
      <c r="BT36" s="933"/>
    </row>
    <row r="37" spans="1:72" x14ac:dyDescent="0.25">
      <c r="A37" s="1700"/>
      <c r="B37" s="1701"/>
      <c r="C37" s="1701"/>
      <c r="D37" s="1701"/>
      <c r="E37" s="1696"/>
      <c r="F37" s="1696"/>
      <c r="G37" s="1696"/>
      <c r="H37" s="1696"/>
      <c r="I37" s="1696"/>
      <c r="J37" s="942">
        <v>1998</v>
      </c>
      <c r="K37" s="943">
        <v>96.5</v>
      </c>
      <c r="L37" s="933"/>
      <c r="M37" s="933"/>
      <c r="N37" s="933"/>
      <c r="O37" s="933"/>
      <c r="P37" s="933"/>
      <c r="Q37" s="933"/>
      <c r="R37" s="933"/>
      <c r="S37" s="933"/>
      <c r="T37" s="933"/>
      <c r="U37" s="933"/>
      <c r="V37" s="933"/>
      <c r="W37" s="933"/>
      <c r="X37" s="933"/>
      <c r="Y37" s="933"/>
      <c r="Z37" s="933"/>
      <c r="AA37" s="933"/>
      <c r="AB37" s="933"/>
      <c r="AC37" s="933"/>
      <c r="AD37" s="933"/>
      <c r="AE37" s="933"/>
      <c r="AF37" s="933"/>
      <c r="AG37" s="933"/>
      <c r="AH37" s="933"/>
      <c r="AI37" s="933"/>
      <c r="AJ37" s="933"/>
      <c r="AK37" s="933"/>
      <c r="AL37" s="933"/>
      <c r="AM37" s="933"/>
      <c r="AN37" s="933"/>
      <c r="AO37" s="933"/>
      <c r="AP37" s="933"/>
      <c r="AQ37" s="933"/>
      <c r="AR37" s="933"/>
      <c r="AS37" s="933"/>
      <c r="AT37" s="933"/>
      <c r="AU37" s="933"/>
      <c r="AV37" s="933"/>
      <c r="AW37" s="933"/>
      <c r="AX37" s="933"/>
      <c r="AY37" s="933"/>
      <c r="AZ37" s="933"/>
      <c r="BA37" s="933"/>
      <c r="BB37" s="933"/>
      <c r="BC37" s="933"/>
      <c r="BD37" s="933"/>
      <c r="BE37" s="933"/>
      <c r="BF37" s="933"/>
      <c r="BG37" s="933"/>
      <c r="BH37" s="933"/>
      <c r="BI37" s="933"/>
      <c r="BJ37" s="933"/>
      <c r="BK37" s="933"/>
      <c r="BL37" s="933"/>
      <c r="BM37" s="933"/>
      <c r="BN37" s="933"/>
      <c r="BO37" s="933"/>
      <c r="BP37" s="933"/>
      <c r="BQ37" s="933"/>
      <c r="BR37" s="933"/>
      <c r="BS37" s="933"/>
      <c r="BT37" s="933"/>
    </row>
    <row r="38" spans="1:72" ht="13" x14ac:dyDescent="0.3">
      <c r="A38" s="1705" t="s">
        <v>577</v>
      </c>
      <c r="B38" s="1706"/>
      <c r="C38" s="944" t="s">
        <v>578</v>
      </c>
      <c r="D38" s="944" t="s">
        <v>578</v>
      </c>
      <c r="E38" s="1706" t="s">
        <v>1114</v>
      </c>
      <c r="F38" s="1706"/>
      <c r="G38" s="1706"/>
      <c r="H38" s="1706"/>
      <c r="I38" s="1706"/>
      <c r="J38" s="940">
        <v>1999</v>
      </c>
      <c r="K38" s="941">
        <v>97.9</v>
      </c>
      <c r="L38" s="933"/>
      <c r="M38" s="933"/>
      <c r="N38" s="933"/>
      <c r="O38" s="933"/>
      <c r="P38" s="933"/>
      <c r="Q38" s="933"/>
      <c r="R38" s="933"/>
      <c r="S38" s="933"/>
      <c r="T38" s="933"/>
      <c r="U38" s="933"/>
      <c r="V38" s="933"/>
      <c r="W38" s="933"/>
      <c r="X38" s="933"/>
      <c r="Y38" s="933"/>
      <c r="Z38" s="933"/>
      <c r="AA38" s="933"/>
      <c r="AB38" s="933"/>
      <c r="AC38" s="933"/>
      <c r="AD38" s="933"/>
      <c r="AE38" s="933"/>
      <c r="AF38" s="933"/>
      <c r="AG38" s="933"/>
      <c r="AH38" s="933"/>
      <c r="AI38" s="933"/>
      <c r="AJ38" s="933"/>
      <c r="AK38" s="933"/>
      <c r="AL38" s="933"/>
      <c r="AM38" s="933"/>
      <c r="AN38" s="933"/>
      <c r="AO38" s="933"/>
      <c r="AP38" s="933"/>
      <c r="AQ38" s="933"/>
      <c r="AR38" s="933"/>
      <c r="AS38" s="933"/>
      <c r="AT38" s="933"/>
      <c r="AU38" s="933"/>
      <c r="AV38" s="933"/>
      <c r="AW38" s="933"/>
      <c r="AX38" s="933"/>
      <c r="AY38" s="933"/>
      <c r="AZ38" s="933"/>
      <c r="BA38" s="933"/>
      <c r="BB38" s="933"/>
      <c r="BC38" s="933"/>
      <c r="BD38" s="933"/>
      <c r="BE38" s="933"/>
      <c r="BF38" s="933"/>
      <c r="BG38" s="933"/>
      <c r="BH38" s="933"/>
      <c r="BI38" s="933"/>
      <c r="BJ38" s="933"/>
      <c r="BK38" s="933"/>
      <c r="BL38" s="933"/>
      <c r="BM38" s="933"/>
      <c r="BN38" s="933"/>
      <c r="BO38" s="933"/>
      <c r="BP38" s="933"/>
      <c r="BQ38" s="933"/>
      <c r="BR38" s="933"/>
      <c r="BS38" s="933"/>
      <c r="BT38" s="933"/>
    </row>
    <row r="39" spans="1:72" ht="13" x14ac:dyDescent="0.3">
      <c r="A39" s="938"/>
      <c r="B39" s="888" t="s">
        <v>1048</v>
      </c>
      <c r="C39" s="942">
        <v>2000</v>
      </c>
      <c r="D39" s="942">
        <v>2005</v>
      </c>
      <c r="E39" s="942">
        <v>2020</v>
      </c>
      <c r="F39" s="942">
        <v>2035</v>
      </c>
      <c r="G39" s="942">
        <v>2050</v>
      </c>
      <c r="H39" s="942">
        <v>2065</v>
      </c>
      <c r="I39" s="942">
        <v>2070</v>
      </c>
      <c r="J39" s="942">
        <v>2000</v>
      </c>
      <c r="K39" s="943">
        <v>100</v>
      </c>
      <c r="L39" s="933"/>
      <c r="M39" s="933"/>
      <c r="N39" s="933"/>
      <c r="O39" s="933"/>
      <c r="P39" s="933"/>
      <c r="Q39" s="933"/>
      <c r="R39" s="933"/>
      <c r="S39" s="933"/>
      <c r="T39" s="933"/>
      <c r="U39" s="933"/>
      <c r="V39" s="933"/>
      <c r="W39" s="933"/>
      <c r="X39" s="933"/>
      <c r="Y39" s="933"/>
      <c r="Z39" s="933"/>
      <c r="AA39" s="933"/>
      <c r="AB39" s="933"/>
      <c r="AC39" s="933"/>
      <c r="AD39" s="933"/>
      <c r="AE39" s="933"/>
      <c r="AF39" s="933"/>
      <c r="AG39" s="933"/>
      <c r="AH39" s="933"/>
      <c r="AI39" s="933"/>
      <c r="AJ39" s="933"/>
      <c r="AK39" s="933"/>
      <c r="AL39" s="933"/>
      <c r="AM39" s="933"/>
      <c r="AN39" s="933"/>
      <c r="AO39" s="933"/>
      <c r="AP39" s="933"/>
      <c r="AQ39" s="933"/>
      <c r="AR39" s="933"/>
      <c r="AS39" s="933"/>
      <c r="AT39" s="933"/>
      <c r="AU39" s="933"/>
      <c r="AV39" s="933"/>
      <c r="AW39" s="933"/>
      <c r="AX39" s="933"/>
      <c r="AY39" s="933"/>
      <c r="AZ39" s="933"/>
      <c r="BA39" s="933"/>
      <c r="BB39" s="933"/>
      <c r="BC39" s="933"/>
      <c r="BD39" s="933"/>
      <c r="BE39" s="933"/>
      <c r="BF39" s="933"/>
      <c r="BG39" s="933"/>
      <c r="BH39" s="933"/>
      <c r="BI39" s="933"/>
      <c r="BJ39" s="933"/>
      <c r="BK39" s="933"/>
      <c r="BL39" s="933"/>
      <c r="BM39" s="933"/>
      <c r="BN39" s="933"/>
      <c r="BO39" s="933"/>
      <c r="BP39" s="933"/>
      <c r="BQ39" s="933"/>
      <c r="BR39" s="933"/>
      <c r="BS39" s="933"/>
      <c r="BT39" s="933"/>
    </row>
    <row r="40" spans="1:72" x14ac:dyDescent="0.25">
      <c r="A40" s="936" t="s">
        <v>569</v>
      </c>
      <c r="B40" s="945" t="s">
        <v>579</v>
      </c>
      <c r="C40" s="940">
        <v>25.276500000000002</v>
      </c>
      <c r="D40" s="940">
        <v>25.071000000000002</v>
      </c>
      <c r="E40" s="940">
        <v>49.911552427759986</v>
      </c>
      <c r="F40" s="940">
        <v>51.73380738099187</v>
      </c>
      <c r="G40" s="940">
        <v>54.228868079187265</v>
      </c>
      <c r="H40" s="940">
        <v>57.083559627090274</v>
      </c>
      <c r="I40" s="940">
        <v>57.998580810871225</v>
      </c>
      <c r="J40" s="940">
        <v>2001</v>
      </c>
      <c r="K40" s="941">
        <v>102.4</v>
      </c>
      <c r="L40" s="933"/>
      <c r="M40" s="933"/>
      <c r="N40" s="933"/>
      <c r="O40" s="933"/>
      <c r="P40" s="933"/>
      <c r="Q40" s="933"/>
      <c r="R40" s="933"/>
      <c r="S40" s="933"/>
      <c r="T40" s="933"/>
      <c r="U40" s="933"/>
      <c r="V40" s="933"/>
      <c r="W40" s="933"/>
      <c r="X40" s="933"/>
      <c r="Y40" s="933"/>
      <c r="Z40" s="933"/>
      <c r="AA40" s="933"/>
      <c r="AB40" s="933"/>
      <c r="AC40" s="933"/>
      <c r="AD40" s="933"/>
      <c r="AE40" s="933"/>
      <c r="AF40" s="933"/>
      <c r="AG40" s="933"/>
      <c r="AH40" s="933"/>
      <c r="AI40" s="933"/>
      <c r="AJ40" s="933"/>
      <c r="AK40" s="933"/>
      <c r="AL40" s="933"/>
      <c r="AM40" s="933"/>
      <c r="AN40" s="933"/>
      <c r="AO40" s="933"/>
      <c r="AP40" s="933"/>
      <c r="AQ40" s="933"/>
      <c r="AR40" s="933"/>
      <c r="AS40" s="933"/>
      <c r="AT40" s="933"/>
      <c r="AU40" s="933"/>
      <c r="AV40" s="933"/>
      <c r="AW40" s="933"/>
      <c r="AX40" s="933"/>
      <c r="AY40" s="933"/>
      <c r="AZ40" s="933"/>
      <c r="BA40" s="933"/>
      <c r="BB40" s="933"/>
      <c r="BC40" s="933"/>
      <c r="BD40" s="933"/>
      <c r="BE40" s="933"/>
      <c r="BF40" s="933"/>
      <c r="BG40" s="933"/>
      <c r="BH40" s="933"/>
      <c r="BI40" s="933"/>
      <c r="BJ40" s="933"/>
      <c r="BK40" s="933"/>
      <c r="BL40" s="933"/>
      <c r="BM40" s="933"/>
      <c r="BN40" s="933"/>
      <c r="BO40" s="933"/>
      <c r="BP40" s="933"/>
      <c r="BQ40" s="933"/>
      <c r="BR40" s="933"/>
      <c r="BS40" s="933"/>
      <c r="BT40" s="933"/>
    </row>
    <row r="41" spans="1:72" x14ac:dyDescent="0.25">
      <c r="A41" s="938" t="s">
        <v>570</v>
      </c>
      <c r="B41" s="946" t="s">
        <v>580</v>
      </c>
      <c r="C41" s="942">
        <v>3.83</v>
      </c>
      <c r="D41" s="942">
        <v>2.88</v>
      </c>
      <c r="E41" s="942">
        <v>3.4820792312666162</v>
      </c>
      <c r="F41" s="942">
        <v>3.718467288972283</v>
      </c>
      <c r="G41" s="942">
        <v>4.254403392012021</v>
      </c>
      <c r="H41" s="942">
        <v>4.8331418485312492</v>
      </c>
      <c r="I41" s="942">
        <v>5.0085938618348607</v>
      </c>
      <c r="J41" s="942">
        <v>2002</v>
      </c>
      <c r="K41" s="943">
        <v>104.1</v>
      </c>
      <c r="L41" s="933"/>
      <c r="M41" s="933"/>
      <c r="N41" s="933"/>
      <c r="O41" s="933"/>
      <c r="P41" s="933"/>
      <c r="Q41" s="933"/>
      <c r="R41" s="933"/>
      <c r="S41" s="933"/>
      <c r="T41" s="933"/>
      <c r="U41" s="933"/>
      <c r="V41" s="933"/>
      <c r="W41" s="933"/>
      <c r="X41" s="933"/>
      <c r="Y41" s="933"/>
      <c r="Z41" s="933"/>
      <c r="AA41" s="933"/>
      <c r="AB41" s="933"/>
      <c r="AC41" s="933"/>
      <c r="AD41" s="933"/>
      <c r="AE41" s="933"/>
      <c r="AF41" s="933"/>
      <c r="AG41" s="933"/>
      <c r="AH41" s="933"/>
      <c r="AI41" s="933"/>
      <c r="AJ41" s="933"/>
      <c r="AK41" s="933"/>
      <c r="AL41" s="933"/>
      <c r="AM41" s="933"/>
      <c r="AN41" s="933"/>
      <c r="AO41" s="933"/>
      <c r="AP41" s="933"/>
      <c r="AQ41" s="933"/>
      <c r="AR41" s="933"/>
      <c r="AS41" s="933"/>
      <c r="AT41" s="933"/>
      <c r="AU41" s="933"/>
      <c r="AV41" s="933"/>
      <c r="AW41" s="933"/>
      <c r="AX41" s="933"/>
      <c r="AY41" s="933"/>
      <c r="AZ41" s="933"/>
      <c r="BA41" s="933"/>
      <c r="BB41" s="933"/>
      <c r="BC41" s="933"/>
      <c r="BD41" s="933"/>
      <c r="BE41" s="933"/>
      <c r="BF41" s="933"/>
      <c r="BG41" s="933"/>
      <c r="BH41" s="933"/>
      <c r="BI41" s="933"/>
      <c r="BJ41" s="933"/>
      <c r="BK41" s="933"/>
      <c r="BL41" s="933"/>
      <c r="BM41" s="933"/>
      <c r="BN41" s="933"/>
      <c r="BO41" s="933"/>
      <c r="BP41" s="933"/>
      <c r="BQ41" s="933"/>
      <c r="BR41" s="933"/>
      <c r="BS41" s="933"/>
      <c r="BT41" s="933"/>
    </row>
    <row r="42" spans="1:72" x14ac:dyDescent="0.25">
      <c r="A42" s="936" t="s">
        <v>571</v>
      </c>
      <c r="B42" s="945" t="s">
        <v>580</v>
      </c>
      <c r="C42" s="940">
        <v>4.333333333333333</v>
      </c>
      <c r="D42" s="940">
        <v>3.2058823529411766</v>
      </c>
      <c r="E42" s="940">
        <v>5.3135477999345282</v>
      </c>
      <c r="F42" s="940">
        <v>5.6703709369749671</v>
      </c>
      <c r="G42" s="940">
        <v>6.3804589018936815</v>
      </c>
      <c r="H42" s="940">
        <v>7.1603102550975084</v>
      </c>
      <c r="I42" s="940">
        <v>7.3649472464330987</v>
      </c>
      <c r="J42" s="940">
        <v>2003</v>
      </c>
      <c r="K42" s="941">
        <v>106</v>
      </c>
      <c r="L42" s="933"/>
      <c r="M42" s="933"/>
      <c r="N42" s="933"/>
      <c r="O42" s="933"/>
      <c r="P42" s="933"/>
      <c r="Q42" s="933"/>
      <c r="R42" s="933"/>
      <c r="S42" s="933"/>
      <c r="T42" s="933"/>
      <c r="U42" s="933"/>
      <c r="V42" s="933"/>
      <c r="W42" s="933"/>
      <c r="X42" s="933"/>
      <c r="Y42" s="933"/>
      <c r="Z42" s="933"/>
      <c r="AA42" s="933"/>
      <c r="AB42" s="933"/>
      <c r="AC42" s="933"/>
      <c r="AD42" s="933"/>
      <c r="AE42" s="933"/>
      <c r="AF42" s="933"/>
      <c r="AG42" s="933"/>
      <c r="AH42" s="933"/>
      <c r="AI42" s="933"/>
      <c r="AJ42" s="933"/>
      <c r="AK42" s="933"/>
      <c r="AL42" s="933"/>
      <c r="AM42" s="933"/>
      <c r="AN42" s="933"/>
      <c r="AO42" s="933"/>
      <c r="AP42" s="933"/>
      <c r="AQ42" s="933"/>
      <c r="AR42" s="933"/>
      <c r="AS42" s="933"/>
      <c r="AT42" s="933"/>
      <c r="AU42" s="933"/>
      <c r="AV42" s="933"/>
      <c r="AW42" s="933"/>
      <c r="AX42" s="933"/>
      <c r="AY42" s="933"/>
      <c r="AZ42" s="933"/>
      <c r="BA42" s="933"/>
      <c r="BB42" s="933"/>
      <c r="BC42" s="933"/>
      <c r="BD42" s="933"/>
      <c r="BE42" s="933"/>
      <c r="BF42" s="933"/>
      <c r="BG42" s="933"/>
      <c r="BH42" s="933"/>
      <c r="BI42" s="933"/>
      <c r="BJ42" s="933"/>
      <c r="BK42" s="933"/>
      <c r="BL42" s="933"/>
      <c r="BM42" s="933"/>
      <c r="BN42" s="933"/>
      <c r="BO42" s="933"/>
      <c r="BP42" s="933"/>
      <c r="BQ42" s="933"/>
      <c r="BR42" s="933"/>
      <c r="BS42" s="933"/>
      <c r="BT42" s="933"/>
    </row>
    <row r="43" spans="1:72" ht="13" x14ac:dyDescent="0.3">
      <c r="A43" s="938" t="s">
        <v>572</v>
      </c>
      <c r="B43" s="946" t="s">
        <v>581</v>
      </c>
      <c r="C43" s="942">
        <v>28.35</v>
      </c>
      <c r="D43" s="942">
        <v>23.27</v>
      </c>
      <c r="E43" s="942">
        <v>38.166254666132858</v>
      </c>
      <c r="F43" s="942">
        <v>44.018296607182357</v>
      </c>
      <c r="G43" s="942">
        <v>47.046046898954408</v>
      </c>
      <c r="H43" s="942">
        <v>48.050792851691</v>
      </c>
      <c r="I43" s="942">
        <v>48.201553003292787</v>
      </c>
      <c r="J43" s="942">
        <v>2004</v>
      </c>
      <c r="K43" s="947">
        <v>108.3</v>
      </c>
      <c r="L43" s="933"/>
      <c r="M43" s="933"/>
      <c r="N43" s="933"/>
      <c r="O43" s="933"/>
      <c r="P43" s="933"/>
      <c r="Q43" s="933"/>
      <c r="R43" s="933"/>
      <c r="S43" s="933"/>
      <c r="T43" s="933"/>
      <c r="U43" s="933"/>
      <c r="V43" s="933"/>
      <c r="W43" s="933"/>
      <c r="X43" s="933"/>
      <c r="Y43" s="933"/>
      <c r="Z43" s="933"/>
      <c r="AA43" s="933"/>
      <c r="AB43" s="933"/>
      <c r="AC43" s="933"/>
      <c r="AD43" s="933"/>
      <c r="AE43" s="933"/>
      <c r="AF43" s="933"/>
      <c r="AG43" s="933"/>
      <c r="AH43" s="933"/>
      <c r="AI43" s="933"/>
      <c r="AJ43" s="933"/>
      <c r="AK43" s="933"/>
      <c r="AL43" s="933"/>
      <c r="AM43" s="933"/>
      <c r="AN43" s="933"/>
      <c r="AO43" s="933"/>
      <c r="AP43" s="933"/>
      <c r="AQ43" s="933"/>
      <c r="AR43" s="933"/>
      <c r="AS43" s="933"/>
      <c r="AT43" s="933"/>
      <c r="AU43" s="933"/>
      <c r="AV43" s="933"/>
      <c r="AW43" s="933"/>
      <c r="AX43" s="933"/>
      <c r="AY43" s="933"/>
      <c r="AZ43" s="933"/>
      <c r="BA43" s="933"/>
      <c r="BB43" s="933"/>
      <c r="BC43" s="933"/>
      <c r="BD43" s="933"/>
      <c r="BE43" s="933"/>
      <c r="BF43" s="933"/>
      <c r="BG43" s="933"/>
      <c r="BH43" s="933"/>
      <c r="BI43" s="933"/>
      <c r="BJ43" s="933"/>
      <c r="BK43" s="933"/>
      <c r="BL43" s="933"/>
      <c r="BM43" s="933"/>
      <c r="BN43" s="933"/>
      <c r="BO43" s="933"/>
      <c r="BP43" s="933"/>
      <c r="BQ43" s="933"/>
      <c r="BR43" s="933"/>
      <c r="BS43" s="933"/>
      <c r="BT43" s="933"/>
    </row>
    <row r="44" spans="1:72" ht="13" x14ac:dyDescent="0.3">
      <c r="A44" s="936" t="s">
        <v>573</v>
      </c>
      <c r="B44" s="945" t="s">
        <v>582</v>
      </c>
      <c r="C44" s="940">
        <v>1.5176666666666667</v>
      </c>
      <c r="D44" s="940">
        <v>1.2925714285714285</v>
      </c>
      <c r="E44" s="940">
        <v>1.9428327208531595</v>
      </c>
      <c r="F44" s="940">
        <v>2.1262391061548653</v>
      </c>
      <c r="G44" s="940">
        <v>2.2056865867102777</v>
      </c>
      <c r="H44" s="940">
        <v>2.2243217316177319</v>
      </c>
      <c r="I44" s="940">
        <v>2.2266990166381286</v>
      </c>
      <c r="J44" s="940">
        <v>2005</v>
      </c>
      <c r="K44" s="948">
        <v>110.5</v>
      </c>
      <c r="L44" s="933"/>
      <c r="M44" s="933"/>
      <c r="N44" s="933"/>
      <c r="O44" s="933"/>
      <c r="P44" s="933"/>
      <c r="Q44" s="933"/>
      <c r="R44" s="933"/>
      <c r="S44" s="933"/>
      <c r="T44" s="933"/>
      <c r="U44" s="933"/>
      <c r="V44" s="933"/>
      <c r="W44" s="933"/>
      <c r="X44" s="933"/>
      <c r="Y44" s="933"/>
      <c r="Z44" s="933"/>
      <c r="AA44" s="933"/>
      <c r="AB44" s="933"/>
      <c r="AC44" s="933"/>
      <c r="AD44" s="933"/>
      <c r="AE44" s="933"/>
      <c r="AF44" s="933"/>
      <c r="AG44" s="933"/>
      <c r="AH44" s="933"/>
      <c r="AI44" s="933"/>
      <c r="AJ44" s="933"/>
      <c r="AK44" s="933"/>
      <c r="AL44" s="933"/>
      <c r="AM44" s="933"/>
      <c r="AN44" s="933"/>
      <c r="AO44" s="933"/>
      <c r="AP44" s="933"/>
      <c r="AQ44" s="933"/>
      <c r="AR44" s="933"/>
      <c r="AS44" s="933"/>
      <c r="AT44" s="933"/>
      <c r="AU44" s="933"/>
      <c r="AV44" s="933"/>
      <c r="AW44" s="933"/>
      <c r="AX44" s="933"/>
      <c r="AY44" s="933"/>
      <c r="AZ44" s="933"/>
      <c r="BA44" s="933"/>
      <c r="BB44" s="933"/>
      <c r="BC44" s="933"/>
      <c r="BD44" s="933"/>
      <c r="BE44" s="933"/>
      <c r="BF44" s="933"/>
      <c r="BG44" s="933"/>
      <c r="BH44" s="933"/>
      <c r="BI44" s="933"/>
      <c r="BJ44" s="933"/>
      <c r="BK44" s="933"/>
      <c r="BL44" s="933"/>
      <c r="BM44" s="933"/>
      <c r="BN44" s="933"/>
      <c r="BO44" s="933"/>
      <c r="BP44" s="933"/>
      <c r="BQ44" s="933"/>
      <c r="BR44" s="933"/>
      <c r="BS44" s="933"/>
      <c r="BT44" s="933"/>
    </row>
    <row r="45" spans="1:72" x14ac:dyDescent="0.25">
      <c r="A45" s="938" t="s">
        <v>574</v>
      </c>
      <c r="B45" s="946" t="s">
        <v>583</v>
      </c>
      <c r="C45" s="942">
        <v>6.9</v>
      </c>
      <c r="D45" s="942">
        <v>6.4</v>
      </c>
      <c r="E45" s="942">
        <v>7.2674708046079139</v>
      </c>
      <c r="F45" s="942">
        <v>7.0885496188632935</v>
      </c>
      <c r="G45" s="942">
        <v>6.9118429447797478</v>
      </c>
      <c r="H45" s="942">
        <v>6.9722480090117775</v>
      </c>
      <c r="I45" s="942">
        <v>6.9487741854044058</v>
      </c>
      <c r="J45" s="1707" t="s">
        <v>761</v>
      </c>
      <c r="K45" s="1708"/>
      <c r="L45" s="933"/>
      <c r="M45" s="933"/>
      <c r="N45" s="933"/>
      <c r="O45" s="933"/>
      <c r="P45" s="933"/>
      <c r="Q45" s="933"/>
      <c r="R45" s="933"/>
      <c r="S45" s="933"/>
      <c r="T45" s="933"/>
      <c r="U45" s="933"/>
      <c r="V45" s="933"/>
      <c r="W45" s="933"/>
      <c r="X45" s="933"/>
      <c r="Y45" s="933"/>
      <c r="Z45" s="933"/>
      <c r="AA45" s="933"/>
      <c r="AB45" s="933"/>
      <c r="AC45" s="933"/>
      <c r="AD45" s="933"/>
      <c r="AE45" s="933"/>
      <c r="AF45" s="933"/>
      <c r="AG45" s="933"/>
      <c r="AH45" s="933"/>
      <c r="AI45" s="933"/>
      <c r="AJ45" s="933"/>
      <c r="AK45" s="933"/>
      <c r="AL45" s="933"/>
      <c r="AM45" s="933"/>
      <c r="AN45" s="933"/>
      <c r="AO45" s="933"/>
      <c r="AP45" s="933"/>
      <c r="AQ45" s="933"/>
      <c r="AR45" s="933"/>
      <c r="AS45" s="933"/>
      <c r="AT45" s="933"/>
      <c r="AU45" s="933"/>
      <c r="AV45" s="933"/>
      <c r="AW45" s="933"/>
      <c r="AX45" s="933"/>
      <c r="AY45" s="933"/>
      <c r="AZ45" s="933"/>
      <c r="BA45" s="933"/>
      <c r="BB45" s="933"/>
      <c r="BC45" s="933"/>
      <c r="BD45" s="933"/>
      <c r="BE45" s="933"/>
      <c r="BF45" s="933"/>
      <c r="BG45" s="933"/>
      <c r="BH45" s="933"/>
      <c r="BI45" s="933"/>
      <c r="BJ45" s="933"/>
      <c r="BK45" s="933"/>
      <c r="BL45" s="933"/>
      <c r="BM45" s="933"/>
      <c r="BN45" s="933"/>
      <c r="BO45" s="933"/>
      <c r="BP45" s="933"/>
      <c r="BQ45" s="933"/>
      <c r="BR45" s="933"/>
      <c r="BS45" s="933"/>
      <c r="BT45" s="933"/>
    </row>
    <row r="46" spans="1:72" x14ac:dyDescent="0.25">
      <c r="A46" s="936" t="s">
        <v>575</v>
      </c>
      <c r="B46" s="945" t="s">
        <v>584</v>
      </c>
      <c r="C46" s="940"/>
      <c r="D46" s="940"/>
      <c r="E46" s="940">
        <v>3.9267286033597717</v>
      </c>
      <c r="F46" s="940">
        <v>3.4025762910602637</v>
      </c>
      <c r="G46" s="940">
        <v>3.7218644965506216</v>
      </c>
      <c r="H46" s="940">
        <v>4.0392206503019663</v>
      </c>
      <c r="I46" s="940">
        <v>4.0968490901035652</v>
      </c>
      <c r="J46" s="1707"/>
      <c r="K46" s="1708"/>
      <c r="L46" s="933"/>
      <c r="M46" s="933"/>
      <c r="N46" s="933"/>
      <c r="O46" s="933"/>
      <c r="P46" s="933"/>
      <c r="Q46" s="933"/>
      <c r="R46" s="933"/>
      <c r="S46" s="933"/>
      <c r="T46" s="933"/>
      <c r="U46" s="933"/>
      <c r="V46" s="933"/>
      <c r="W46" s="933"/>
      <c r="X46" s="933"/>
      <c r="Y46" s="933"/>
      <c r="Z46" s="933"/>
      <c r="AA46" s="933"/>
      <c r="AB46" s="933"/>
      <c r="AC46" s="933"/>
      <c r="AD46" s="933"/>
      <c r="AE46" s="933"/>
      <c r="AF46" s="933"/>
      <c r="AG46" s="933"/>
      <c r="AH46" s="933"/>
      <c r="AI46" s="933"/>
      <c r="AJ46" s="933"/>
      <c r="AK46" s="933"/>
      <c r="AL46" s="933"/>
      <c r="AM46" s="933"/>
      <c r="AN46" s="933"/>
      <c r="AO46" s="933"/>
      <c r="AP46" s="933"/>
      <c r="AQ46" s="933"/>
      <c r="AR46" s="933"/>
      <c r="AS46" s="933"/>
      <c r="AT46" s="933"/>
      <c r="AU46" s="933"/>
      <c r="AV46" s="933"/>
      <c r="AW46" s="933"/>
      <c r="AX46" s="933"/>
      <c r="AY46" s="933"/>
      <c r="AZ46" s="933"/>
      <c r="BA46" s="933"/>
      <c r="BB46" s="933"/>
      <c r="BC46" s="933"/>
      <c r="BD46" s="933"/>
      <c r="BE46" s="933"/>
      <c r="BF46" s="933"/>
      <c r="BG46" s="933"/>
      <c r="BH46" s="933"/>
      <c r="BI46" s="933"/>
      <c r="BJ46" s="933"/>
      <c r="BK46" s="933"/>
      <c r="BL46" s="933"/>
      <c r="BM46" s="933"/>
      <c r="BN46" s="933"/>
      <c r="BO46" s="933"/>
      <c r="BP46" s="933"/>
      <c r="BQ46" s="933"/>
      <c r="BR46" s="933"/>
      <c r="BS46" s="933"/>
      <c r="BT46" s="933"/>
    </row>
    <row r="47" spans="1:72" x14ac:dyDescent="0.25">
      <c r="A47" s="938" t="s">
        <v>312</v>
      </c>
      <c r="B47" s="946" t="s">
        <v>584</v>
      </c>
      <c r="C47" s="942"/>
      <c r="D47" s="942"/>
      <c r="E47" s="942">
        <v>24.686324737923844</v>
      </c>
      <c r="F47" s="942">
        <v>23.090083577893328</v>
      </c>
      <c r="G47" s="942">
        <v>23.196746158381607</v>
      </c>
      <c r="H47" s="942">
        <v>23.268531873857007</v>
      </c>
      <c r="I47" s="942">
        <v>23.201243175360347</v>
      </c>
      <c r="J47" s="1707"/>
      <c r="K47" s="1708"/>
      <c r="L47" s="933"/>
      <c r="M47" s="933"/>
      <c r="N47" s="933"/>
      <c r="O47" s="933"/>
      <c r="P47" s="933"/>
      <c r="Q47" s="933"/>
      <c r="R47" s="933"/>
      <c r="S47" s="933"/>
      <c r="T47" s="933"/>
      <c r="U47" s="933"/>
      <c r="V47" s="933"/>
      <c r="W47" s="933"/>
      <c r="X47" s="933"/>
      <c r="Y47" s="933"/>
      <c r="Z47" s="933"/>
      <c r="AA47" s="933"/>
      <c r="AB47" s="933"/>
      <c r="AC47" s="933"/>
      <c r="AD47" s="933"/>
      <c r="AE47" s="933"/>
      <c r="AF47" s="933"/>
      <c r="AG47" s="933"/>
      <c r="AH47" s="933"/>
      <c r="AI47" s="933"/>
      <c r="AJ47" s="933"/>
      <c r="AK47" s="933"/>
      <c r="AL47" s="933"/>
      <c r="AM47" s="933"/>
      <c r="AN47" s="933"/>
      <c r="AO47" s="933"/>
      <c r="AP47" s="933"/>
      <c r="AQ47" s="933"/>
      <c r="AR47" s="933"/>
      <c r="AS47" s="933"/>
      <c r="AT47" s="933"/>
      <c r="AU47" s="933"/>
      <c r="AV47" s="933"/>
      <c r="AW47" s="933"/>
      <c r="AX47" s="933"/>
      <c r="AY47" s="933"/>
      <c r="AZ47" s="933"/>
      <c r="BA47" s="933"/>
      <c r="BB47" s="933"/>
      <c r="BC47" s="933"/>
      <c r="BD47" s="933"/>
      <c r="BE47" s="933"/>
      <c r="BF47" s="933"/>
      <c r="BG47" s="933"/>
      <c r="BH47" s="933"/>
      <c r="BI47" s="933"/>
      <c r="BJ47" s="933"/>
      <c r="BK47" s="933"/>
      <c r="BL47" s="933"/>
      <c r="BM47" s="933"/>
      <c r="BN47" s="933"/>
      <c r="BO47" s="933"/>
      <c r="BP47" s="933"/>
      <c r="BQ47" s="933"/>
      <c r="BR47" s="933"/>
      <c r="BS47" s="933"/>
      <c r="BT47" s="933"/>
    </row>
    <row r="48" spans="1:72" ht="37.5" x14ac:dyDescent="0.25">
      <c r="A48" s="954" t="s">
        <v>770</v>
      </c>
      <c r="B48" s="945" t="s">
        <v>579</v>
      </c>
      <c r="C48" s="940"/>
      <c r="D48" s="940"/>
      <c r="E48" s="940">
        <v>10</v>
      </c>
      <c r="F48" s="940">
        <v>10</v>
      </c>
      <c r="G48" s="940">
        <v>10</v>
      </c>
      <c r="H48" s="940">
        <v>10</v>
      </c>
      <c r="I48" s="940"/>
      <c r="J48" s="1707"/>
      <c r="K48" s="1708"/>
      <c r="L48" s="933"/>
      <c r="M48" s="933"/>
      <c r="N48" s="933"/>
      <c r="O48" s="933"/>
      <c r="P48" s="933"/>
      <c r="Q48" s="933"/>
      <c r="R48" s="933"/>
      <c r="S48" s="933"/>
      <c r="T48" s="933"/>
      <c r="U48" s="933"/>
      <c r="V48" s="933"/>
      <c r="W48" s="933"/>
      <c r="X48" s="933"/>
      <c r="Y48" s="933"/>
      <c r="Z48" s="933"/>
      <c r="AA48" s="933"/>
      <c r="AB48" s="933"/>
      <c r="AC48" s="933"/>
      <c r="AD48" s="933"/>
      <c r="AE48" s="933"/>
      <c r="AF48" s="933"/>
      <c r="AG48" s="933"/>
      <c r="AH48" s="933"/>
      <c r="AI48" s="933"/>
      <c r="AJ48" s="933"/>
      <c r="AK48" s="933"/>
      <c r="AL48" s="933"/>
      <c r="AM48" s="933"/>
      <c r="AN48" s="933"/>
      <c r="AO48" s="933"/>
      <c r="AP48" s="933"/>
      <c r="AQ48" s="933"/>
      <c r="AR48" s="933"/>
      <c r="AS48" s="933"/>
      <c r="AT48" s="933"/>
      <c r="AU48" s="933"/>
      <c r="AV48" s="933"/>
      <c r="AW48" s="933"/>
      <c r="AX48" s="933"/>
      <c r="AY48" s="933"/>
      <c r="AZ48" s="933"/>
      <c r="BA48" s="933"/>
      <c r="BB48" s="933"/>
      <c r="BC48" s="933"/>
      <c r="BD48" s="933"/>
      <c r="BE48" s="933"/>
      <c r="BF48" s="933"/>
      <c r="BG48" s="933"/>
      <c r="BH48" s="933"/>
      <c r="BI48" s="933"/>
      <c r="BJ48" s="933"/>
      <c r="BK48" s="933"/>
      <c r="BL48" s="933"/>
      <c r="BM48" s="933"/>
      <c r="BN48" s="933"/>
      <c r="BO48" s="933"/>
      <c r="BP48" s="933"/>
      <c r="BQ48" s="933"/>
      <c r="BR48" s="933"/>
      <c r="BS48" s="933"/>
      <c r="BT48" s="933"/>
    </row>
    <row r="49" spans="1:72" x14ac:dyDescent="0.25">
      <c r="B49" s="953" t="s">
        <v>769</v>
      </c>
      <c r="C49" s="951"/>
      <c r="D49" s="951"/>
      <c r="E49" s="951">
        <f>E48*$B$61</f>
        <v>0.65713983050847458</v>
      </c>
      <c r="F49" s="951">
        <f>F48*$B$61</f>
        <v>0.65713983050847458</v>
      </c>
      <c r="G49" s="951">
        <f>G48*$B$61</f>
        <v>0.65713983050847458</v>
      </c>
      <c r="H49" s="951">
        <f>H48*$B$61</f>
        <v>0.65713983050847458</v>
      </c>
      <c r="I49" s="951"/>
      <c r="J49" s="951"/>
      <c r="K49" s="952"/>
      <c r="L49" s="933"/>
      <c r="M49" s="933"/>
      <c r="N49" s="933"/>
      <c r="O49" s="933"/>
      <c r="P49" s="933"/>
      <c r="Q49" s="933"/>
      <c r="R49" s="933"/>
      <c r="S49" s="933"/>
      <c r="T49" s="933"/>
      <c r="U49" s="933"/>
      <c r="V49" s="933"/>
      <c r="W49" s="933"/>
      <c r="X49" s="933"/>
      <c r="Y49" s="933"/>
      <c r="Z49" s="933"/>
      <c r="AA49" s="933"/>
      <c r="AB49" s="933"/>
      <c r="AC49" s="933"/>
      <c r="AD49" s="933"/>
      <c r="AE49" s="933"/>
      <c r="AF49" s="933"/>
      <c r="AG49" s="933"/>
      <c r="AH49" s="933"/>
      <c r="AI49" s="933"/>
      <c r="AJ49" s="933"/>
      <c r="AK49" s="933"/>
      <c r="AL49" s="933"/>
      <c r="AM49" s="933"/>
      <c r="AN49" s="933"/>
      <c r="AO49" s="933"/>
      <c r="AP49" s="933"/>
      <c r="AQ49" s="933"/>
      <c r="AR49" s="933"/>
      <c r="AS49" s="933"/>
      <c r="AT49" s="933"/>
      <c r="AU49" s="933"/>
      <c r="AV49" s="933"/>
      <c r="AW49" s="933"/>
      <c r="AX49" s="933"/>
      <c r="AY49" s="933"/>
      <c r="AZ49" s="933"/>
      <c r="BA49" s="933"/>
      <c r="BB49" s="933"/>
      <c r="BC49" s="933"/>
      <c r="BD49" s="933"/>
      <c r="BE49" s="933"/>
      <c r="BF49" s="933"/>
      <c r="BG49" s="933"/>
      <c r="BH49" s="933"/>
      <c r="BI49" s="933"/>
      <c r="BJ49" s="933"/>
      <c r="BK49" s="933"/>
      <c r="BL49" s="933"/>
      <c r="BM49" s="933"/>
      <c r="BN49" s="933"/>
      <c r="BO49" s="933"/>
      <c r="BP49" s="933"/>
      <c r="BQ49" s="933"/>
      <c r="BR49" s="933"/>
      <c r="BS49" s="933"/>
      <c r="BT49" s="933"/>
    </row>
    <row r="50" spans="1:72" x14ac:dyDescent="0.25">
      <c r="A50" s="954" t="s">
        <v>771</v>
      </c>
      <c r="B50" s="955" t="s">
        <v>584</v>
      </c>
      <c r="C50" s="940"/>
      <c r="D50" s="940"/>
      <c r="E50" s="940">
        <f>E49+E46</f>
        <v>4.5838684338682461</v>
      </c>
      <c r="F50" s="940">
        <f>F49+F46</f>
        <v>4.0597161215687381</v>
      </c>
      <c r="G50" s="940">
        <f>G49+G46</f>
        <v>4.3790043270590964</v>
      </c>
      <c r="H50" s="940">
        <f>H49+H46</f>
        <v>4.6963604808104407</v>
      </c>
      <c r="I50" s="940"/>
      <c r="J50" s="951"/>
      <c r="K50" s="952"/>
      <c r="L50" s="933"/>
      <c r="M50" s="933"/>
      <c r="N50" s="933"/>
      <c r="O50" s="933"/>
      <c r="P50" s="933"/>
      <c r="Q50" s="933"/>
      <c r="R50" s="933"/>
      <c r="S50" s="933"/>
      <c r="T50" s="933"/>
      <c r="U50" s="933"/>
      <c r="V50" s="933"/>
      <c r="W50" s="933"/>
      <c r="X50" s="933"/>
      <c r="Y50" s="933"/>
      <c r="Z50" s="933"/>
      <c r="AA50" s="933"/>
      <c r="AB50" s="933"/>
      <c r="AC50" s="933"/>
      <c r="AD50" s="933"/>
      <c r="AE50" s="933"/>
      <c r="AF50" s="933"/>
      <c r="AG50" s="933"/>
      <c r="AH50" s="933"/>
      <c r="AI50" s="933"/>
      <c r="AJ50" s="933"/>
      <c r="AK50" s="933"/>
      <c r="AL50" s="933"/>
      <c r="AM50" s="933"/>
      <c r="AN50" s="933"/>
      <c r="AO50" s="933"/>
      <c r="AP50" s="933"/>
      <c r="AQ50" s="933"/>
      <c r="AR50" s="933"/>
      <c r="AS50" s="933"/>
      <c r="AT50" s="933"/>
      <c r="AU50" s="933"/>
      <c r="AV50" s="933"/>
      <c r="AW50" s="933"/>
      <c r="AX50" s="933"/>
      <c r="AY50" s="933"/>
      <c r="AZ50" s="933"/>
      <c r="BA50" s="933"/>
      <c r="BB50" s="933"/>
      <c r="BC50" s="933"/>
      <c r="BD50" s="933"/>
      <c r="BE50" s="933"/>
      <c r="BF50" s="933"/>
      <c r="BG50" s="933"/>
      <c r="BH50" s="933"/>
      <c r="BI50" s="933"/>
      <c r="BJ50" s="933"/>
      <c r="BK50" s="933"/>
      <c r="BL50" s="933"/>
      <c r="BM50" s="933"/>
      <c r="BN50" s="933"/>
      <c r="BO50" s="933"/>
      <c r="BP50" s="933"/>
      <c r="BQ50" s="933"/>
      <c r="BR50" s="933"/>
      <c r="BS50" s="933"/>
      <c r="BT50" s="933"/>
    </row>
    <row r="51" spans="1:72" x14ac:dyDescent="0.25">
      <c r="B51" s="953"/>
      <c r="C51" s="951"/>
      <c r="D51" s="951"/>
      <c r="E51" s="951"/>
      <c r="F51" s="951"/>
      <c r="G51" s="951"/>
      <c r="H51" s="951"/>
      <c r="I51" s="951"/>
      <c r="J51" s="951"/>
      <c r="K51" s="952"/>
      <c r="L51" s="933"/>
      <c r="M51" s="933"/>
      <c r="N51" s="933"/>
      <c r="O51" s="933"/>
      <c r="P51" s="933"/>
      <c r="Q51" s="933"/>
      <c r="R51" s="933"/>
      <c r="S51" s="933"/>
      <c r="T51" s="933"/>
      <c r="U51" s="933"/>
      <c r="V51" s="933"/>
      <c r="W51" s="933"/>
      <c r="X51" s="933"/>
      <c r="Y51" s="933"/>
      <c r="Z51" s="933"/>
      <c r="AA51" s="933"/>
      <c r="AB51" s="933"/>
      <c r="AC51" s="933"/>
      <c r="AD51" s="933"/>
      <c r="AE51" s="933"/>
      <c r="AF51" s="933"/>
      <c r="AG51" s="933"/>
      <c r="AH51" s="933"/>
      <c r="AI51" s="933"/>
      <c r="AJ51" s="933"/>
      <c r="AK51" s="933"/>
      <c r="AL51" s="933"/>
      <c r="AM51" s="933"/>
      <c r="AN51" s="933"/>
      <c r="AO51" s="933"/>
      <c r="AP51" s="933"/>
      <c r="AQ51" s="933"/>
      <c r="AR51" s="933"/>
      <c r="AS51" s="933"/>
      <c r="AT51" s="933"/>
      <c r="AU51" s="933"/>
      <c r="AV51" s="933"/>
      <c r="AW51" s="933"/>
      <c r="AX51" s="933"/>
      <c r="AY51" s="933"/>
      <c r="AZ51" s="933"/>
      <c r="BA51" s="933"/>
      <c r="BB51" s="933"/>
      <c r="BC51" s="933"/>
      <c r="BD51" s="933"/>
      <c r="BE51" s="933"/>
      <c r="BF51" s="933"/>
      <c r="BG51" s="933"/>
      <c r="BH51" s="933"/>
      <c r="BI51" s="933"/>
      <c r="BJ51" s="933"/>
      <c r="BK51" s="933"/>
      <c r="BL51" s="933"/>
      <c r="BM51" s="933"/>
      <c r="BN51" s="933"/>
      <c r="BO51" s="933"/>
      <c r="BP51" s="933"/>
      <c r="BQ51" s="933"/>
      <c r="BR51" s="933"/>
      <c r="BS51" s="933"/>
      <c r="BT51" s="933"/>
    </row>
    <row r="52" spans="1:72" x14ac:dyDescent="0.25">
      <c r="A52" s="950" t="s">
        <v>762</v>
      </c>
      <c r="B52" s="951"/>
      <c r="C52" s="951"/>
      <c r="D52" s="951"/>
      <c r="E52" s="951"/>
      <c r="F52" s="951"/>
      <c r="G52" s="951"/>
      <c r="H52" s="951"/>
      <c r="I52" s="951"/>
      <c r="J52" s="951"/>
      <c r="K52" s="952"/>
      <c r="L52" s="933"/>
      <c r="M52" s="933"/>
      <c r="N52" s="933"/>
      <c r="O52" s="933"/>
      <c r="P52" s="933"/>
      <c r="Q52" s="933"/>
      <c r="R52" s="933"/>
      <c r="S52" s="933"/>
      <c r="T52" s="933"/>
      <c r="U52" s="933"/>
      <c r="V52" s="933"/>
      <c r="W52" s="933"/>
      <c r="X52" s="933"/>
      <c r="Y52" s="933"/>
      <c r="Z52" s="933"/>
      <c r="AA52" s="933"/>
      <c r="AB52" s="933"/>
      <c r="AC52" s="933"/>
      <c r="AD52" s="933"/>
      <c r="AE52" s="933"/>
      <c r="AF52" s="933"/>
      <c r="AG52" s="933"/>
      <c r="AH52" s="933"/>
      <c r="AI52" s="933"/>
      <c r="AJ52" s="933"/>
      <c r="AK52" s="933"/>
      <c r="AL52" s="933"/>
      <c r="AM52" s="933"/>
      <c r="AN52" s="933"/>
      <c r="AO52" s="933"/>
      <c r="AP52" s="933"/>
      <c r="AQ52" s="933"/>
      <c r="AR52" s="933"/>
      <c r="AS52" s="933"/>
      <c r="AT52" s="933"/>
      <c r="AU52" s="933"/>
      <c r="AV52" s="933"/>
      <c r="AW52" s="933"/>
      <c r="AX52" s="933"/>
      <c r="AY52" s="933"/>
      <c r="AZ52" s="933"/>
      <c r="BA52" s="933"/>
      <c r="BB52" s="933"/>
      <c r="BC52" s="933"/>
      <c r="BD52" s="933"/>
      <c r="BE52" s="933"/>
      <c r="BF52" s="933"/>
      <c r="BG52" s="933"/>
      <c r="BH52" s="933"/>
      <c r="BI52" s="933"/>
      <c r="BJ52" s="933"/>
      <c r="BK52" s="933"/>
      <c r="BL52" s="933"/>
      <c r="BM52" s="933"/>
      <c r="BN52" s="933"/>
      <c r="BO52" s="933"/>
      <c r="BP52" s="933"/>
      <c r="BQ52" s="933"/>
      <c r="BR52" s="933"/>
      <c r="BS52" s="933"/>
      <c r="BT52" s="933"/>
    </row>
    <row r="53" spans="1:72" x14ac:dyDescent="0.25">
      <c r="A53" s="1709" t="s">
        <v>763</v>
      </c>
      <c r="B53" s="1692"/>
      <c r="C53" s="1692"/>
      <c r="D53" s="1692"/>
      <c r="E53" s="1692"/>
      <c r="F53" s="1692"/>
      <c r="G53" s="1692"/>
      <c r="H53" s="1692"/>
      <c r="I53" s="1692"/>
      <c r="J53" s="1692"/>
      <c r="K53" s="1710"/>
      <c r="L53" s="933"/>
      <c r="M53" s="933"/>
      <c r="N53" s="933"/>
      <c r="O53" s="933"/>
      <c r="P53" s="933"/>
      <c r="Q53" s="933"/>
      <c r="R53" s="933"/>
      <c r="S53" s="933"/>
      <c r="T53" s="933"/>
      <c r="U53" s="933"/>
      <c r="V53" s="933"/>
      <c r="W53" s="933"/>
      <c r="X53" s="933"/>
      <c r="Y53" s="933"/>
      <c r="Z53" s="933"/>
      <c r="AA53" s="933"/>
      <c r="AB53" s="933"/>
      <c r="AC53" s="933"/>
      <c r="AD53" s="933"/>
      <c r="AE53" s="933"/>
      <c r="AF53" s="933"/>
      <c r="AG53" s="933"/>
      <c r="AH53" s="933"/>
      <c r="AI53" s="933"/>
      <c r="AJ53" s="933"/>
      <c r="AK53" s="933"/>
      <c r="AL53" s="933"/>
      <c r="AM53" s="933"/>
      <c r="AN53" s="933"/>
      <c r="AO53" s="933"/>
      <c r="AP53" s="933"/>
      <c r="AQ53" s="933"/>
      <c r="AR53" s="933"/>
      <c r="AS53" s="933"/>
      <c r="AT53" s="933"/>
      <c r="AU53" s="933"/>
      <c r="AV53" s="933"/>
      <c r="AW53" s="933"/>
      <c r="AX53" s="933"/>
      <c r="AY53" s="933"/>
      <c r="AZ53" s="933"/>
      <c r="BA53" s="933"/>
      <c r="BB53" s="933"/>
      <c r="BC53" s="933"/>
      <c r="BD53" s="933"/>
      <c r="BE53" s="933"/>
      <c r="BF53" s="933"/>
      <c r="BG53" s="933"/>
      <c r="BH53" s="933"/>
      <c r="BI53" s="933"/>
      <c r="BJ53" s="933"/>
      <c r="BK53" s="933"/>
      <c r="BL53" s="933"/>
      <c r="BM53" s="933"/>
      <c r="BN53" s="933"/>
      <c r="BO53" s="933"/>
      <c r="BP53" s="933"/>
      <c r="BQ53" s="933"/>
      <c r="BR53" s="933"/>
      <c r="BS53" s="933"/>
      <c r="BT53" s="933"/>
    </row>
    <row r="54" spans="1:72" x14ac:dyDescent="0.25">
      <c r="A54" s="1711" t="s">
        <v>320</v>
      </c>
      <c r="B54" s="1712"/>
      <c r="C54" s="1712"/>
      <c r="D54" s="1712"/>
      <c r="E54" s="1712"/>
      <c r="F54" s="1712"/>
      <c r="G54" s="1712"/>
      <c r="H54" s="1712"/>
      <c r="I54" s="1712"/>
      <c r="J54" s="1712"/>
      <c r="K54" s="1713"/>
      <c r="L54" s="933"/>
      <c r="M54" s="933"/>
      <c r="N54" s="933"/>
      <c r="O54" s="933"/>
      <c r="P54" s="933"/>
      <c r="Q54" s="933"/>
      <c r="R54" s="933"/>
      <c r="S54" s="933"/>
      <c r="T54" s="933"/>
      <c r="U54" s="933"/>
      <c r="V54" s="933"/>
      <c r="W54" s="933"/>
      <c r="X54" s="933"/>
      <c r="Y54" s="933"/>
      <c r="Z54" s="933"/>
      <c r="AA54" s="933"/>
      <c r="AB54" s="933"/>
      <c r="AC54" s="933"/>
      <c r="AD54" s="933"/>
      <c r="AE54" s="933"/>
      <c r="AF54" s="933"/>
      <c r="AG54" s="933"/>
      <c r="AH54" s="933"/>
      <c r="AI54" s="933"/>
      <c r="AJ54" s="933"/>
      <c r="AK54" s="933"/>
      <c r="AL54" s="933"/>
      <c r="AM54" s="933"/>
      <c r="AN54" s="933"/>
      <c r="AO54" s="933"/>
      <c r="AP54" s="933"/>
      <c r="AQ54" s="933"/>
      <c r="AR54" s="933"/>
      <c r="AS54" s="933"/>
      <c r="AT54" s="933"/>
      <c r="AU54" s="933"/>
      <c r="AV54" s="933"/>
      <c r="AW54" s="933"/>
      <c r="AX54" s="933"/>
      <c r="AY54" s="933"/>
      <c r="AZ54" s="933"/>
      <c r="BA54" s="933"/>
      <c r="BB54" s="933"/>
      <c r="BC54" s="933"/>
      <c r="BD54" s="933"/>
      <c r="BE54" s="933"/>
      <c r="BF54" s="933"/>
      <c r="BG54" s="933"/>
      <c r="BH54" s="933"/>
      <c r="BI54" s="933"/>
      <c r="BJ54" s="933"/>
      <c r="BK54" s="933"/>
      <c r="BL54" s="933"/>
      <c r="BM54" s="933"/>
      <c r="BN54" s="933"/>
      <c r="BO54" s="933"/>
      <c r="BP54" s="933"/>
      <c r="BQ54" s="933"/>
      <c r="BR54" s="933"/>
      <c r="BS54" s="933"/>
      <c r="BT54" s="933"/>
    </row>
    <row r="55" spans="1:72" x14ac:dyDescent="0.25">
      <c r="A55" s="1711"/>
      <c r="B55" s="1712"/>
      <c r="C55" s="1712"/>
      <c r="D55" s="1712"/>
      <c r="E55" s="1712"/>
      <c r="F55" s="1712"/>
      <c r="G55" s="1712"/>
      <c r="H55" s="1712"/>
      <c r="I55" s="1712"/>
      <c r="J55" s="1712"/>
      <c r="K55" s="1713"/>
      <c r="L55" s="933"/>
      <c r="M55" s="933"/>
      <c r="N55" s="933"/>
      <c r="O55" s="933"/>
      <c r="P55" s="933"/>
      <c r="Q55" s="933"/>
      <c r="R55" s="933"/>
      <c r="S55" s="933"/>
      <c r="T55" s="933"/>
      <c r="U55" s="933"/>
      <c r="V55" s="933"/>
      <c r="W55" s="933"/>
      <c r="X55" s="933"/>
      <c r="Y55" s="933"/>
      <c r="Z55" s="933"/>
      <c r="AA55" s="933"/>
      <c r="AB55" s="933"/>
      <c r="AC55" s="933"/>
      <c r="AD55" s="933"/>
      <c r="AE55" s="933"/>
      <c r="AF55" s="933"/>
      <c r="AG55" s="933"/>
      <c r="AH55" s="933"/>
      <c r="AI55" s="933"/>
      <c r="AJ55" s="933"/>
      <c r="AK55" s="933"/>
      <c r="AL55" s="933"/>
      <c r="AM55" s="933"/>
      <c r="AN55" s="933"/>
      <c r="AO55" s="933"/>
      <c r="AP55" s="933"/>
      <c r="AQ55" s="933"/>
      <c r="AR55" s="933"/>
      <c r="AS55" s="933"/>
      <c r="AT55" s="933"/>
      <c r="AU55" s="933"/>
      <c r="AV55" s="933"/>
      <c r="AW55" s="933"/>
      <c r="AX55" s="933"/>
      <c r="AY55" s="933"/>
      <c r="AZ55" s="933"/>
      <c r="BA55" s="933"/>
      <c r="BB55" s="933"/>
      <c r="BC55" s="933"/>
      <c r="BD55" s="933"/>
      <c r="BE55" s="933"/>
      <c r="BF55" s="933"/>
      <c r="BG55" s="933"/>
      <c r="BH55" s="933"/>
      <c r="BI55" s="933"/>
      <c r="BJ55" s="933"/>
      <c r="BK55" s="933"/>
      <c r="BL55" s="933"/>
      <c r="BM55" s="933"/>
      <c r="BN55" s="933"/>
      <c r="BO55" s="933"/>
      <c r="BP55" s="933"/>
      <c r="BQ55" s="933"/>
      <c r="BR55" s="933"/>
      <c r="BS55" s="933"/>
      <c r="BT55" s="933"/>
    </row>
    <row r="56" spans="1:72" ht="13" thickBot="1" x14ac:dyDescent="0.3">
      <c r="A56" s="1702" t="s">
        <v>764</v>
      </c>
      <c r="B56" s="1703"/>
      <c r="C56" s="1703"/>
      <c r="D56" s="1703"/>
      <c r="E56" s="1703"/>
      <c r="F56" s="1703"/>
      <c r="G56" s="1703"/>
      <c r="H56" s="1703"/>
      <c r="I56" s="1703"/>
      <c r="J56" s="1703"/>
      <c r="K56" s="1704"/>
      <c r="L56" s="933"/>
      <c r="M56" s="933"/>
      <c r="N56" s="933"/>
      <c r="O56" s="933"/>
      <c r="P56" s="933"/>
      <c r="Q56" s="933"/>
      <c r="R56" s="933"/>
      <c r="S56" s="933"/>
      <c r="T56" s="933"/>
      <c r="U56" s="933"/>
      <c r="V56" s="933"/>
      <c r="W56" s="933"/>
      <c r="X56" s="933"/>
      <c r="Y56" s="933"/>
      <c r="Z56" s="933"/>
      <c r="AA56" s="933"/>
      <c r="AB56" s="933"/>
      <c r="AC56" s="933"/>
      <c r="AD56" s="933"/>
      <c r="AE56" s="933"/>
      <c r="AF56" s="933"/>
      <c r="AG56" s="933"/>
      <c r="AH56" s="933"/>
      <c r="AI56" s="933"/>
      <c r="AJ56" s="933"/>
      <c r="AK56" s="933"/>
      <c r="AL56" s="933"/>
      <c r="AM56" s="933"/>
      <c r="AN56" s="933"/>
      <c r="AO56" s="933"/>
      <c r="AP56" s="933"/>
      <c r="AQ56" s="933"/>
      <c r="AR56" s="933"/>
      <c r="AS56" s="933"/>
      <c r="AT56" s="933"/>
      <c r="AU56" s="933"/>
      <c r="AV56" s="933"/>
      <c r="AW56" s="933"/>
      <c r="AX56" s="933"/>
      <c r="AY56" s="933"/>
      <c r="AZ56" s="933"/>
      <c r="BA56" s="933"/>
      <c r="BB56" s="933"/>
      <c r="BC56" s="933"/>
      <c r="BD56" s="933"/>
      <c r="BE56" s="933"/>
      <c r="BF56" s="933"/>
      <c r="BG56" s="933"/>
      <c r="BH56" s="933"/>
      <c r="BI56" s="933"/>
      <c r="BJ56" s="933"/>
      <c r="BK56" s="933"/>
      <c r="BL56" s="933"/>
      <c r="BM56" s="933"/>
      <c r="BN56" s="933"/>
      <c r="BO56" s="933"/>
      <c r="BP56" s="933"/>
      <c r="BQ56" s="933"/>
      <c r="BR56" s="933"/>
      <c r="BS56" s="933"/>
      <c r="BT56" s="933"/>
    </row>
    <row r="57" spans="1:72" x14ac:dyDescent="0.25">
      <c r="A57" s="949"/>
      <c r="B57" s="949"/>
      <c r="C57" s="949"/>
      <c r="D57" s="949"/>
      <c r="E57" s="949"/>
      <c r="F57" s="949"/>
      <c r="G57" s="949"/>
      <c r="H57" s="949"/>
      <c r="I57" s="949"/>
      <c r="J57" s="949"/>
      <c r="K57" s="949"/>
      <c r="L57" s="933"/>
      <c r="M57" s="933"/>
      <c r="N57" s="933"/>
      <c r="O57" s="933"/>
      <c r="P57" s="933"/>
      <c r="Q57" s="933"/>
      <c r="R57" s="933"/>
      <c r="S57" s="933"/>
      <c r="T57" s="933"/>
      <c r="U57" s="933"/>
      <c r="V57" s="933"/>
      <c r="W57" s="933"/>
      <c r="X57" s="933"/>
      <c r="Y57" s="933"/>
      <c r="Z57" s="933"/>
      <c r="AA57" s="933"/>
      <c r="AB57" s="933"/>
      <c r="AC57" s="933"/>
      <c r="AD57" s="933"/>
      <c r="AE57" s="933"/>
      <c r="AF57" s="933"/>
      <c r="AG57" s="933"/>
      <c r="AH57" s="933"/>
      <c r="AI57" s="933"/>
      <c r="AJ57" s="933"/>
      <c r="AK57" s="933"/>
      <c r="AL57" s="933"/>
      <c r="AM57" s="933"/>
      <c r="AN57" s="933"/>
      <c r="AO57" s="933"/>
      <c r="AP57" s="933"/>
      <c r="AQ57" s="933"/>
      <c r="AR57" s="933"/>
      <c r="AS57" s="933"/>
      <c r="AT57" s="933"/>
      <c r="AU57" s="933"/>
      <c r="AV57" s="933"/>
      <c r="AW57" s="933"/>
      <c r="AX57" s="933"/>
      <c r="AY57" s="933"/>
      <c r="AZ57" s="933"/>
      <c r="BA57" s="933"/>
      <c r="BB57" s="933"/>
      <c r="BC57" s="933"/>
      <c r="BD57" s="933"/>
      <c r="BE57" s="933"/>
      <c r="BF57" s="933"/>
      <c r="BG57" s="933"/>
      <c r="BH57" s="933"/>
      <c r="BI57" s="933"/>
      <c r="BJ57" s="933"/>
      <c r="BK57" s="933"/>
      <c r="BL57" s="933"/>
      <c r="BM57" s="933"/>
      <c r="BN57" s="933"/>
      <c r="BO57" s="933"/>
      <c r="BP57" s="933"/>
      <c r="BQ57" s="933"/>
      <c r="BR57" s="933"/>
      <c r="BS57" s="933"/>
      <c r="BT57" s="933"/>
    </row>
    <row r="58" spans="1:72" x14ac:dyDescent="0.25">
      <c r="A58" s="933" t="s">
        <v>767</v>
      </c>
      <c r="B58" s="933"/>
      <c r="C58" s="933"/>
      <c r="D58" s="933"/>
      <c r="E58" s="933"/>
      <c r="F58" s="933"/>
      <c r="G58" s="933"/>
      <c r="H58" s="933"/>
      <c r="I58" s="933"/>
      <c r="J58" s="933"/>
      <c r="K58" s="933"/>
      <c r="L58" s="933"/>
      <c r="M58" s="933"/>
      <c r="N58" s="933"/>
      <c r="O58" s="933"/>
      <c r="P58" s="933"/>
      <c r="Q58" s="933"/>
      <c r="R58" s="933"/>
      <c r="S58" s="933"/>
      <c r="T58" s="933"/>
      <c r="U58" s="933"/>
      <c r="V58" s="933"/>
      <c r="W58" s="933"/>
      <c r="X58" s="933"/>
      <c r="Y58" s="933"/>
      <c r="Z58" s="933"/>
      <c r="AA58" s="933"/>
      <c r="AB58" s="933"/>
      <c r="AC58" s="933"/>
      <c r="AD58" s="933"/>
      <c r="AE58" s="933"/>
      <c r="AF58" s="933"/>
      <c r="AG58" s="933"/>
      <c r="AH58" s="933"/>
      <c r="AI58" s="933"/>
      <c r="AJ58" s="933"/>
      <c r="AK58" s="933"/>
      <c r="AL58" s="933"/>
      <c r="AM58" s="933"/>
      <c r="AN58" s="933"/>
      <c r="AO58" s="933"/>
      <c r="AP58" s="933"/>
      <c r="AQ58" s="933"/>
      <c r="AR58" s="933"/>
      <c r="AS58" s="933"/>
      <c r="AT58" s="933"/>
      <c r="AU58" s="933"/>
      <c r="AV58" s="933"/>
      <c r="AW58" s="933"/>
      <c r="AX58" s="933"/>
      <c r="AY58" s="933"/>
      <c r="AZ58" s="933"/>
      <c r="BA58" s="933"/>
      <c r="BB58" s="933"/>
      <c r="BC58" s="933"/>
      <c r="BD58" s="933"/>
      <c r="BE58" s="933"/>
      <c r="BF58" s="933"/>
      <c r="BG58" s="933"/>
      <c r="BH58" s="933"/>
      <c r="BI58" s="933"/>
      <c r="BJ58" s="933"/>
      <c r="BK58" s="933"/>
      <c r="BL58" s="933"/>
      <c r="BM58" s="933"/>
      <c r="BN58" s="933"/>
      <c r="BO58" s="933"/>
      <c r="BP58" s="933"/>
      <c r="BQ58" s="933"/>
      <c r="BR58" s="933"/>
      <c r="BS58" s="933"/>
      <c r="BT58" s="933"/>
    </row>
    <row r="59" spans="1:72" x14ac:dyDescent="0.25">
      <c r="A59" s="933" t="s">
        <v>766</v>
      </c>
      <c r="B59" s="933">
        <v>19022</v>
      </c>
      <c r="C59" s="933"/>
      <c r="D59" s="933"/>
      <c r="E59" s="933"/>
      <c r="F59" s="933"/>
      <c r="G59" s="933"/>
      <c r="H59" s="933"/>
      <c r="I59" s="933"/>
      <c r="J59" s="933"/>
      <c r="K59" s="933"/>
      <c r="L59" s="933"/>
      <c r="M59" s="933"/>
      <c r="N59" s="933"/>
      <c r="O59" s="933"/>
      <c r="P59" s="933"/>
      <c r="Q59" s="933"/>
      <c r="R59" s="933"/>
      <c r="S59" s="933"/>
      <c r="T59" s="933"/>
      <c r="U59" s="933"/>
      <c r="V59" s="933"/>
      <c r="W59" s="933"/>
      <c r="X59" s="933"/>
      <c r="Y59" s="933"/>
      <c r="Z59" s="933"/>
      <c r="AA59" s="933"/>
      <c r="AB59" s="933"/>
      <c r="AC59" s="933"/>
      <c r="AD59" s="933"/>
      <c r="AE59" s="933"/>
      <c r="AF59" s="933"/>
      <c r="AG59" s="933"/>
      <c r="AH59" s="933"/>
      <c r="AI59" s="933"/>
      <c r="AJ59" s="933"/>
      <c r="AK59" s="933"/>
      <c r="AL59" s="933"/>
      <c r="AM59" s="933"/>
      <c r="AN59" s="933"/>
      <c r="AO59" s="933"/>
      <c r="AP59" s="933"/>
      <c r="AQ59" s="933"/>
      <c r="AR59" s="933"/>
      <c r="AS59" s="933"/>
      <c r="AT59" s="933"/>
      <c r="AU59" s="933"/>
      <c r="AV59" s="933"/>
      <c r="AW59" s="933"/>
      <c r="AX59" s="933"/>
      <c r="AY59" s="933"/>
      <c r="AZ59" s="933"/>
      <c r="BA59" s="933"/>
      <c r="BB59" s="933"/>
      <c r="BC59" s="933"/>
      <c r="BD59" s="933"/>
      <c r="BE59" s="933"/>
      <c r="BF59" s="933"/>
      <c r="BG59" s="933"/>
      <c r="BH59" s="933"/>
      <c r="BI59" s="933"/>
      <c r="BJ59" s="933"/>
      <c r="BK59" s="933"/>
      <c r="BL59" s="933"/>
      <c r="BM59" s="933"/>
      <c r="BN59" s="933"/>
      <c r="BO59" s="933"/>
      <c r="BP59" s="933"/>
      <c r="BQ59" s="933"/>
      <c r="BR59" s="933"/>
      <c r="BS59" s="933"/>
      <c r="BT59" s="933"/>
    </row>
    <row r="60" spans="1:72" x14ac:dyDescent="0.25">
      <c r="A60" s="933" t="s">
        <v>765</v>
      </c>
      <c r="B60" s="933">
        <v>17700</v>
      </c>
      <c r="C60" s="933"/>
      <c r="D60" s="933"/>
      <c r="E60" s="933"/>
      <c r="F60" s="933"/>
      <c r="G60" s="933"/>
      <c r="H60" s="933"/>
      <c r="I60" s="933"/>
      <c r="J60" s="933"/>
      <c r="K60" s="933"/>
      <c r="L60" s="933"/>
      <c r="M60" s="933"/>
      <c r="N60" s="933"/>
      <c r="O60" s="933"/>
      <c r="P60" s="933"/>
      <c r="Q60" s="933"/>
      <c r="R60" s="933"/>
      <c r="S60" s="933"/>
      <c r="T60" s="933"/>
      <c r="U60" s="933"/>
      <c r="V60" s="933"/>
      <c r="W60" s="933"/>
      <c r="X60" s="933"/>
      <c r="Y60" s="933"/>
      <c r="Z60" s="933"/>
      <c r="AA60" s="933"/>
      <c r="AB60" s="933"/>
      <c r="AC60" s="933"/>
      <c r="AD60" s="933"/>
      <c r="AE60" s="933"/>
      <c r="AF60" s="933"/>
      <c r="AG60" s="933"/>
      <c r="AH60" s="933"/>
      <c r="AI60" s="933"/>
      <c r="AJ60" s="933"/>
      <c r="AK60" s="933"/>
      <c r="AL60" s="933"/>
      <c r="AM60" s="933"/>
      <c r="AN60" s="933"/>
      <c r="AO60" s="933"/>
      <c r="AP60" s="933"/>
      <c r="AQ60" s="933"/>
      <c r="AR60" s="933"/>
      <c r="AS60" s="933"/>
      <c r="AT60" s="933"/>
      <c r="AU60" s="933"/>
      <c r="AV60" s="933"/>
      <c r="AW60" s="933"/>
      <c r="AX60" s="933"/>
      <c r="AY60" s="933"/>
      <c r="AZ60" s="933"/>
      <c r="BA60" s="933"/>
      <c r="BB60" s="933"/>
      <c r="BC60" s="933"/>
      <c r="BD60" s="933"/>
      <c r="BE60" s="933"/>
      <c r="BF60" s="933"/>
      <c r="BG60" s="933"/>
      <c r="BH60" s="933"/>
      <c r="BI60" s="933"/>
      <c r="BJ60" s="933"/>
      <c r="BK60" s="933"/>
      <c r="BL60" s="933"/>
      <c r="BM60" s="933"/>
      <c r="BN60" s="933"/>
      <c r="BO60" s="933"/>
      <c r="BP60" s="933"/>
      <c r="BQ60" s="933"/>
      <c r="BR60" s="933"/>
      <c r="BS60" s="933"/>
      <c r="BT60" s="933"/>
    </row>
    <row r="61" spans="1:72" x14ac:dyDescent="0.25">
      <c r="A61" s="933" t="s">
        <v>768</v>
      </c>
      <c r="B61" s="933">
        <f>2.205/2000/B60*mmBTU_to_GJ*1000000</f>
        <v>6.5713983050847455E-2</v>
      </c>
      <c r="C61" s="933"/>
      <c r="D61" s="933"/>
      <c r="E61" s="933"/>
      <c r="F61" s="933"/>
      <c r="G61" s="933"/>
      <c r="H61" s="933"/>
      <c r="I61" s="933"/>
      <c r="J61" s="933"/>
      <c r="K61" s="933"/>
      <c r="L61" s="933"/>
      <c r="M61" s="933"/>
      <c r="N61" s="933"/>
      <c r="O61" s="933"/>
      <c r="P61" s="933"/>
      <c r="Q61" s="933"/>
      <c r="R61" s="933"/>
      <c r="S61" s="933"/>
      <c r="T61" s="933"/>
      <c r="U61" s="933"/>
      <c r="V61" s="933"/>
      <c r="W61" s="933"/>
      <c r="X61" s="933"/>
      <c r="Y61" s="933"/>
      <c r="Z61" s="933"/>
      <c r="AA61" s="933"/>
      <c r="AB61" s="933"/>
      <c r="AC61" s="933"/>
      <c r="AD61" s="933"/>
      <c r="AE61" s="933"/>
      <c r="AF61" s="933"/>
      <c r="AG61" s="933"/>
      <c r="AH61" s="933"/>
      <c r="AI61" s="933"/>
      <c r="AJ61" s="933"/>
      <c r="AK61" s="933"/>
      <c r="AL61" s="933"/>
      <c r="AM61" s="933"/>
      <c r="AN61" s="933"/>
      <c r="AO61" s="933"/>
      <c r="AP61" s="933"/>
      <c r="AQ61" s="933"/>
      <c r="AR61" s="933"/>
      <c r="AS61" s="933"/>
      <c r="AT61" s="933"/>
      <c r="AU61" s="933"/>
      <c r="AV61" s="933"/>
      <c r="AW61" s="933"/>
      <c r="AX61" s="933"/>
      <c r="AY61" s="933"/>
      <c r="AZ61" s="933"/>
      <c r="BA61" s="933"/>
      <c r="BB61" s="933"/>
      <c r="BC61" s="933"/>
      <c r="BD61" s="933"/>
      <c r="BE61" s="933"/>
      <c r="BF61" s="933"/>
      <c r="BG61" s="933"/>
      <c r="BH61" s="933"/>
      <c r="BI61" s="933"/>
      <c r="BJ61" s="933"/>
      <c r="BK61" s="933"/>
      <c r="BL61" s="933"/>
      <c r="BM61" s="933"/>
      <c r="BN61" s="933"/>
      <c r="BO61" s="933"/>
      <c r="BP61" s="933"/>
      <c r="BQ61" s="933"/>
      <c r="BR61" s="933"/>
      <c r="BS61" s="933"/>
      <c r="BT61" s="933"/>
    </row>
    <row r="62" spans="1:72" x14ac:dyDescent="0.25">
      <c r="A62" s="933"/>
      <c r="B62" s="933"/>
      <c r="C62" s="933"/>
      <c r="D62" s="933"/>
      <c r="E62" s="933"/>
      <c r="F62" s="933"/>
      <c r="G62" s="933"/>
      <c r="H62" s="933"/>
      <c r="I62" s="933"/>
      <c r="J62" s="933"/>
      <c r="K62" s="933"/>
      <c r="L62" s="933"/>
      <c r="M62" s="933"/>
      <c r="N62" s="933"/>
      <c r="O62" s="933"/>
      <c r="P62" s="933"/>
      <c r="Q62" s="933"/>
      <c r="R62" s="933"/>
      <c r="S62" s="933"/>
      <c r="T62" s="933"/>
      <c r="U62" s="933"/>
      <c r="V62" s="933"/>
      <c r="W62" s="933"/>
      <c r="X62" s="933"/>
      <c r="Y62" s="933"/>
      <c r="Z62" s="933"/>
      <c r="AA62" s="933"/>
      <c r="AB62" s="933"/>
      <c r="AC62" s="933"/>
      <c r="AD62" s="933"/>
      <c r="AE62" s="933"/>
      <c r="AF62" s="933"/>
      <c r="AG62" s="933"/>
      <c r="AH62" s="933"/>
      <c r="AI62" s="933"/>
      <c r="AJ62" s="933"/>
      <c r="AK62" s="933"/>
      <c r="AL62" s="933"/>
      <c r="AM62" s="933"/>
      <c r="AN62" s="933"/>
      <c r="AO62" s="933"/>
      <c r="AP62" s="933"/>
      <c r="AQ62" s="933"/>
      <c r="AR62" s="933"/>
      <c r="AS62" s="933"/>
      <c r="AT62" s="933"/>
      <c r="AU62" s="933"/>
      <c r="AV62" s="933"/>
      <c r="AW62" s="933"/>
      <c r="AX62" s="933"/>
      <c r="AY62" s="933"/>
      <c r="AZ62" s="933"/>
      <c r="BA62" s="933"/>
      <c r="BB62" s="933"/>
      <c r="BC62" s="933"/>
      <c r="BD62" s="933"/>
      <c r="BE62" s="933"/>
      <c r="BF62" s="933"/>
      <c r="BG62" s="933"/>
      <c r="BH62" s="933"/>
      <c r="BI62" s="933"/>
      <c r="BJ62" s="933"/>
      <c r="BK62" s="933"/>
      <c r="BL62" s="933"/>
      <c r="BM62" s="933"/>
      <c r="BN62" s="933"/>
      <c r="BO62" s="933"/>
      <c r="BP62" s="933"/>
      <c r="BQ62" s="933"/>
      <c r="BR62" s="933"/>
      <c r="BS62" s="933"/>
      <c r="BT62" s="933"/>
    </row>
    <row r="63" spans="1:72" x14ac:dyDescent="0.25">
      <c r="A63" s="933"/>
      <c r="B63" s="933"/>
      <c r="C63" s="933"/>
      <c r="D63" s="933"/>
      <c r="E63" s="933"/>
      <c r="F63" s="933"/>
      <c r="G63" s="933"/>
      <c r="H63" s="933"/>
      <c r="I63" s="933"/>
      <c r="J63" s="933"/>
      <c r="K63" s="933"/>
      <c r="L63" s="933"/>
      <c r="M63" s="933"/>
      <c r="N63" s="933"/>
      <c r="O63" s="933"/>
      <c r="P63" s="933"/>
      <c r="Q63" s="933"/>
      <c r="R63" s="933"/>
      <c r="S63" s="933"/>
      <c r="T63" s="933"/>
      <c r="U63" s="933"/>
      <c r="V63" s="933"/>
      <c r="W63" s="933"/>
      <c r="X63" s="933"/>
      <c r="Y63" s="933"/>
      <c r="Z63" s="933"/>
      <c r="AA63" s="933"/>
      <c r="AB63" s="933"/>
      <c r="AC63" s="933"/>
      <c r="AD63" s="933"/>
      <c r="AE63" s="933"/>
      <c r="AF63" s="933"/>
      <c r="AG63" s="933"/>
      <c r="AH63" s="933"/>
      <c r="AI63" s="933"/>
      <c r="AJ63" s="933"/>
      <c r="AK63" s="933"/>
      <c r="AL63" s="933"/>
      <c r="AM63" s="933"/>
      <c r="AN63" s="933"/>
      <c r="AO63" s="933"/>
      <c r="AP63" s="933"/>
      <c r="AQ63" s="933"/>
      <c r="AR63" s="933"/>
      <c r="AS63" s="933"/>
      <c r="AT63" s="933"/>
      <c r="AU63" s="933"/>
      <c r="AV63" s="933"/>
      <c r="AW63" s="933"/>
      <c r="AX63" s="933"/>
      <c r="AY63" s="933"/>
      <c r="AZ63" s="933"/>
      <c r="BA63" s="933"/>
      <c r="BB63" s="933"/>
      <c r="BC63" s="933"/>
      <c r="BD63" s="933"/>
      <c r="BE63" s="933"/>
      <c r="BF63" s="933"/>
      <c r="BG63" s="933"/>
      <c r="BH63" s="933"/>
      <c r="BI63" s="933"/>
      <c r="BJ63" s="933"/>
      <c r="BK63" s="933"/>
      <c r="BL63" s="933"/>
      <c r="BM63" s="933"/>
      <c r="BN63" s="933"/>
      <c r="BO63" s="933"/>
      <c r="BP63" s="933"/>
      <c r="BQ63" s="933"/>
      <c r="BR63" s="933"/>
      <c r="BS63" s="933"/>
      <c r="BT63" s="933"/>
    </row>
    <row r="64" spans="1:72" x14ac:dyDescent="0.25">
      <c r="A64" s="933"/>
      <c r="B64" s="933" t="s">
        <v>774</v>
      </c>
      <c r="C64" s="933" t="s">
        <v>775</v>
      </c>
      <c r="D64" s="933"/>
      <c r="E64" s="933"/>
      <c r="F64" s="933"/>
      <c r="G64" s="933"/>
      <c r="H64" s="933"/>
      <c r="I64" s="933"/>
      <c r="J64" s="933"/>
      <c r="K64" s="933"/>
      <c r="L64" s="933"/>
      <c r="M64" s="933"/>
      <c r="N64" s="933"/>
      <c r="O64" s="933"/>
      <c r="P64" s="933"/>
      <c r="Q64" s="933"/>
      <c r="R64" s="933"/>
      <c r="S64" s="933"/>
      <c r="T64" s="933"/>
      <c r="U64" s="933"/>
      <c r="V64" s="933"/>
      <c r="W64" s="933"/>
      <c r="X64" s="933"/>
      <c r="Y64" s="933"/>
      <c r="Z64" s="933"/>
      <c r="AA64" s="933"/>
      <c r="AB64" s="933"/>
      <c r="AC64" s="933"/>
      <c r="AD64" s="933"/>
      <c r="AE64" s="933"/>
      <c r="AF64" s="933"/>
      <c r="AG64" s="933"/>
      <c r="AH64" s="933"/>
      <c r="AI64" s="933"/>
      <c r="AJ64" s="933"/>
      <c r="AK64" s="933"/>
      <c r="AL64" s="933"/>
      <c r="AM64" s="933"/>
      <c r="AN64" s="933"/>
      <c r="AO64" s="933"/>
      <c r="AP64" s="933"/>
      <c r="AQ64" s="933"/>
      <c r="AR64" s="933"/>
      <c r="AS64" s="933"/>
      <c r="AT64" s="933"/>
      <c r="AU64" s="933"/>
      <c r="AV64" s="933"/>
      <c r="AW64" s="933"/>
      <c r="AX64" s="933"/>
      <c r="AY64" s="933"/>
      <c r="AZ64" s="933"/>
      <c r="BA64" s="933"/>
      <c r="BB64" s="933"/>
      <c r="BC64" s="933"/>
      <c r="BD64" s="933"/>
      <c r="BE64" s="933"/>
      <c r="BF64" s="933"/>
      <c r="BG64" s="933"/>
      <c r="BH64" s="933"/>
      <c r="BI64" s="933"/>
      <c r="BJ64" s="933"/>
      <c r="BK64" s="933"/>
      <c r="BL64" s="933"/>
      <c r="BM64" s="933"/>
      <c r="BN64" s="933"/>
      <c r="BO64" s="933"/>
      <c r="BP64" s="933"/>
      <c r="BQ64" s="933"/>
      <c r="BR64" s="933"/>
      <c r="BS64" s="933"/>
      <c r="BT64" s="933"/>
    </row>
    <row r="65" spans="1:72" x14ac:dyDescent="0.25">
      <c r="A65" s="933"/>
      <c r="B65" s="933" t="s">
        <v>776</v>
      </c>
      <c r="C65" s="933" t="s">
        <v>777</v>
      </c>
      <c r="D65" s="933"/>
      <c r="E65" s="933"/>
      <c r="F65" s="933" t="s">
        <v>778</v>
      </c>
      <c r="G65" s="933"/>
      <c r="H65" s="933"/>
      <c r="I65" s="933"/>
      <c r="J65" s="933"/>
      <c r="K65" s="933"/>
      <c r="L65" s="933"/>
      <c r="M65" s="933"/>
      <c r="N65" s="933"/>
      <c r="O65" s="933"/>
      <c r="P65" s="933"/>
      <c r="Q65" s="933"/>
      <c r="R65" s="933"/>
      <c r="S65" s="933"/>
      <c r="T65" s="933"/>
      <c r="U65" s="933"/>
      <c r="V65" s="933"/>
      <c r="W65" s="933"/>
      <c r="X65" s="933"/>
      <c r="Y65" s="933"/>
      <c r="Z65" s="933"/>
      <c r="AA65" s="933"/>
      <c r="AB65" s="933"/>
      <c r="AC65" s="933"/>
      <c r="AD65" s="933"/>
      <c r="AE65" s="933"/>
      <c r="AF65" s="933"/>
      <c r="AG65" s="933"/>
      <c r="AH65" s="933"/>
      <c r="AI65" s="933"/>
      <c r="AJ65" s="933"/>
      <c r="AK65" s="933"/>
      <c r="AL65" s="933"/>
      <c r="AM65" s="933"/>
      <c r="AN65" s="933"/>
      <c r="AO65" s="933"/>
      <c r="AP65" s="933"/>
      <c r="AQ65" s="933"/>
      <c r="AR65" s="933"/>
      <c r="AS65" s="933"/>
      <c r="AT65" s="933"/>
      <c r="AU65" s="933"/>
      <c r="AV65" s="933"/>
      <c r="AW65" s="933"/>
      <c r="AX65" s="933"/>
      <c r="AY65" s="933"/>
      <c r="AZ65" s="933"/>
      <c r="BA65" s="933"/>
      <c r="BB65" s="933"/>
      <c r="BC65" s="933"/>
      <c r="BD65" s="933"/>
      <c r="BE65" s="933"/>
      <c r="BF65" s="933"/>
      <c r="BG65" s="933"/>
      <c r="BH65" s="933"/>
      <c r="BI65" s="933"/>
      <c r="BJ65" s="933"/>
      <c r="BK65" s="933"/>
      <c r="BL65" s="933"/>
      <c r="BM65" s="933"/>
      <c r="BN65" s="933"/>
      <c r="BO65" s="933"/>
      <c r="BP65" s="933"/>
      <c r="BQ65" s="933"/>
      <c r="BR65" s="933"/>
      <c r="BS65" s="933"/>
      <c r="BT65" s="933"/>
    </row>
    <row r="66" spans="1:72" x14ac:dyDescent="0.25">
      <c r="A66" s="933"/>
      <c r="B66" s="933" t="s">
        <v>779</v>
      </c>
      <c r="C66" s="933" t="s">
        <v>780</v>
      </c>
      <c r="D66" s="933"/>
      <c r="E66" s="933"/>
      <c r="F66" s="933"/>
      <c r="G66" s="933"/>
      <c r="H66" s="933"/>
      <c r="I66" s="933"/>
      <c r="J66" s="933"/>
      <c r="K66" s="933"/>
      <c r="L66" s="933"/>
      <c r="M66" s="933"/>
      <c r="N66" s="933"/>
      <c r="O66" s="933"/>
      <c r="P66" s="933"/>
      <c r="Q66" s="933"/>
      <c r="R66" s="933"/>
      <c r="S66" s="933"/>
      <c r="T66" s="933"/>
      <c r="U66" s="933"/>
      <c r="V66" s="933"/>
      <c r="W66" s="933"/>
      <c r="X66" s="933"/>
      <c r="Y66" s="933"/>
      <c r="Z66" s="933"/>
      <c r="AA66" s="933"/>
      <c r="AB66" s="933"/>
      <c r="AC66" s="933"/>
      <c r="AD66" s="933"/>
      <c r="AE66" s="933"/>
      <c r="AF66" s="933"/>
      <c r="AG66" s="933"/>
      <c r="AH66" s="933"/>
      <c r="AI66" s="933"/>
      <c r="AJ66" s="933"/>
      <c r="AK66" s="933"/>
      <c r="AL66" s="933"/>
      <c r="AM66" s="933"/>
      <c r="AN66" s="933"/>
      <c r="AO66" s="933"/>
      <c r="AP66" s="933"/>
      <c r="AQ66" s="933"/>
      <c r="AR66" s="933"/>
      <c r="AS66" s="933"/>
      <c r="AT66" s="933"/>
      <c r="AU66" s="933"/>
      <c r="AV66" s="933"/>
      <c r="AW66" s="933"/>
      <c r="AX66" s="933"/>
      <c r="AY66" s="933"/>
      <c r="AZ66" s="933"/>
      <c r="BA66" s="933"/>
      <c r="BB66" s="933"/>
      <c r="BC66" s="933"/>
      <c r="BD66" s="933"/>
      <c r="BE66" s="933"/>
      <c r="BF66" s="933"/>
      <c r="BG66" s="933"/>
      <c r="BH66" s="933"/>
      <c r="BI66" s="933"/>
      <c r="BJ66" s="933"/>
      <c r="BK66" s="933"/>
      <c r="BL66" s="933"/>
      <c r="BM66" s="933"/>
      <c r="BN66" s="933"/>
      <c r="BO66" s="933"/>
      <c r="BP66" s="933"/>
      <c r="BQ66" s="933"/>
      <c r="BR66" s="933"/>
      <c r="BS66" s="933"/>
      <c r="BT66" s="933"/>
    </row>
    <row r="67" spans="1:72" x14ac:dyDescent="0.25">
      <c r="A67" s="933"/>
      <c r="B67" s="933" t="s">
        <v>781</v>
      </c>
      <c r="C67" s="933"/>
      <c r="D67" s="933" t="s">
        <v>782</v>
      </c>
      <c r="E67" s="933"/>
      <c r="F67" s="933"/>
      <c r="G67" s="933"/>
      <c r="H67" s="933"/>
      <c r="I67" s="933"/>
      <c r="J67" s="933"/>
      <c r="K67" s="933"/>
      <c r="L67" s="933"/>
      <c r="M67" s="933"/>
      <c r="N67" s="933"/>
      <c r="O67" s="933"/>
      <c r="P67" s="933"/>
      <c r="Q67" s="933"/>
      <c r="R67" s="933"/>
      <c r="S67" s="933"/>
      <c r="T67" s="933"/>
      <c r="U67" s="933"/>
      <c r="V67" s="933"/>
      <c r="W67" s="933"/>
      <c r="X67" s="933"/>
      <c r="Y67" s="933"/>
      <c r="Z67" s="933"/>
      <c r="AA67" s="933"/>
      <c r="AB67" s="933"/>
      <c r="AC67" s="933"/>
      <c r="AD67" s="933"/>
      <c r="AE67" s="933"/>
      <c r="AF67" s="933"/>
      <c r="AG67" s="933"/>
      <c r="AH67" s="933"/>
      <c r="AI67" s="933"/>
      <c r="AJ67" s="933"/>
      <c r="AK67" s="933"/>
      <c r="AL67" s="933"/>
      <c r="AM67" s="933"/>
      <c r="AN67" s="933"/>
      <c r="AO67" s="933"/>
      <c r="AP67" s="933"/>
      <c r="AQ67" s="933"/>
      <c r="AR67" s="933"/>
      <c r="AS67" s="933"/>
      <c r="AT67" s="933"/>
      <c r="AU67" s="933"/>
      <c r="AV67" s="933"/>
      <c r="AW67" s="933"/>
      <c r="AX67" s="933"/>
      <c r="AY67" s="933"/>
      <c r="AZ67" s="933"/>
      <c r="BA67" s="933"/>
      <c r="BB67" s="933"/>
      <c r="BC67" s="933"/>
      <c r="BD67" s="933"/>
      <c r="BE67" s="933"/>
      <c r="BF67" s="933"/>
      <c r="BG67" s="933"/>
      <c r="BH67" s="933"/>
      <c r="BI67" s="933"/>
      <c r="BJ67" s="933"/>
      <c r="BK67" s="933"/>
      <c r="BL67" s="933"/>
      <c r="BM67" s="933"/>
      <c r="BN67" s="933"/>
      <c r="BO67" s="933"/>
      <c r="BP67" s="933"/>
      <c r="BQ67" s="933"/>
      <c r="BR67" s="933"/>
      <c r="BS67" s="933"/>
      <c r="BT67" s="933"/>
    </row>
    <row r="68" spans="1:72" x14ac:dyDescent="0.25">
      <c r="A68" s="933"/>
      <c r="B68" s="933"/>
      <c r="C68" s="933"/>
      <c r="D68" s="933"/>
      <c r="E68" s="933"/>
      <c r="F68" s="933"/>
      <c r="G68" s="933"/>
      <c r="H68" s="933"/>
      <c r="I68" s="933"/>
      <c r="J68" s="933"/>
      <c r="K68" s="933"/>
      <c r="L68" s="933"/>
      <c r="M68" s="933"/>
      <c r="N68" s="933"/>
      <c r="O68" s="933"/>
      <c r="P68" s="933"/>
      <c r="Q68" s="933"/>
      <c r="R68" s="933"/>
      <c r="S68" s="933"/>
      <c r="T68" s="933"/>
      <c r="U68" s="933"/>
      <c r="V68" s="933"/>
      <c r="W68" s="933"/>
      <c r="X68" s="933"/>
      <c r="Y68" s="933"/>
      <c r="Z68" s="933"/>
      <c r="AA68" s="933"/>
      <c r="AB68" s="933"/>
      <c r="AC68" s="933"/>
      <c r="AD68" s="933"/>
      <c r="AE68" s="933"/>
      <c r="AF68" s="933"/>
      <c r="AG68" s="933"/>
      <c r="AH68" s="933"/>
      <c r="AI68" s="933"/>
      <c r="AJ68" s="933"/>
      <c r="AK68" s="933"/>
      <c r="AL68" s="933"/>
      <c r="AM68" s="933"/>
      <c r="AN68" s="933"/>
      <c r="AO68" s="933"/>
      <c r="AP68" s="933"/>
      <c r="AQ68" s="933"/>
      <c r="AR68" s="933"/>
      <c r="AS68" s="933"/>
      <c r="AT68" s="933"/>
      <c r="AU68" s="933"/>
      <c r="AV68" s="933"/>
      <c r="AW68" s="933"/>
      <c r="AX68" s="933"/>
      <c r="AY68" s="933"/>
      <c r="AZ68" s="933"/>
      <c r="BA68" s="933"/>
      <c r="BB68" s="933"/>
      <c r="BC68" s="933"/>
      <c r="BD68" s="933"/>
      <c r="BE68" s="933"/>
      <c r="BF68" s="933"/>
      <c r="BG68" s="933"/>
      <c r="BH68" s="933"/>
      <c r="BI68" s="933"/>
      <c r="BJ68" s="933"/>
      <c r="BK68" s="933"/>
      <c r="BL68" s="933"/>
      <c r="BM68" s="933"/>
      <c r="BN68" s="933"/>
      <c r="BO68" s="933"/>
      <c r="BP68" s="933"/>
      <c r="BQ68" s="933"/>
      <c r="BR68" s="933"/>
      <c r="BS68" s="933"/>
      <c r="BT68" s="933"/>
    </row>
    <row r="69" spans="1:72" x14ac:dyDescent="0.25">
      <c r="A69" s="933"/>
      <c r="B69" s="933"/>
      <c r="C69" s="933"/>
      <c r="D69" s="933"/>
      <c r="E69" s="933"/>
      <c r="F69" s="933"/>
      <c r="G69" s="933"/>
      <c r="H69" s="933"/>
      <c r="I69" s="933"/>
      <c r="J69" s="933"/>
      <c r="K69" s="933"/>
      <c r="L69" s="933"/>
      <c r="M69" s="933"/>
      <c r="N69" s="933"/>
      <c r="O69" s="933"/>
      <c r="P69" s="933"/>
      <c r="Q69" s="933"/>
      <c r="R69" s="933"/>
      <c r="S69" s="933"/>
      <c r="T69" s="933"/>
      <c r="U69" s="933"/>
      <c r="V69" s="933"/>
      <c r="W69" s="933"/>
      <c r="X69" s="933"/>
      <c r="Y69" s="933"/>
      <c r="Z69" s="933"/>
      <c r="AA69" s="933"/>
      <c r="AB69" s="933"/>
      <c r="AC69" s="933"/>
      <c r="AD69" s="933"/>
      <c r="AE69" s="933"/>
      <c r="AF69" s="933"/>
      <c r="AG69" s="933"/>
      <c r="AH69" s="933"/>
      <c r="AI69" s="933"/>
      <c r="AJ69" s="933"/>
      <c r="AK69" s="933"/>
      <c r="AL69" s="933"/>
      <c r="AM69" s="933"/>
      <c r="AN69" s="933"/>
      <c r="AO69" s="933"/>
      <c r="AP69" s="933"/>
      <c r="AQ69" s="933"/>
      <c r="AR69" s="933"/>
      <c r="AS69" s="933"/>
      <c r="AT69" s="933"/>
      <c r="AU69" s="933"/>
      <c r="AV69" s="933"/>
      <c r="AW69" s="933"/>
      <c r="AX69" s="933"/>
      <c r="AY69" s="933"/>
      <c r="AZ69" s="933"/>
      <c r="BA69" s="933"/>
      <c r="BB69" s="933"/>
      <c r="BC69" s="933"/>
      <c r="BD69" s="933"/>
      <c r="BE69" s="933"/>
      <c r="BF69" s="933"/>
      <c r="BG69" s="933"/>
      <c r="BH69" s="933"/>
      <c r="BI69" s="933"/>
      <c r="BJ69" s="933"/>
      <c r="BK69" s="933"/>
      <c r="BL69" s="933"/>
      <c r="BM69" s="933"/>
      <c r="BN69" s="933"/>
      <c r="BO69" s="933"/>
      <c r="BP69" s="933"/>
      <c r="BQ69" s="933"/>
      <c r="BR69" s="933"/>
      <c r="BS69" s="933"/>
      <c r="BT69" s="933"/>
    </row>
    <row r="70" spans="1:72" x14ac:dyDescent="0.25">
      <c r="A70" s="933"/>
      <c r="B70" s="933"/>
      <c r="C70" s="933"/>
      <c r="D70" s="933"/>
      <c r="E70" s="933"/>
      <c r="F70" s="933"/>
      <c r="G70" s="933"/>
      <c r="H70" s="933"/>
      <c r="I70" s="933"/>
      <c r="J70" s="933"/>
      <c r="K70" s="933"/>
      <c r="L70" s="933"/>
      <c r="M70" s="933"/>
      <c r="N70" s="933"/>
      <c r="O70" s="933"/>
      <c r="P70" s="933"/>
      <c r="Q70" s="933"/>
      <c r="R70" s="933"/>
      <c r="S70" s="933"/>
      <c r="T70" s="933"/>
      <c r="U70" s="933"/>
      <c r="V70" s="933"/>
      <c r="W70" s="933"/>
      <c r="X70" s="933"/>
      <c r="Y70" s="933"/>
      <c r="Z70" s="933"/>
      <c r="AA70" s="933"/>
      <c r="AB70" s="933"/>
      <c r="AC70" s="933"/>
      <c r="AD70" s="933"/>
      <c r="AE70" s="933"/>
      <c r="AF70" s="933"/>
      <c r="AG70" s="933"/>
      <c r="AH70" s="933"/>
      <c r="AI70" s="933"/>
      <c r="AJ70" s="933"/>
      <c r="AK70" s="933"/>
      <c r="AL70" s="933"/>
      <c r="AM70" s="933"/>
      <c r="AN70" s="933"/>
      <c r="AO70" s="933"/>
      <c r="AP70" s="933"/>
      <c r="AQ70" s="933"/>
      <c r="AR70" s="933"/>
      <c r="AS70" s="933"/>
      <c r="AT70" s="933"/>
      <c r="AU70" s="933"/>
      <c r="AV70" s="933"/>
      <c r="AW70" s="933"/>
      <c r="AX70" s="933"/>
      <c r="AY70" s="933"/>
      <c r="AZ70" s="933"/>
      <c r="BA70" s="933"/>
      <c r="BB70" s="933"/>
      <c r="BC70" s="933"/>
      <c r="BD70" s="933"/>
      <c r="BE70" s="933"/>
      <c r="BF70" s="933"/>
      <c r="BG70" s="933"/>
      <c r="BH70" s="933"/>
      <c r="BI70" s="933"/>
      <c r="BJ70" s="933"/>
      <c r="BK70" s="933"/>
      <c r="BL70" s="933"/>
      <c r="BM70" s="933"/>
      <c r="BN70" s="933"/>
      <c r="BO70" s="933"/>
      <c r="BP70" s="933"/>
      <c r="BQ70" s="933"/>
      <c r="BR70" s="933"/>
      <c r="BS70" s="933"/>
      <c r="BT70" s="933"/>
    </row>
    <row r="71" spans="1:72" x14ac:dyDescent="0.25">
      <c r="A71" s="933"/>
      <c r="B71" s="933"/>
      <c r="C71" s="933"/>
      <c r="D71" s="933"/>
      <c r="E71" s="933"/>
      <c r="F71" s="933"/>
      <c r="G71" s="933"/>
      <c r="H71" s="933"/>
      <c r="I71" s="933"/>
      <c r="J71" s="933"/>
      <c r="K71" s="933"/>
      <c r="L71" s="933"/>
      <c r="M71" s="933"/>
      <c r="N71" s="933"/>
      <c r="O71" s="933"/>
      <c r="P71" s="933"/>
      <c r="Q71" s="933"/>
      <c r="R71" s="933"/>
      <c r="S71" s="933"/>
      <c r="T71" s="933"/>
      <c r="U71" s="933"/>
      <c r="V71" s="933"/>
      <c r="W71" s="933"/>
      <c r="X71" s="933"/>
      <c r="Y71" s="933"/>
      <c r="Z71" s="933"/>
      <c r="AA71" s="933"/>
      <c r="AB71" s="933"/>
      <c r="AC71" s="933"/>
      <c r="AD71" s="933"/>
      <c r="AE71" s="933"/>
      <c r="AF71" s="933"/>
      <c r="AG71" s="933"/>
      <c r="AH71" s="933"/>
      <c r="AI71" s="933"/>
      <c r="AJ71" s="933"/>
      <c r="AK71" s="933"/>
      <c r="AL71" s="933"/>
      <c r="AM71" s="933"/>
      <c r="AN71" s="933"/>
      <c r="AO71" s="933"/>
      <c r="AP71" s="933"/>
      <c r="AQ71" s="933"/>
      <c r="AR71" s="933"/>
      <c r="AS71" s="933"/>
      <c r="AT71" s="933"/>
      <c r="AU71" s="933"/>
      <c r="AV71" s="933"/>
      <c r="AW71" s="933"/>
      <c r="AX71" s="933"/>
      <c r="AY71" s="933"/>
      <c r="AZ71" s="933"/>
      <c r="BA71" s="933"/>
      <c r="BB71" s="933"/>
      <c r="BC71" s="933"/>
      <c r="BD71" s="933"/>
      <c r="BE71" s="933"/>
      <c r="BF71" s="933"/>
      <c r="BG71" s="933"/>
      <c r="BH71" s="933"/>
      <c r="BI71" s="933"/>
      <c r="BJ71" s="933"/>
      <c r="BK71" s="933"/>
      <c r="BL71" s="933"/>
      <c r="BM71" s="933"/>
      <c r="BN71" s="933"/>
      <c r="BO71" s="933"/>
      <c r="BP71" s="933"/>
      <c r="BQ71" s="933"/>
      <c r="BR71" s="933"/>
      <c r="BS71" s="933"/>
      <c r="BT71" s="933"/>
    </row>
    <row r="72" spans="1:72" x14ac:dyDescent="0.25">
      <c r="A72" s="933" t="s">
        <v>783</v>
      </c>
      <c r="B72" s="933"/>
      <c r="C72" s="933"/>
      <c r="D72" s="933"/>
      <c r="E72" s="933"/>
      <c r="F72" s="933"/>
      <c r="G72" s="933"/>
      <c r="H72" s="933"/>
      <c r="I72" s="933"/>
      <c r="J72" s="933"/>
      <c r="K72" s="933"/>
      <c r="L72" s="933"/>
      <c r="M72" s="933"/>
      <c r="N72" s="933"/>
      <c r="O72" s="933"/>
      <c r="P72" s="933"/>
      <c r="Q72" s="933"/>
      <c r="R72" s="933"/>
      <c r="S72" s="933"/>
      <c r="T72" s="933"/>
      <c r="U72" s="933"/>
      <c r="V72" s="933"/>
      <c r="W72" s="933"/>
      <c r="X72" s="933"/>
      <c r="Y72" s="933"/>
      <c r="Z72" s="933"/>
      <c r="AA72" s="933"/>
      <c r="AB72" s="933"/>
      <c r="AC72" s="933"/>
      <c r="AD72" s="933"/>
      <c r="AE72" s="933"/>
      <c r="AF72" s="933"/>
      <c r="AG72" s="933"/>
      <c r="AH72" s="933"/>
      <c r="AI72" s="933"/>
      <c r="AJ72" s="933"/>
      <c r="AK72" s="933"/>
      <c r="AL72" s="933"/>
      <c r="AM72" s="933"/>
      <c r="AN72" s="933"/>
      <c r="AO72" s="933"/>
      <c r="AP72" s="933"/>
      <c r="AQ72" s="933"/>
      <c r="AR72" s="933"/>
      <c r="AS72" s="933"/>
      <c r="AT72" s="933"/>
      <c r="AU72" s="933"/>
      <c r="AV72" s="933"/>
      <c r="AW72" s="933"/>
      <c r="AX72" s="933"/>
      <c r="AY72" s="933"/>
      <c r="AZ72" s="933"/>
      <c r="BA72" s="933"/>
      <c r="BB72" s="933"/>
      <c r="BC72" s="933"/>
      <c r="BD72" s="933"/>
      <c r="BE72" s="933"/>
      <c r="BF72" s="933"/>
      <c r="BG72" s="933"/>
      <c r="BH72" s="933"/>
      <c r="BI72" s="933"/>
      <c r="BJ72" s="933"/>
      <c r="BK72" s="933"/>
      <c r="BL72" s="933"/>
      <c r="BM72" s="933"/>
      <c r="BN72" s="933"/>
      <c r="BO72" s="933"/>
      <c r="BP72" s="933"/>
      <c r="BQ72" s="933"/>
      <c r="BR72" s="933"/>
      <c r="BS72" s="933"/>
      <c r="BT72" s="933"/>
    </row>
    <row r="73" spans="1:72" x14ac:dyDescent="0.25">
      <c r="A73" s="933"/>
      <c r="B73" s="933"/>
      <c r="C73" s="933"/>
      <c r="D73" s="933"/>
      <c r="E73" s="933"/>
      <c r="F73" s="933"/>
      <c r="G73" s="933"/>
      <c r="H73" s="933"/>
      <c r="I73" s="933"/>
      <c r="J73" s="933"/>
      <c r="K73" s="933"/>
      <c r="L73" s="933"/>
      <c r="M73" s="933"/>
      <c r="N73" s="933"/>
      <c r="O73" s="933"/>
      <c r="P73" s="933"/>
      <c r="Q73" s="933"/>
      <c r="R73" s="933"/>
      <c r="S73" s="933"/>
      <c r="T73" s="933"/>
      <c r="U73" s="933"/>
      <c r="V73" s="933"/>
      <c r="W73" s="933"/>
      <c r="X73" s="933"/>
      <c r="Y73" s="933"/>
      <c r="Z73" s="933"/>
      <c r="AA73" s="933"/>
      <c r="AB73" s="933"/>
      <c r="AC73" s="933"/>
      <c r="AD73" s="933"/>
      <c r="AE73" s="933"/>
      <c r="AF73" s="933"/>
      <c r="AG73" s="933"/>
      <c r="AH73" s="933"/>
      <c r="AI73" s="933"/>
      <c r="AJ73" s="933"/>
      <c r="AK73" s="933"/>
      <c r="AL73" s="933"/>
      <c r="AM73" s="933"/>
      <c r="AN73" s="933"/>
      <c r="AO73" s="933"/>
      <c r="AP73" s="933"/>
      <c r="AQ73" s="933"/>
      <c r="AR73" s="933"/>
      <c r="AS73" s="933"/>
      <c r="AT73" s="933"/>
      <c r="AU73" s="933"/>
      <c r="AV73" s="933"/>
      <c r="AW73" s="933"/>
      <c r="AX73" s="933"/>
      <c r="AY73" s="933"/>
      <c r="AZ73" s="933"/>
      <c r="BA73" s="933"/>
      <c r="BB73" s="933"/>
      <c r="BC73" s="933"/>
      <c r="BD73" s="933"/>
      <c r="BE73" s="933"/>
      <c r="BF73" s="933"/>
      <c r="BG73" s="933"/>
      <c r="BH73" s="933"/>
      <c r="BI73" s="933"/>
      <c r="BJ73" s="933"/>
      <c r="BK73" s="933"/>
      <c r="BL73" s="933"/>
      <c r="BM73" s="933"/>
      <c r="BN73" s="933"/>
      <c r="BO73" s="933"/>
      <c r="BP73" s="933"/>
      <c r="BQ73" s="933"/>
      <c r="BR73" s="933"/>
      <c r="BS73" s="933"/>
      <c r="BT73" s="933"/>
    </row>
    <row r="74" spans="1:72" x14ac:dyDescent="0.25">
      <c r="A74" s="933" t="s">
        <v>784</v>
      </c>
      <c r="B74" s="933"/>
      <c r="C74" s="933"/>
      <c r="D74" s="933"/>
      <c r="E74" s="933"/>
      <c r="F74" s="933"/>
      <c r="G74" s="933"/>
      <c r="H74" s="933"/>
      <c r="I74" s="933"/>
      <c r="J74" s="933"/>
      <c r="K74" s="933"/>
      <c r="L74" s="933"/>
      <c r="M74" s="933"/>
      <c r="N74" s="933"/>
      <c r="O74" s="933"/>
      <c r="P74" s="933"/>
      <c r="Q74" s="933"/>
      <c r="R74" s="933"/>
      <c r="S74" s="933"/>
      <c r="T74" s="933"/>
      <c r="U74" s="933"/>
      <c r="V74" s="933"/>
      <c r="W74" s="933"/>
      <c r="X74" s="933"/>
      <c r="Y74" s="933"/>
      <c r="Z74" s="933"/>
      <c r="AA74" s="933"/>
      <c r="AB74" s="933"/>
      <c r="AC74" s="933"/>
      <c r="AD74" s="933"/>
      <c r="AE74" s="933"/>
      <c r="AF74" s="933"/>
      <c r="AG74" s="933"/>
      <c r="AH74" s="933"/>
      <c r="AI74" s="933"/>
      <c r="AJ74" s="933"/>
      <c r="AK74" s="933"/>
      <c r="AL74" s="933"/>
      <c r="AM74" s="933"/>
      <c r="AN74" s="933"/>
      <c r="AO74" s="933"/>
      <c r="AP74" s="933"/>
      <c r="AQ74" s="933"/>
      <c r="AR74" s="933"/>
      <c r="AS74" s="933"/>
      <c r="AT74" s="933"/>
      <c r="AU74" s="933"/>
      <c r="AV74" s="933"/>
      <c r="AW74" s="933"/>
      <c r="AX74" s="933"/>
      <c r="AY74" s="933"/>
      <c r="AZ74" s="933"/>
      <c r="BA74" s="933"/>
      <c r="BB74" s="933"/>
      <c r="BC74" s="933"/>
      <c r="BD74" s="933"/>
      <c r="BE74" s="933"/>
      <c r="BF74" s="933"/>
      <c r="BG74" s="933"/>
      <c r="BH74" s="933"/>
      <c r="BI74" s="933"/>
      <c r="BJ74" s="933"/>
      <c r="BK74" s="933"/>
      <c r="BL74" s="933"/>
      <c r="BM74" s="933"/>
      <c r="BN74" s="933"/>
      <c r="BO74" s="933"/>
      <c r="BP74" s="933"/>
      <c r="BQ74" s="933"/>
      <c r="BR74" s="933"/>
      <c r="BS74" s="933"/>
      <c r="BT74" s="933"/>
    </row>
    <row r="75" spans="1:72" x14ac:dyDescent="0.25">
      <c r="A75" s="933" t="s">
        <v>785</v>
      </c>
      <c r="B75" s="933"/>
      <c r="C75" s="933"/>
      <c r="D75" s="933"/>
      <c r="E75" s="933"/>
      <c r="F75" s="933"/>
      <c r="G75" s="933"/>
      <c r="H75" s="933"/>
      <c r="I75" s="933"/>
      <c r="J75" s="933"/>
      <c r="K75" s="933"/>
      <c r="L75" s="933"/>
      <c r="M75" s="933"/>
      <c r="N75" s="933"/>
      <c r="O75" s="933"/>
      <c r="P75" s="933"/>
      <c r="Q75" s="933"/>
      <c r="R75" s="933"/>
      <c r="S75" s="933"/>
      <c r="T75" s="933"/>
      <c r="U75" s="933"/>
      <c r="V75" s="933"/>
      <c r="W75" s="933"/>
      <c r="X75" s="933"/>
      <c r="Y75" s="933"/>
      <c r="Z75" s="933"/>
      <c r="AA75" s="933"/>
      <c r="AB75" s="933"/>
      <c r="AC75" s="933"/>
      <c r="AD75" s="933"/>
      <c r="AE75" s="933"/>
      <c r="AF75" s="933"/>
      <c r="AG75" s="933"/>
      <c r="AH75" s="933"/>
      <c r="AI75" s="933"/>
      <c r="AJ75" s="933"/>
      <c r="AK75" s="933"/>
      <c r="AL75" s="933"/>
      <c r="AM75" s="933"/>
      <c r="AN75" s="933"/>
      <c r="AO75" s="933"/>
      <c r="AP75" s="933"/>
      <c r="AQ75" s="933"/>
      <c r="AR75" s="933"/>
      <c r="AS75" s="933"/>
      <c r="AT75" s="933"/>
      <c r="AU75" s="933"/>
      <c r="AV75" s="933"/>
      <c r="AW75" s="933"/>
      <c r="AX75" s="933"/>
      <c r="AY75" s="933"/>
      <c r="AZ75" s="933"/>
      <c r="BA75" s="933"/>
      <c r="BB75" s="933"/>
      <c r="BC75" s="933"/>
      <c r="BD75" s="933"/>
      <c r="BE75" s="933"/>
      <c r="BF75" s="933"/>
      <c r="BG75" s="933"/>
      <c r="BH75" s="933"/>
      <c r="BI75" s="933"/>
      <c r="BJ75" s="933"/>
      <c r="BK75" s="933"/>
      <c r="BL75" s="933"/>
      <c r="BM75" s="933"/>
      <c r="BN75" s="933"/>
      <c r="BO75" s="933"/>
      <c r="BP75" s="933"/>
      <c r="BQ75" s="933"/>
      <c r="BR75" s="933"/>
      <c r="BS75" s="933"/>
      <c r="BT75" s="933"/>
    </row>
    <row r="76" spans="1:72" x14ac:dyDescent="0.25">
      <c r="A76" s="933"/>
      <c r="B76" s="933"/>
      <c r="C76" s="933"/>
      <c r="D76" s="933"/>
      <c r="E76" s="933"/>
      <c r="F76" s="933"/>
      <c r="G76" s="933"/>
      <c r="H76" s="933"/>
      <c r="I76" s="933"/>
      <c r="J76" s="933"/>
      <c r="K76" s="933"/>
      <c r="L76" s="933"/>
      <c r="M76" s="933"/>
      <c r="N76" s="933"/>
      <c r="O76" s="933"/>
      <c r="P76" s="933"/>
      <c r="Q76" s="933"/>
      <c r="R76" s="933"/>
      <c r="S76" s="933"/>
      <c r="T76" s="933"/>
      <c r="U76" s="933"/>
      <c r="V76" s="933"/>
      <c r="W76" s="933"/>
      <c r="X76" s="933"/>
      <c r="Y76" s="933"/>
      <c r="Z76" s="933"/>
      <c r="AA76" s="933"/>
      <c r="AB76" s="933"/>
      <c r="AC76" s="933"/>
      <c r="AD76" s="933"/>
      <c r="AE76" s="933" t="s">
        <v>786</v>
      </c>
      <c r="AF76" s="933"/>
      <c r="AG76" s="933"/>
      <c r="AH76" s="933"/>
      <c r="AI76" s="933"/>
      <c r="AJ76" s="933"/>
      <c r="AK76" s="933"/>
      <c r="AL76" s="933"/>
      <c r="AM76" s="933"/>
      <c r="AN76" s="933"/>
      <c r="AO76" s="933"/>
      <c r="AP76" s="933"/>
      <c r="AQ76" s="933"/>
      <c r="AR76" s="933"/>
      <c r="AS76" s="933"/>
      <c r="AT76" s="933"/>
      <c r="AU76" s="933"/>
      <c r="AV76" s="933"/>
      <c r="AW76" s="933"/>
      <c r="AX76" s="933"/>
      <c r="AY76" s="933"/>
      <c r="AZ76" s="933"/>
      <c r="BA76" s="933"/>
      <c r="BB76" s="933"/>
      <c r="BC76" s="933"/>
      <c r="BD76" s="933"/>
      <c r="BE76" s="933"/>
      <c r="BF76" s="933"/>
      <c r="BG76" s="933"/>
      <c r="BH76" s="933"/>
      <c r="BI76" s="933"/>
      <c r="BJ76" s="933"/>
      <c r="BK76" s="933"/>
      <c r="BL76" s="933"/>
      <c r="BM76" s="933"/>
      <c r="BN76" s="933"/>
      <c r="BO76" s="933"/>
      <c r="BP76" s="933"/>
      <c r="BQ76" s="933"/>
      <c r="BR76" s="933"/>
      <c r="BS76" s="933"/>
      <c r="BT76" s="933"/>
    </row>
    <row r="77" spans="1:72" x14ac:dyDescent="0.25">
      <c r="A77" s="933" t="s">
        <v>787</v>
      </c>
      <c r="B77" s="933">
        <v>2007</v>
      </c>
      <c r="C77" s="933">
        <v>2008</v>
      </c>
      <c r="D77" s="933">
        <v>2009</v>
      </c>
      <c r="E77" s="933">
        <v>2010</v>
      </c>
      <c r="F77" s="933">
        <v>2011</v>
      </c>
      <c r="G77" s="933">
        <v>2012</v>
      </c>
      <c r="H77" s="933">
        <v>2013</v>
      </c>
      <c r="I77" s="933">
        <v>2014</v>
      </c>
      <c r="J77" s="933">
        <v>2015</v>
      </c>
      <c r="K77" s="933">
        <v>2016</v>
      </c>
      <c r="L77" s="933">
        <v>2017</v>
      </c>
      <c r="M77" s="933">
        <v>2018</v>
      </c>
      <c r="N77" s="933">
        <v>2019</v>
      </c>
      <c r="O77" s="933">
        <v>2020</v>
      </c>
      <c r="P77" s="933">
        <v>2021</v>
      </c>
      <c r="Q77" s="933">
        <v>2022</v>
      </c>
      <c r="R77" s="933">
        <v>2023</v>
      </c>
      <c r="S77" s="933">
        <v>2024</v>
      </c>
      <c r="T77" s="933">
        <v>2025</v>
      </c>
      <c r="U77" s="933">
        <v>2026</v>
      </c>
      <c r="V77" s="933">
        <v>2027</v>
      </c>
      <c r="W77" s="933">
        <v>2028</v>
      </c>
      <c r="X77" s="933">
        <v>2029</v>
      </c>
      <c r="Y77" s="933">
        <v>2030</v>
      </c>
      <c r="Z77" s="933">
        <v>2031</v>
      </c>
      <c r="AA77" s="933">
        <v>2032</v>
      </c>
      <c r="AB77" s="933">
        <v>2033</v>
      </c>
      <c r="AC77" s="933">
        <v>2034</v>
      </c>
      <c r="AD77" s="933">
        <v>2035</v>
      </c>
      <c r="AE77" s="933">
        <v>2035</v>
      </c>
      <c r="AF77" s="933"/>
      <c r="AG77" s="933"/>
      <c r="AH77" s="933"/>
      <c r="AI77" s="933"/>
      <c r="AJ77" s="933"/>
      <c r="AK77" s="933"/>
      <c r="AL77" s="933"/>
      <c r="AM77" s="933"/>
      <c r="AN77" s="933"/>
      <c r="AO77" s="933"/>
      <c r="AP77" s="933"/>
      <c r="AQ77" s="933"/>
      <c r="AR77" s="933"/>
      <c r="AS77" s="933"/>
      <c r="AT77" s="933"/>
      <c r="AU77" s="933"/>
      <c r="AV77" s="933"/>
      <c r="AW77" s="933"/>
      <c r="AX77" s="933"/>
      <c r="AY77" s="933"/>
      <c r="AZ77" s="933"/>
      <c r="BA77" s="933"/>
      <c r="BB77" s="933"/>
      <c r="BC77" s="933"/>
      <c r="BD77" s="933"/>
      <c r="BE77" s="933"/>
      <c r="BF77" s="933"/>
      <c r="BG77" s="933"/>
      <c r="BH77" s="933"/>
      <c r="BI77" s="933"/>
      <c r="BJ77" s="933"/>
      <c r="BK77" s="933"/>
      <c r="BL77" s="933"/>
      <c r="BM77" s="933"/>
      <c r="BN77" s="933"/>
      <c r="BO77" s="933"/>
      <c r="BP77" s="933"/>
      <c r="BQ77" s="933"/>
      <c r="BR77" s="933"/>
      <c r="BS77" s="933"/>
      <c r="BT77" s="933"/>
    </row>
    <row r="78" spans="1:72" x14ac:dyDescent="0.25">
      <c r="A78" s="933"/>
      <c r="B78" s="933"/>
      <c r="C78" s="933"/>
      <c r="D78" s="933"/>
      <c r="E78" s="933"/>
      <c r="F78" s="933"/>
      <c r="G78" s="933"/>
      <c r="H78" s="933"/>
      <c r="I78" s="933"/>
      <c r="J78" s="933"/>
      <c r="K78" s="933"/>
      <c r="L78" s="933"/>
      <c r="M78" s="933"/>
      <c r="N78" s="933"/>
      <c r="O78" s="933"/>
      <c r="P78" s="933"/>
      <c r="Q78" s="933"/>
      <c r="R78" s="933"/>
      <c r="S78" s="933"/>
      <c r="T78" s="933"/>
      <c r="U78" s="933"/>
      <c r="V78" s="933"/>
      <c r="W78" s="933"/>
      <c r="X78" s="933"/>
      <c r="Y78" s="933"/>
      <c r="Z78" s="933"/>
      <c r="AA78" s="933"/>
      <c r="AB78" s="933"/>
      <c r="AC78" s="933"/>
      <c r="AD78" s="933"/>
      <c r="AE78" s="933"/>
      <c r="AF78" s="933"/>
      <c r="AG78" s="933"/>
      <c r="AH78" s="933"/>
      <c r="AI78" s="933"/>
      <c r="AJ78" s="933"/>
      <c r="AK78" s="933"/>
      <c r="AL78" s="933"/>
      <c r="AM78" s="933"/>
      <c r="AN78" s="933"/>
      <c r="AO78" s="933"/>
      <c r="AP78" s="933"/>
      <c r="AQ78" s="933"/>
      <c r="AR78" s="933"/>
      <c r="AS78" s="933"/>
      <c r="AT78" s="933"/>
      <c r="AU78" s="933"/>
      <c r="AV78" s="933"/>
      <c r="AW78" s="933"/>
      <c r="AX78" s="933"/>
      <c r="AY78" s="933"/>
      <c r="AZ78" s="933"/>
      <c r="BA78" s="933"/>
      <c r="BB78" s="933"/>
      <c r="BC78" s="933"/>
      <c r="BD78" s="933"/>
      <c r="BE78" s="933"/>
      <c r="BF78" s="933"/>
      <c r="BG78" s="933"/>
      <c r="BH78" s="933"/>
      <c r="BI78" s="933"/>
      <c r="BJ78" s="933"/>
      <c r="BK78" s="933"/>
      <c r="BL78" s="933"/>
      <c r="BM78" s="933"/>
      <c r="BN78" s="933"/>
      <c r="BO78" s="933"/>
      <c r="BP78" s="933"/>
      <c r="BQ78" s="933"/>
      <c r="BR78" s="933"/>
      <c r="BS78" s="933"/>
      <c r="BT78" s="933"/>
    </row>
    <row r="79" spans="1:72" x14ac:dyDescent="0.25">
      <c r="A79" s="933" t="s">
        <v>473</v>
      </c>
      <c r="B79" s="933"/>
      <c r="C79" s="933"/>
      <c r="D79" s="933"/>
      <c r="E79" s="933"/>
      <c r="F79" s="933"/>
      <c r="G79" s="933"/>
      <c r="H79" s="933"/>
      <c r="I79" s="933"/>
      <c r="J79" s="933"/>
      <c r="K79" s="933"/>
      <c r="L79" s="933"/>
      <c r="M79" s="933"/>
      <c r="N79" s="933"/>
      <c r="O79" s="933"/>
      <c r="P79" s="933"/>
      <c r="Q79" s="933"/>
      <c r="R79" s="933"/>
      <c r="S79" s="933"/>
      <c r="T79" s="933"/>
      <c r="U79" s="933"/>
      <c r="V79" s="933"/>
      <c r="W79" s="933"/>
      <c r="X79" s="933"/>
      <c r="Y79" s="933"/>
      <c r="Z79" s="933"/>
      <c r="AA79" s="933"/>
      <c r="AB79" s="933"/>
      <c r="AC79" s="933"/>
      <c r="AD79" s="933"/>
      <c r="AE79" s="933"/>
      <c r="AF79" s="933"/>
      <c r="AG79" s="933"/>
      <c r="AH79" s="933"/>
      <c r="AI79" s="933"/>
      <c r="AJ79" s="933"/>
      <c r="AK79" s="933"/>
      <c r="AL79" s="933"/>
      <c r="AM79" s="933"/>
      <c r="AN79" s="933"/>
      <c r="AO79" s="933"/>
      <c r="AP79" s="933"/>
      <c r="AQ79" s="933"/>
      <c r="AR79" s="933"/>
      <c r="AS79" s="933"/>
      <c r="AT79" s="933"/>
      <c r="AU79" s="933"/>
      <c r="AV79" s="933"/>
      <c r="AW79" s="933"/>
      <c r="AX79" s="933"/>
      <c r="AY79" s="933"/>
      <c r="AZ79" s="933"/>
      <c r="BA79" s="933"/>
      <c r="BB79" s="933"/>
      <c r="BC79" s="933"/>
      <c r="BD79" s="933"/>
      <c r="BE79" s="933"/>
      <c r="BF79" s="933"/>
      <c r="BG79" s="933"/>
      <c r="BH79" s="933"/>
      <c r="BI79" s="933"/>
      <c r="BJ79" s="933"/>
      <c r="BK79" s="933"/>
      <c r="BL79" s="933"/>
      <c r="BM79" s="933"/>
      <c r="BN79" s="933"/>
      <c r="BO79" s="933"/>
      <c r="BP79" s="933"/>
      <c r="BQ79" s="933"/>
      <c r="BR79" s="933"/>
      <c r="BS79" s="933"/>
      <c r="BT79" s="933"/>
    </row>
    <row r="80" spans="1:72" x14ac:dyDescent="0.25">
      <c r="A80" s="933" t="s">
        <v>609</v>
      </c>
      <c r="B80" s="933">
        <v>26.25</v>
      </c>
      <c r="C80" s="933">
        <v>29.35</v>
      </c>
      <c r="D80" s="933">
        <v>24.9</v>
      </c>
      <c r="E80" s="933">
        <v>24.01</v>
      </c>
      <c r="F80" s="933">
        <v>24.09</v>
      </c>
      <c r="G80" s="933">
        <v>25.25</v>
      </c>
      <c r="H80" s="933">
        <v>26.47</v>
      </c>
      <c r="I80" s="933">
        <v>27.44</v>
      </c>
      <c r="J80" s="933">
        <v>28.03</v>
      </c>
      <c r="K80" s="933">
        <v>28.67</v>
      </c>
      <c r="L80" s="933">
        <v>29.21</v>
      </c>
      <c r="M80" s="933">
        <v>29.8</v>
      </c>
      <c r="N80" s="933">
        <v>30.06</v>
      </c>
      <c r="O80" s="933">
        <v>30.29</v>
      </c>
      <c r="P80" s="933">
        <v>30.53</v>
      </c>
      <c r="Q80" s="933">
        <v>30.73</v>
      </c>
      <c r="R80" s="933">
        <v>31.01</v>
      </c>
      <c r="S80" s="933">
        <v>31.28</v>
      </c>
      <c r="T80" s="933">
        <v>31.55</v>
      </c>
      <c r="U80" s="933">
        <v>31.7</v>
      </c>
      <c r="V80" s="933">
        <v>31.98</v>
      </c>
      <c r="W80" s="933">
        <v>32.229999999999997</v>
      </c>
      <c r="X80" s="933">
        <v>32.590000000000003</v>
      </c>
      <c r="Y80" s="933">
        <v>32.81</v>
      </c>
      <c r="Z80" s="933">
        <v>33.17</v>
      </c>
      <c r="AA80" s="933">
        <v>33.51</v>
      </c>
      <c r="AB80" s="933">
        <v>33.9</v>
      </c>
      <c r="AC80" s="933">
        <v>34.26</v>
      </c>
      <c r="AD80" s="933">
        <v>34.65</v>
      </c>
      <c r="AE80" s="972">
        <v>6.0000000000000001E-3</v>
      </c>
      <c r="AF80" s="933"/>
      <c r="AG80" s="933"/>
      <c r="AH80" s="933"/>
      <c r="AI80" s="933"/>
      <c r="AJ80" s="933"/>
      <c r="AK80" s="933"/>
      <c r="AL80" s="933"/>
      <c r="AM80" s="933"/>
      <c r="AN80" s="933"/>
      <c r="AO80" s="933"/>
      <c r="AP80" s="933"/>
      <c r="AQ80" s="933"/>
      <c r="AR80" s="933"/>
      <c r="AS80" s="933"/>
      <c r="AT80" s="933"/>
      <c r="AU80" s="933"/>
      <c r="AV80" s="933"/>
      <c r="AW80" s="933"/>
      <c r="AX80" s="933"/>
      <c r="AY80" s="933"/>
      <c r="AZ80" s="933"/>
      <c r="BA80" s="933"/>
      <c r="BB80" s="933"/>
      <c r="BC80" s="933"/>
      <c r="BD80" s="933"/>
      <c r="BE80" s="933"/>
      <c r="BF80" s="933"/>
      <c r="BG80" s="933"/>
      <c r="BH80" s="933"/>
      <c r="BI80" s="933"/>
      <c r="BJ80" s="933"/>
      <c r="BK80" s="933"/>
      <c r="BL80" s="933"/>
      <c r="BM80" s="933"/>
      <c r="BN80" s="933"/>
      <c r="BO80" s="933"/>
      <c r="BP80" s="933"/>
      <c r="BQ80" s="933"/>
      <c r="BR80" s="933"/>
      <c r="BS80" s="933"/>
      <c r="BT80" s="933"/>
    </row>
    <row r="81" spans="1:72" x14ac:dyDescent="0.25">
      <c r="A81" s="933" t="s">
        <v>610</v>
      </c>
      <c r="B81" s="933">
        <v>20.3</v>
      </c>
      <c r="C81" s="933">
        <v>24.47</v>
      </c>
      <c r="D81" s="933">
        <v>17.98</v>
      </c>
      <c r="E81" s="933">
        <v>17.57</v>
      </c>
      <c r="F81" s="933">
        <v>17.72</v>
      </c>
      <c r="G81" s="933">
        <v>18.84</v>
      </c>
      <c r="H81" s="933">
        <v>19.86</v>
      </c>
      <c r="I81" s="933">
        <v>20.58</v>
      </c>
      <c r="J81" s="933">
        <v>21.08</v>
      </c>
      <c r="K81" s="933">
        <v>22</v>
      </c>
      <c r="L81" s="933">
        <v>22.66</v>
      </c>
      <c r="M81" s="933">
        <v>23.32</v>
      </c>
      <c r="N81" s="933">
        <v>23.74</v>
      </c>
      <c r="O81" s="933">
        <v>24.1</v>
      </c>
      <c r="P81" s="933">
        <v>24.24</v>
      </c>
      <c r="Q81" s="933">
        <v>24.44</v>
      </c>
      <c r="R81" s="933">
        <v>24.76</v>
      </c>
      <c r="S81" s="933">
        <v>24.94</v>
      </c>
      <c r="T81" s="933">
        <v>25.23</v>
      </c>
      <c r="U81" s="933">
        <v>25.5</v>
      </c>
      <c r="V81" s="933">
        <v>25.72</v>
      </c>
      <c r="W81" s="933">
        <v>26.04</v>
      </c>
      <c r="X81" s="933">
        <v>26.44</v>
      </c>
      <c r="Y81" s="933">
        <v>26.61</v>
      </c>
      <c r="Z81" s="933">
        <v>27.05</v>
      </c>
      <c r="AA81" s="933">
        <v>27.45</v>
      </c>
      <c r="AB81" s="933">
        <v>27.82</v>
      </c>
      <c r="AC81" s="933">
        <v>28.24</v>
      </c>
      <c r="AD81" s="933">
        <v>28.66</v>
      </c>
      <c r="AE81" s="972">
        <v>6.0000000000000001E-3</v>
      </c>
      <c r="AF81" s="933"/>
      <c r="AG81" s="933"/>
      <c r="AH81" s="933"/>
      <c r="AI81" s="933"/>
      <c r="AJ81" s="933"/>
      <c r="AK81" s="933"/>
      <c r="AL81" s="933"/>
      <c r="AM81" s="933"/>
      <c r="AN81" s="933"/>
      <c r="AO81" s="933"/>
      <c r="AP81" s="933"/>
      <c r="AQ81" s="933"/>
      <c r="AR81" s="933"/>
      <c r="AS81" s="933"/>
      <c r="AT81" s="933"/>
      <c r="AU81" s="933"/>
      <c r="AV81" s="933"/>
      <c r="AW81" s="933"/>
      <c r="AX81" s="933"/>
      <c r="AY81" s="933"/>
      <c r="AZ81" s="933"/>
      <c r="BA81" s="933"/>
      <c r="BB81" s="933"/>
      <c r="BC81" s="933"/>
      <c r="BD81" s="933"/>
      <c r="BE81" s="933"/>
      <c r="BF81" s="933"/>
      <c r="BG81" s="933"/>
      <c r="BH81" s="933"/>
      <c r="BI81" s="933"/>
      <c r="BJ81" s="933"/>
      <c r="BK81" s="933"/>
      <c r="BL81" s="933"/>
      <c r="BM81" s="933"/>
      <c r="BN81" s="933"/>
      <c r="BO81" s="933"/>
      <c r="BP81" s="933"/>
      <c r="BQ81" s="933"/>
      <c r="BR81" s="933"/>
      <c r="BS81" s="933"/>
      <c r="BT81" s="933"/>
    </row>
    <row r="82" spans="1:72" x14ac:dyDescent="0.25">
      <c r="A82" s="933" t="s">
        <v>510</v>
      </c>
      <c r="B82" s="933">
        <v>12.94</v>
      </c>
      <c r="C82" s="933">
        <v>13.48</v>
      </c>
      <c r="D82" s="933">
        <v>11.39</v>
      </c>
      <c r="E82" s="933">
        <v>10.89</v>
      </c>
      <c r="F82" s="933">
        <v>11.78</v>
      </c>
      <c r="G82" s="933">
        <v>11.87</v>
      </c>
      <c r="H82" s="933">
        <v>11.48</v>
      </c>
      <c r="I82" s="933">
        <v>11.41</v>
      </c>
      <c r="J82" s="933">
        <v>11.56</v>
      </c>
      <c r="K82" s="933">
        <v>11.65</v>
      </c>
      <c r="L82" s="933">
        <v>11.69</v>
      </c>
      <c r="M82" s="933">
        <v>11.76</v>
      </c>
      <c r="N82" s="933">
        <v>11.83</v>
      </c>
      <c r="O82" s="933">
        <v>11.95</v>
      </c>
      <c r="P82" s="933">
        <v>12.07</v>
      </c>
      <c r="Q82" s="933">
        <v>12.26</v>
      </c>
      <c r="R82" s="933">
        <v>12.29</v>
      </c>
      <c r="S82" s="933">
        <v>12.2</v>
      </c>
      <c r="T82" s="933">
        <v>12.29</v>
      </c>
      <c r="U82" s="933">
        <v>12.46</v>
      </c>
      <c r="V82" s="933">
        <v>12.66</v>
      </c>
      <c r="W82" s="933">
        <v>12.9</v>
      </c>
      <c r="X82" s="933">
        <v>13.16</v>
      </c>
      <c r="Y82" s="933">
        <v>13.44</v>
      </c>
      <c r="Z82" s="933">
        <v>13.78</v>
      </c>
      <c r="AA82" s="933">
        <v>13.93</v>
      </c>
      <c r="AB82" s="933">
        <v>14.03</v>
      </c>
      <c r="AC82" s="933">
        <v>14.25</v>
      </c>
      <c r="AD82" s="933">
        <v>14.4</v>
      </c>
      <c r="AE82" s="972">
        <v>2E-3</v>
      </c>
      <c r="AF82" s="933"/>
      <c r="AG82" s="933"/>
      <c r="AH82" s="933"/>
      <c r="AI82" s="933"/>
      <c r="AJ82" s="933"/>
      <c r="AK82" s="933"/>
      <c r="AL82" s="933"/>
      <c r="AM82" s="933"/>
      <c r="AN82" s="933"/>
      <c r="AO82" s="933"/>
      <c r="AP82" s="933"/>
      <c r="AQ82" s="933"/>
      <c r="AR82" s="933"/>
      <c r="AS82" s="933"/>
      <c r="AT82" s="933"/>
      <c r="AU82" s="933"/>
      <c r="AV82" s="933"/>
      <c r="AW82" s="933"/>
      <c r="AX82" s="933"/>
      <c r="AY82" s="933"/>
      <c r="AZ82" s="933"/>
      <c r="BA82" s="933"/>
      <c r="BB82" s="933"/>
      <c r="BC82" s="933"/>
      <c r="BD82" s="933"/>
      <c r="BE82" s="933"/>
      <c r="BF82" s="933"/>
      <c r="BG82" s="933"/>
      <c r="BH82" s="933"/>
      <c r="BI82" s="933"/>
      <c r="BJ82" s="933"/>
      <c r="BK82" s="933"/>
      <c r="BL82" s="933"/>
      <c r="BM82" s="933"/>
      <c r="BN82" s="933"/>
      <c r="BO82" s="933"/>
      <c r="BP82" s="933"/>
      <c r="BQ82" s="933"/>
      <c r="BR82" s="933"/>
      <c r="BS82" s="933"/>
      <c r="BT82" s="933"/>
    </row>
    <row r="83" spans="1:72" x14ac:dyDescent="0.25">
      <c r="A83" s="933" t="s">
        <v>479</v>
      </c>
      <c r="B83" s="933">
        <v>31.82</v>
      </c>
      <c r="C83" s="933">
        <v>33.29</v>
      </c>
      <c r="D83" s="933">
        <v>32.33</v>
      </c>
      <c r="E83" s="933">
        <v>30.94</v>
      </c>
      <c r="F83" s="933">
        <v>29.9</v>
      </c>
      <c r="G83" s="933">
        <v>31.08</v>
      </c>
      <c r="H83" s="933">
        <v>31.47</v>
      </c>
      <c r="I83" s="933">
        <v>31.49</v>
      </c>
      <c r="J83" s="933">
        <v>31.43</v>
      </c>
      <c r="K83" s="933">
        <v>31.64</v>
      </c>
      <c r="L83" s="933">
        <v>31.8</v>
      </c>
      <c r="M83" s="933">
        <v>31.78</v>
      </c>
      <c r="N83" s="933">
        <v>31.68</v>
      </c>
      <c r="O83" s="933">
        <v>31.84</v>
      </c>
      <c r="P83" s="933">
        <v>32.01</v>
      </c>
      <c r="Q83" s="933">
        <v>32.08</v>
      </c>
      <c r="R83" s="933">
        <v>32.200000000000003</v>
      </c>
      <c r="S83" s="933">
        <v>32.28</v>
      </c>
      <c r="T83" s="933">
        <v>32.26</v>
      </c>
      <c r="U83" s="933">
        <v>32.4</v>
      </c>
      <c r="V83" s="933">
        <v>32.57</v>
      </c>
      <c r="W83" s="933">
        <v>32.729999999999997</v>
      </c>
      <c r="X83" s="933">
        <v>33.130000000000003</v>
      </c>
      <c r="Y83" s="933">
        <v>33.46</v>
      </c>
      <c r="Z83" s="933">
        <v>33.81</v>
      </c>
      <c r="AA83" s="933">
        <v>34.11</v>
      </c>
      <c r="AB83" s="933">
        <v>34.26</v>
      </c>
      <c r="AC83" s="933">
        <v>34.49</v>
      </c>
      <c r="AD83" s="933">
        <v>34.71</v>
      </c>
      <c r="AE83" s="972">
        <v>2E-3</v>
      </c>
      <c r="AF83" s="933"/>
      <c r="AG83" s="933"/>
      <c r="AH83" s="933"/>
      <c r="AI83" s="933"/>
      <c r="AJ83" s="933"/>
      <c r="AK83" s="933"/>
      <c r="AL83" s="933"/>
      <c r="AM83" s="933"/>
      <c r="AN83" s="933"/>
      <c r="AO83" s="933"/>
      <c r="AP83" s="933"/>
      <c r="AQ83" s="933"/>
      <c r="AR83" s="933"/>
      <c r="AS83" s="933"/>
      <c r="AT83" s="933"/>
      <c r="AU83" s="933"/>
      <c r="AV83" s="933"/>
      <c r="AW83" s="933"/>
      <c r="AX83" s="933"/>
      <c r="AY83" s="933"/>
      <c r="AZ83" s="933"/>
      <c r="BA83" s="933"/>
      <c r="BB83" s="933"/>
      <c r="BC83" s="933"/>
      <c r="BD83" s="933"/>
      <c r="BE83" s="933"/>
      <c r="BF83" s="933"/>
      <c r="BG83" s="933"/>
      <c r="BH83" s="933"/>
      <c r="BI83" s="933"/>
      <c r="BJ83" s="933"/>
      <c r="BK83" s="933"/>
      <c r="BL83" s="933"/>
      <c r="BM83" s="933"/>
      <c r="BN83" s="933"/>
      <c r="BO83" s="933"/>
      <c r="BP83" s="933"/>
      <c r="BQ83" s="933"/>
      <c r="BR83" s="933"/>
      <c r="BS83" s="933"/>
      <c r="BT83" s="933"/>
    </row>
    <row r="84" spans="1:72" x14ac:dyDescent="0.25">
      <c r="A84" s="933"/>
      <c r="B84" s="933"/>
      <c r="C84" s="933"/>
      <c r="D84" s="933"/>
      <c r="E84" s="933"/>
      <c r="F84" s="933"/>
      <c r="G84" s="933"/>
      <c r="H84" s="933"/>
      <c r="I84" s="933"/>
      <c r="J84" s="933"/>
      <c r="K84" s="933"/>
      <c r="L84" s="933"/>
      <c r="M84" s="933"/>
      <c r="N84" s="933"/>
      <c r="O84" s="933"/>
      <c r="P84" s="933"/>
      <c r="Q84" s="933"/>
      <c r="R84" s="933"/>
      <c r="S84" s="933"/>
      <c r="T84" s="933"/>
      <c r="U84" s="933"/>
      <c r="V84" s="933"/>
      <c r="W84" s="933"/>
      <c r="X84" s="933"/>
      <c r="Y84" s="933"/>
      <c r="Z84" s="933"/>
      <c r="AA84" s="933"/>
      <c r="AB84" s="933"/>
      <c r="AC84" s="933"/>
      <c r="AD84" s="933"/>
      <c r="AE84" s="933"/>
      <c r="AF84" s="933"/>
      <c r="AG84" s="933"/>
      <c r="AH84" s="933"/>
      <c r="AI84" s="933"/>
      <c r="AJ84" s="933"/>
      <c r="AK84" s="933"/>
      <c r="AL84" s="933"/>
      <c r="AM84" s="933"/>
      <c r="AN84" s="933"/>
      <c r="AO84" s="933"/>
      <c r="AP84" s="933"/>
      <c r="AQ84" s="933"/>
      <c r="AR84" s="933"/>
      <c r="AS84" s="933"/>
      <c r="AT84" s="933"/>
      <c r="AU84" s="933"/>
      <c r="AV84" s="933"/>
      <c r="AW84" s="933"/>
      <c r="AX84" s="933"/>
      <c r="AY84" s="933"/>
      <c r="AZ84" s="933"/>
      <c r="BA84" s="933"/>
      <c r="BB84" s="933"/>
      <c r="BC84" s="933"/>
      <c r="BD84" s="933"/>
      <c r="BE84" s="933"/>
      <c r="BF84" s="933"/>
      <c r="BG84" s="933"/>
      <c r="BH84" s="933"/>
      <c r="BI84" s="933"/>
      <c r="BJ84" s="933"/>
      <c r="BK84" s="933"/>
      <c r="BL84" s="933"/>
      <c r="BM84" s="933"/>
      <c r="BN84" s="933"/>
      <c r="BO84" s="933"/>
      <c r="BP84" s="933"/>
      <c r="BQ84" s="933"/>
      <c r="BR84" s="933"/>
      <c r="BS84" s="933"/>
      <c r="BT84" s="933"/>
    </row>
    <row r="85" spans="1:72" x14ac:dyDescent="0.25">
      <c r="A85" s="933" t="s">
        <v>480</v>
      </c>
      <c r="B85" s="933"/>
      <c r="C85" s="933"/>
      <c r="D85" s="933"/>
      <c r="E85" s="933"/>
      <c r="F85" s="933"/>
      <c r="G85" s="933"/>
      <c r="H85" s="933"/>
      <c r="I85" s="933"/>
      <c r="J85" s="933"/>
      <c r="K85" s="933"/>
      <c r="L85" s="933"/>
      <c r="M85" s="933"/>
      <c r="N85" s="933"/>
      <c r="O85" s="933"/>
      <c r="P85" s="933"/>
      <c r="Q85" s="933"/>
      <c r="R85" s="933"/>
      <c r="S85" s="933"/>
      <c r="T85" s="933"/>
      <c r="U85" s="933"/>
      <c r="V85" s="933"/>
      <c r="W85" s="933"/>
      <c r="X85" s="933"/>
      <c r="Y85" s="933"/>
      <c r="Z85" s="933"/>
      <c r="AA85" s="933"/>
      <c r="AB85" s="933"/>
      <c r="AC85" s="933"/>
      <c r="AD85" s="933"/>
      <c r="AE85" s="933"/>
      <c r="AF85" s="933"/>
      <c r="AG85" s="933"/>
      <c r="AH85" s="933"/>
      <c r="AI85" s="933"/>
      <c r="AJ85" s="933"/>
      <c r="AK85" s="933"/>
      <c r="AL85" s="933"/>
      <c r="AM85" s="933"/>
      <c r="AN85" s="933"/>
      <c r="AO85" s="933"/>
      <c r="AP85" s="933"/>
      <c r="AQ85" s="933"/>
      <c r="AR85" s="933"/>
      <c r="AS85" s="933"/>
      <c r="AT85" s="933"/>
      <c r="AU85" s="933"/>
      <c r="AV85" s="933"/>
      <c r="AW85" s="933"/>
      <c r="AX85" s="933"/>
      <c r="AY85" s="933"/>
      <c r="AZ85" s="933"/>
      <c r="BA85" s="933"/>
      <c r="BB85" s="933"/>
      <c r="BC85" s="933"/>
      <c r="BD85" s="933"/>
      <c r="BE85" s="933"/>
      <c r="BF85" s="933"/>
      <c r="BG85" s="933"/>
      <c r="BH85" s="933"/>
      <c r="BI85" s="933"/>
      <c r="BJ85" s="933"/>
      <c r="BK85" s="933"/>
      <c r="BL85" s="933"/>
      <c r="BM85" s="933"/>
      <c r="BN85" s="933"/>
      <c r="BO85" s="933"/>
      <c r="BP85" s="933"/>
      <c r="BQ85" s="933"/>
      <c r="BR85" s="933"/>
      <c r="BS85" s="933"/>
      <c r="BT85" s="933"/>
    </row>
    <row r="86" spans="1:72" x14ac:dyDescent="0.25">
      <c r="A86" s="933" t="s">
        <v>609</v>
      </c>
      <c r="B86" s="933">
        <v>20.65</v>
      </c>
      <c r="C86" s="933">
        <v>26.15</v>
      </c>
      <c r="D86" s="933">
        <v>19.82</v>
      </c>
      <c r="E86" s="933">
        <v>20.78</v>
      </c>
      <c r="F86" s="933">
        <v>20.86</v>
      </c>
      <c r="G86" s="933">
        <v>22.02</v>
      </c>
      <c r="H86" s="933">
        <v>23.23</v>
      </c>
      <c r="I86" s="933">
        <v>24.19</v>
      </c>
      <c r="J86" s="933">
        <v>24.77</v>
      </c>
      <c r="K86" s="933">
        <v>25.41</v>
      </c>
      <c r="L86" s="933">
        <v>25.95</v>
      </c>
      <c r="M86" s="933">
        <v>26.53</v>
      </c>
      <c r="N86" s="933">
        <v>26.79</v>
      </c>
      <c r="O86" s="933">
        <v>27.02</v>
      </c>
      <c r="P86" s="933">
        <v>27.25</v>
      </c>
      <c r="Q86" s="933">
        <v>27.46</v>
      </c>
      <c r="R86" s="933">
        <v>27.73</v>
      </c>
      <c r="S86" s="933">
        <v>28</v>
      </c>
      <c r="T86" s="933">
        <v>28.26</v>
      </c>
      <c r="U86" s="933">
        <v>28.41</v>
      </c>
      <c r="V86" s="933">
        <v>28.68</v>
      </c>
      <c r="W86" s="933">
        <v>28.93</v>
      </c>
      <c r="X86" s="933">
        <v>29.28</v>
      </c>
      <c r="Y86" s="933">
        <v>29.5</v>
      </c>
      <c r="Z86" s="933">
        <v>29.86</v>
      </c>
      <c r="AA86" s="933">
        <v>30.19</v>
      </c>
      <c r="AB86" s="933">
        <v>30.58</v>
      </c>
      <c r="AC86" s="933">
        <v>30.94</v>
      </c>
      <c r="AD86" s="933">
        <v>31.32</v>
      </c>
      <c r="AE86" s="972">
        <v>7.0000000000000001E-3</v>
      </c>
      <c r="AF86" s="933"/>
      <c r="AG86" s="933"/>
      <c r="AH86" s="933"/>
      <c r="AI86" s="933"/>
      <c r="AJ86" s="933"/>
      <c r="AK86" s="933"/>
      <c r="AL86" s="933"/>
      <c r="AM86" s="933"/>
      <c r="AN86" s="933"/>
      <c r="AO86" s="933"/>
      <c r="AP86" s="933"/>
      <c r="AQ86" s="933"/>
      <c r="AR86" s="933"/>
      <c r="AS86" s="933"/>
      <c r="AT86" s="933"/>
      <c r="AU86" s="933"/>
      <c r="AV86" s="933"/>
      <c r="AW86" s="933"/>
      <c r="AX86" s="933"/>
      <c r="AY86" s="933"/>
      <c r="AZ86" s="933"/>
      <c r="BA86" s="933"/>
      <c r="BB86" s="933"/>
      <c r="BC86" s="933"/>
      <c r="BD86" s="933"/>
      <c r="BE86" s="933"/>
      <c r="BF86" s="933"/>
      <c r="BG86" s="933"/>
      <c r="BH86" s="933"/>
      <c r="BI86" s="933"/>
      <c r="BJ86" s="933"/>
      <c r="BK86" s="933"/>
      <c r="BL86" s="933"/>
      <c r="BM86" s="933"/>
      <c r="BN86" s="933"/>
      <c r="BO86" s="933"/>
      <c r="BP86" s="933"/>
      <c r="BQ86" s="933"/>
      <c r="BR86" s="933"/>
      <c r="BS86" s="933"/>
      <c r="BT86" s="933"/>
    </row>
    <row r="87" spans="1:72" x14ac:dyDescent="0.25">
      <c r="A87" s="933" t="s">
        <v>610</v>
      </c>
      <c r="B87" s="933">
        <v>17.48</v>
      </c>
      <c r="C87" s="933">
        <v>21.5</v>
      </c>
      <c r="D87" s="933">
        <v>15.8</v>
      </c>
      <c r="E87" s="933">
        <v>14.82</v>
      </c>
      <c r="F87" s="933">
        <v>15.24</v>
      </c>
      <c r="G87" s="933">
        <v>16.38</v>
      </c>
      <c r="H87" s="933">
        <v>17.399999999999999</v>
      </c>
      <c r="I87" s="933">
        <v>18.11</v>
      </c>
      <c r="J87" s="933">
        <v>18.72</v>
      </c>
      <c r="K87" s="933">
        <v>19.559999999999999</v>
      </c>
      <c r="L87" s="933">
        <v>20.2</v>
      </c>
      <c r="M87" s="933">
        <v>20.84</v>
      </c>
      <c r="N87" s="933">
        <v>21.26</v>
      </c>
      <c r="O87" s="933">
        <v>21.6</v>
      </c>
      <c r="P87" s="933">
        <v>21.78</v>
      </c>
      <c r="Q87" s="933">
        <v>22.04</v>
      </c>
      <c r="R87" s="933">
        <v>22.29</v>
      </c>
      <c r="S87" s="933">
        <v>22.43</v>
      </c>
      <c r="T87" s="933">
        <v>22.72</v>
      </c>
      <c r="U87" s="933">
        <v>22.97</v>
      </c>
      <c r="V87" s="933">
        <v>23.21</v>
      </c>
      <c r="W87" s="933">
        <v>23.53</v>
      </c>
      <c r="X87" s="933">
        <v>23.93</v>
      </c>
      <c r="Y87" s="933">
        <v>24.11</v>
      </c>
      <c r="Z87" s="933">
        <v>24.54</v>
      </c>
      <c r="AA87" s="933">
        <v>24.94</v>
      </c>
      <c r="AB87" s="933">
        <v>25.28</v>
      </c>
      <c r="AC87" s="933">
        <v>25.69</v>
      </c>
      <c r="AD87" s="933">
        <v>26.13</v>
      </c>
      <c r="AE87" s="972">
        <v>7.0000000000000001E-3</v>
      </c>
      <c r="AF87" s="933"/>
      <c r="AG87" s="933"/>
      <c r="AH87" s="933"/>
      <c r="AI87" s="933"/>
      <c r="AJ87" s="933"/>
      <c r="AK87" s="933"/>
      <c r="AL87" s="933"/>
      <c r="AM87" s="933"/>
      <c r="AN87" s="933"/>
      <c r="AO87" s="933"/>
      <c r="AP87" s="933"/>
      <c r="AQ87" s="933"/>
      <c r="AR87" s="933"/>
      <c r="AS87" s="933"/>
      <c r="AT87" s="933"/>
      <c r="AU87" s="933"/>
      <c r="AV87" s="933"/>
      <c r="AW87" s="933"/>
      <c r="AX87" s="933"/>
      <c r="AY87" s="933"/>
      <c r="AZ87" s="933"/>
      <c r="BA87" s="933"/>
      <c r="BB87" s="933"/>
      <c r="BC87" s="933"/>
      <c r="BD87" s="933"/>
      <c r="BE87" s="933"/>
      <c r="BF87" s="933"/>
      <c r="BG87" s="933"/>
      <c r="BH87" s="933"/>
      <c r="BI87" s="933"/>
      <c r="BJ87" s="933"/>
      <c r="BK87" s="933"/>
      <c r="BL87" s="933"/>
      <c r="BM87" s="933"/>
      <c r="BN87" s="933"/>
      <c r="BO87" s="933"/>
      <c r="BP87" s="933"/>
      <c r="BQ87" s="933"/>
      <c r="BR87" s="933"/>
      <c r="BS87" s="933"/>
      <c r="BT87" s="933"/>
    </row>
    <row r="88" spans="1:72" x14ac:dyDescent="0.25">
      <c r="A88" s="933" t="s">
        <v>723</v>
      </c>
      <c r="B88" s="933">
        <v>8.39</v>
      </c>
      <c r="C88" s="933">
        <v>15.52</v>
      </c>
      <c r="D88" s="933">
        <v>9.27</v>
      </c>
      <c r="E88" s="933">
        <v>9.4499999999999993</v>
      </c>
      <c r="F88" s="933">
        <v>9.6300000000000008</v>
      </c>
      <c r="G88" s="933">
        <v>10.85</v>
      </c>
      <c r="H88" s="933">
        <v>11.98</v>
      </c>
      <c r="I88" s="933">
        <v>12.76</v>
      </c>
      <c r="J88" s="933">
        <v>13.13</v>
      </c>
      <c r="K88" s="933">
        <v>13.68</v>
      </c>
      <c r="L88" s="933">
        <v>14.17</v>
      </c>
      <c r="M88" s="933">
        <v>14.69</v>
      </c>
      <c r="N88" s="933">
        <v>15.26</v>
      </c>
      <c r="O88" s="933">
        <v>15.46</v>
      </c>
      <c r="P88" s="933">
        <v>15.68</v>
      </c>
      <c r="Q88" s="933">
        <v>15.89</v>
      </c>
      <c r="R88" s="933">
        <v>16.12</v>
      </c>
      <c r="S88" s="933">
        <v>16.34</v>
      </c>
      <c r="T88" s="933">
        <v>16.54</v>
      </c>
      <c r="U88" s="933">
        <v>16.63</v>
      </c>
      <c r="V88" s="933">
        <v>16.82</v>
      </c>
      <c r="W88" s="933">
        <v>17.059999999999999</v>
      </c>
      <c r="X88" s="933">
        <v>17.28</v>
      </c>
      <c r="Y88" s="933">
        <v>17.54</v>
      </c>
      <c r="Z88" s="933">
        <v>17.89</v>
      </c>
      <c r="AA88" s="933">
        <v>18.12</v>
      </c>
      <c r="AB88" s="933">
        <v>18.25</v>
      </c>
      <c r="AC88" s="933">
        <v>18.68</v>
      </c>
      <c r="AD88" s="933">
        <v>18.84</v>
      </c>
      <c r="AE88" s="972">
        <v>7.0000000000000001E-3</v>
      </c>
      <c r="AF88" s="933"/>
      <c r="AG88" s="933"/>
      <c r="AH88" s="933"/>
      <c r="AI88" s="933"/>
      <c r="AJ88" s="933"/>
      <c r="AK88" s="933"/>
      <c r="AL88" s="933"/>
      <c r="AM88" s="933"/>
      <c r="AN88" s="933"/>
      <c r="AO88" s="933"/>
      <c r="AP88" s="933"/>
      <c r="AQ88" s="933"/>
      <c r="AR88" s="933"/>
      <c r="AS88" s="933"/>
      <c r="AT88" s="933"/>
      <c r="AU88" s="933"/>
      <c r="AV88" s="933"/>
      <c r="AW88" s="933"/>
      <c r="AX88" s="933"/>
      <c r="AY88" s="933"/>
      <c r="AZ88" s="933"/>
      <c r="BA88" s="933"/>
      <c r="BB88" s="933"/>
      <c r="BC88" s="933"/>
      <c r="BD88" s="933"/>
      <c r="BE88" s="933"/>
      <c r="BF88" s="933"/>
      <c r="BG88" s="933"/>
      <c r="BH88" s="933"/>
      <c r="BI88" s="933"/>
      <c r="BJ88" s="933"/>
      <c r="BK88" s="933"/>
      <c r="BL88" s="933"/>
      <c r="BM88" s="933"/>
      <c r="BN88" s="933"/>
      <c r="BO88" s="933"/>
      <c r="BP88" s="933"/>
      <c r="BQ88" s="933"/>
      <c r="BR88" s="933"/>
      <c r="BS88" s="933"/>
      <c r="BT88" s="933"/>
    </row>
    <row r="89" spans="1:72" x14ac:dyDescent="0.25">
      <c r="A89" s="933" t="s">
        <v>510</v>
      </c>
      <c r="B89" s="933">
        <v>11.2</v>
      </c>
      <c r="C89" s="933">
        <v>11.94</v>
      </c>
      <c r="D89" s="933">
        <v>9.0500000000000007</v>
      </c>
      <c r="E89" s="933">
        <v>8.67</v>
      </c>
      <c r="F89" s="933">
        <v>9.7200000000000006</v>
      </c>
      <c r="G89" s="933">
        <v>10.07</v>
      </c>
      <c r="H89" s="933">
        <v>9.92</v>
      </c>
      <c r="I89" s="933">
        <v>9.85</v>
      </c>
      <c r="J89" s="933">
        <v>9.99</v>
      </c>
      <c r="K89" s="933">
        <v>10.08</v>
      </c>
      <c r="L89" s="933">
        <v>10.11</v>
      </c>
      <c r="M89" s="933">
        <v>10.16</v>
      </c>
      <c r="N89" s="933">
        <v>10.23</v>
      </c>
      <c r="O89" s="933">
        <v>10.35</v>
      </c>
      <c r="P89" s="933">
        <v>10.46</v>
      </c>
      <c r="Q89" s="933">
        <v>10.65</v>
      </c>
      <c r="R89" s="933">
        <v>10.69</v>
      </c>
      <c r="S89" s="933">
        <v>10.62</v>
      </c>
      <c r="T89" s="933">
        <v>10.7</v>
      </c>
      <c r="U89" s="933">
        <v>10.86</v>
      </c>
      <c r="V89" s="933">
        <v>11.04</v>
      </c>
      <c r="W89" s="933">
        <v>11.28</v>
      </c>
      <c r="X89" s="933">
        <v>11.52</v>
      </c>
      <c r="Y89" s="933">
        <v>11.78</v>
      </c>
      <c r="Z89" s="933">
        <v>12.11</v>
      </c>
      <c r="AA89" s="933">
        <v>12.26</v>
      </c>
      <c r="AB89" s="933">
        <v>12.32</v>
      </c>
      <c r="AC89" s="933">
        <v>12.52</v>
      </c>
      <c r="AD89" s="933">
        <v>12.66</v>
      </c>
      <c r="AE89" s="972">
        <v>2E-3</v>
      </c>
      <c r="AF89" s="933"/>
      <c r="AG89" s="933"/>
      <c r="AH89" s="933"/>
      <c r="AI89" s="933"/>
      <c r="AJ89" s="933"/>
      <c r="AK89" s="933"/>
      <c r="AL89" s="933"/>
      <c r="AM89" s="933"/>
      <c r="AN89" s="933"/>
      <c r="AO89" s="933"/>
      <c r="AP89" s="933"/>
      <c r="AQ89" s="933"/>
      <c r="AR89" s="933"/>
      <c r="AS89" s="933"/>
      <c r="AT89" s="933"/>
      <c r="AU89" s="933"/>
      <c r="AV89" s="933"/>
      <c r="AW89" s="933"/>
      <c r="AX89" s="933"/>
      <c r="AY89" s="933"/>
      <c r="AZ89" s="933"/>
      <c r="BA89" s="933"/>
      <c r="BB89" s="933"/>
      <c r="BC89" s="933"/>
      <c r="BD89" s="933"/>
      <c r="BE89" s="933"/>
      <c r="BF89" s="933"/>
      <c r="BG89" s="933"/>
      <c r="BH89" s="933"/>
      <c r="BI89" s="933"/>
      <c r="BJ89" s="933"/>
      <c r="BK89" s="933"/>
      <c r="BL89" s="933"/>
      <c r="BM89" s="933"/>
      <c r="BN89" s="933"/>
      <c r="BO89" s="933"/>
      <c r="BP89" s="933"/>
      <c r="BQ89" s="933"/>
      <c r="BR89" s="933"/>
      <c r="BS89" s="933"/>
      <c r="BT89" s="933"/>
    </row>
    <row r="90" spans="1:72" x14ac:dyDescent="0.25">
      <c r="A90" s="933" t="s">
        <v>479</v>
      </c>
      <c r="B90" s="933">
        <v>28.81</v>
      </c>
      <c r="C90" s="933">
        <v>30.47</v>
      </c>
      <c r="D90" s="933">
        <v>28.94</v>
      </c>
      <c r="E90" s="933">
        <v>27.37</v>
      </c>
      <c r="F90" s="933">
        <v>25.72</v>
      </c>
      <c r="G90" s="933">
        <v>26.72</v>
      </c>
      <c r="H90" s="933">
        <v>26.81</v>
      </c>
      <c r="I90" s="933">
        <v>26.55</v>
      </c>
      <c r="J90" s="933">
        <v>26.55</v>
      </c>
      <c r="K90" s="933">
        <v>26.81</v>
      </c>
      <c r="L90" s="933">
        <v>26.97</v>
      </c>
      <c r="M90" s="933">
        <v>26.98</v>
      </c>
      <c r="N90" s="933">
        <v>26.93</v>
      </c>
      <c r="O90" s="933">
        <v>27.12</v>
      </c>
      <c r="P90" s="933">
        <v>27.31</v>
      </c>
      <c r="Q90" s="933">
        <v>27.42</v>
      </c>
      <c r="R90" s="933">
        <v>27.62</v>
      </c>
      <c r="S90" s="933">
        <v>27.77</v>
      </c>
      <c r="T90" s="933">
        <v>27.72</v>
      </c>
      <c r="U90" s="933">
        <v>27.87</v>
      </c>
      <c r="V90" s="933">
        <v>28.05</v>
      </c>
      <c r="W90" s="933">
        <v>28.25</v>
      </c>
      <c r="X90" s="933">
        <v>28.67</v>
      </c>
      <c r="Y90" s="933">
        <v>28.99</v>
      </c>
      <c r="Z90" s="933">
        <v>29.37</v>
      </c>
      <c r="AA90" s="933">
        <v>29.73</v>
      </c>
      <c r="AB90" s="933">
        <v>29.9</v>
      </c>
      <c r="AC90" s="933">
        <v>30.15</v>
      </c>
      <c r="AD90" s="933">
        <v>30.37</v>
      </c>
      <c r="AE90" s="972">
        <v>0</v>
      </c>
      <c r="AF90" s="933"/>
      <c r="AG90" s="933"/>
      <c r="AH90" s="933"/>
      <c r="AI90" s="933"/>
      <c r="AJ90" s="933"/>
      <c r="AK90" s="933"/>
      <c r="AL90" s="933"/>
      <c r="AM90" s="933"/>
      <c r="AN90" s="933"/>
      <c r="AO90" s="933"/>
      <c r="AP90" s="933"/>
      <c r="AQ90" s="933"/>
      <c r="AR90" s="933"/>
      <c r="AS90" s="933"/>
      <c r="AT90" s="933"/>
      <c r="AU90" s="933"/>
      <c r="AV90" s="933"/>
      <c r="AW90" s="933"/>
      <c r="AX90" s="933"/>
      <c r="AY90" s="933"/>
      <c r="AZ90" s="933"/>
      <c r="BA90" s="933"/>
      <c r="BB90" s="933"/>
      <c r="BC90" s="933"/>
      <c r="BD90" s="933"/>
      <c r="BE90" s="933"/>
      <c r="BF90" s="933"/>
      <c r="BG90" s="933"/>
      <c r="BH90" s="933"/>
      <c r="BI90" s="933"/>
      <c r="BJ90" s="933"/>
      <c r="BK90" s="933"/>
      <c r="BL90" s="933"/>
      <c r="BM90" s="933"/>
      <c r="BN90" s="933"/>
      <c r="BO90" s="933"/>
      <c r="BP90" s="933"/>
      <c r="BQ90" s="933"/>
      <c r="BR90" s="933"/>
      <c r="BS90" s="933"/>
      <c r="BT90" s="933"/>
    </row>
    <row r="91" spans="1:72" x14ac:dyDescent="0.25">
      <c r="A91" s="933"/>
      <c r="B91" s="933"/>
      <c r="C91" s="933"/>
      <c r="D91" s="933"/>
      <c r="E91" s="933"/>
      <c r="F91" s="933"/>
      <c r="G91" s="933"/>
      <c r="H91" s="933"/>
      <c r="I91" s="933"/>
      <c r="J91" s="933"/>
      <c r="K91" s="933"/>
      <c r="L91" s="933"/>
      <c r="M91" s="933"/>
      <c r="N91" s="933"/>
      <c r="O91" s="933"/>
      <c r="P91" s="933"/>
      <c r="Q91" s="933"/>
      <c r="R91" s="933"/>
      <c r="S91" s="933"/>
      <c r="T91" s="933"/>
      <c r="U91" s="933"/>
      <c r="V91" s="933"/>
      <c r="W91" s="933"/>
      <c r="X91" s="933"/>
      <c r="Y91" s="933"/>
      <c r="Z91" s="933"/>
      <c r="AA91" s="933"/>
      <c r="AB91" s="933"/>
      <c r="AC91" s="933"/>
      <c r="AD91" s="933"/>
      <c r="AE91" s="933"/>
      <c r="AF91" s="933"/>
      <c r="AG91" s="933"/>
      <c r="AH91" s="933"/>
      <c r="AI91" s="933"/>
      <c r="AJ91" s="933"/>
      <c r="AK91" s="933"/>
      <c r="AL91" s="933"/>
      <c r="AM91" s="933"/>
      <c r="AN91" s="933"/>
      <c r="AO91" s="933"/>
      <c r="AP91" s="933"/>
      <c r="AQ91" s="933"/>
      <c r="AR91" s="933"/>
      <c r="AS91" s="933"/>
      <c r="AT91" s="933"/>
      <c r="AU91" s="933"/>
      <c r="AV91" s="933"/>
      <c r="AW91" s="933"/>
      <c r="AX91" s="933"/>
      <c r="AY91" s="933"/>
      <c r="AZ91" s="933"/>
      <c r="BA91" s="933"/>
      <c r="BB91" s="933"/>
      <c r="BC91" s="933"/>
      <c r="BD91" s="933"/>
      <c r="BE91" s="933"/>
      <c r="BF91" s="933"/>
      <c r="BG91" s="933"/>
      <c r="BH91" s="933"/>
      <c r="BI91" s="933"/>
      <c r="BJ91" s="933"/>
      <c r="BK91" s="933"/>
      <c r="BL91" s="933"/>
      <c r="BM91" s="933"/>
      <c r="BN91" s="933"/>
      <c r="BO91" s="933"/>
      <c r="BP91" s="933"/>
      <c r="BQ91" s="933"/>
      <c r="BR91" s="933"/>
      <c r="BS91" s="933"/>
      <c r="BT91" s="933"/>
    </row>
    <row r="92" spans="1:72" x14ac:dyDescent="0.25">
      <c r="A92" s="933" t="s">
        <v>612</v>
      </c>
      <c r="B92" s="933"/>
      <c r="C92" s="933"/>
      <c r="D92" s="933"/>
      <c r="E92" s="933"/>
      <c r="F92" s="933"/>
      <c r="G92" s="933"/>
      <c r="H92" s="933"/>
      <c r="I92" s="933"/>
      <c r="J92" s="933"/>
      <c r="K92" s="933"/>
      <c r="L92" s="933"/>
      <c r="M92" s="933"/>
      <c r="N92" s="933"/>
      <c r="O92" s="933"/>
      <c r="P92" s="933"/>
      <c r="Q92" s="933"/>
      <c r="R92" s="933"/>
      <c r="S92" s="933"/>
      <c r="T92" s="933"/>
      <c r="U92" s="933"/>
      <c r="V92" s="933"/>
      <c r="W92" s="933"/>
      <c r="X92" s="933"/>
      <c r="Y92" s="933"/>
      <c r="Z92" s="933"/>
      <c r="AA92" s="933"/>
      <c r="AB92" s="933"/>
      <c r="AC92" s="933"/>
      <c r="AD92" s="933"/>
      <c r="AE92" s="933"/>
      <c r="AF92" s="933"/>
      <c r="AG92" s="933"/>
      <c r="AH92" s="933"/>
      <c r="AI92" s="933"/>
      <c r="AJ92" s="933"/>
      <c r="AK92" s="933"/>
      <c r="AL92" s="933"/>
      <c r="AM92" s="933"/>
      <c r="AN92" s="933"/>
      <c r="AO92" s="933"/>
      <c r="AP92" s="933"/>
      <c r="AQ92" s="933"/>
      <c r="AR92" s="933"/>
      <c r="AS92" s="933"/>
      <c r="AT92" s="933"/>
      <c r="AU92" s="933"/>
      <c r="AV92" s="933"/>
      <c r="AW92" s="933"/>
      <c r="AX92" s="933"/>
      <c r="AY92" s="933"/>
      <c r="AZ92" s="933"/>
      <c r="BA92" s="933"/>
      <c r="BB92" s="933"/>
      <c r="BC92" s="933"/>
      <c r="BD92" s="933"/>
      <c r="BE92" s="933"/>
      <c r="BF92" s="933"/>
      <c r="BG92" s="933"/>
      <c r="BH92" s="933"/>
      <c r="BI92" s="933"/>
      <c r="BJ92" s="933"/>
      <c r="BK92" s="933"/>
      <c r="BL92" s="933"/>
      <c r="BM92" s="933"/>
      <c r="BN92" s="933"/>
      <c r="BO92" s="933"/>
      <c r="BP92" s="933"/>
      <c r="BQ92" s="933"/>
      <c r="BR92" s="933"/>
      <c r="BS92" s="933"/>
      <c r="BT92" s="933"/>
    </row>
    <row r="93" spans="1:72" x14ac:dyDescent="0.25">
      <c r="A93" s="933" t="s">
        <v>609</v>
      </c>
      <c r="B93" s="933">
        <v>22.01</v>
      </c>
      <c r="C93" s="933">
        <v>24.2</v>
      </c>
      <c r="D93" s="933">
        <v>18.64</v>
      </c>
      <c r="E93" s="933">
        <v>18.36</v>
      </c>
      <c r="F93" s="933">
        <v>18.46</v>
      </c>
      <c r="G93" s="933">
        <v>19.61</v>
      </c>
      <c r="H93" s="933">
        <v>20.9</v>
      </c>
      <c r="I93" s="933">
        <v>21.9</v>
      </c>
      <c r="J93" s="933">
        <v>22.49</v>
      </c>
      <c r="K93" s="933">
        <v>23.25</v>
      </c>
      <c r="L93" s="933">
        <v>23.76</v>
      </c>
      <c r="M93" s="933">
        <v>24.31</v>
      </c>
      <c r="N93" s="933">
        <v>24.62</v>
      </c>
      <c r="O93" s="933">
        <v>24.86</v>
      </c>
      <c r="P93" s="933">
        <v>25.09</v>
      </c>
      <c r="Q93" s="933">
        <v>25.3</v>
      </c>
      <c r="R93" s="933">
        <v>25.59</v>
      </c>
      <c r="S93" s="933">
        <v>25.86</v>
      </c>
      <c r="T93" s="933">
        <v>26.12</v>
      </c>
      <c r="U93" s="933">
        <v>26.27</v>
      </c>
      <c r="V93" s="933">
        <v>26.55</v>
      </c>
      <c r="W93" s="933">
        <v>26.8</v>
      </c>
      <c r="X93" s="933">
        <v>27.15</v>
      </c>
      <c r="Y93" s="933">
        <v>27.38</v>
      </c>
      <c r="Z93" s="933">
        <v>27.74</v>
      </c>
      <c r="AA93" s="933">
        <v>28.08</v>
      </c>
      <c r="AB93" s="933">
        <v>28.48</v>
      </c>
      <c r="AC93" s="933">
        <v>28.86</v>
      </c>
      <c r="AD93" s="933">
        <v>29.25</v>
      </c>
      <c r="AE93" s="972">
        <v>7.0000000000000001E-3</v>
      </c>
      <c r="AF93" s="933"/>
      <c r="AG93" s="933"/>
      <c r="AH93" s="933"/>
      <c r="AI93" s="933"/>
      <c r="AJ93" s="933"/>
      <c r="AK93" s="933"/>
      <c r="AL93" s="933"/>
      <c r="AM93" s="933"/>
      <c r="AN93" s="933"/>
      <c r="AO93" s="933"/>
      <c r="AP93" s="933"/>
      <c r="AQ93" s="933"/>
      <c r="AR93" s="933"/>
      <c r="AS93" s="933"/>
      <c r="AT93" s="933"/>
      <c r="AU93" s="933"/>
      <c r="AV93" s="933"/>
      <c r="AW93" s="933"/>
      <c r="AX93" s="933"/>
      <c r="AY93" s="933"/>
      <c r="AZ93" s="933"/>
      <c r="BA93" s="933"/>
      <c r="BB93" s="933"/>
      <c r="BC93" s="933"/>
      <c r="BD93" s="933"/>
      <c r="BE93" s="933"/>
      <c r="BF93" s="933"/>
      <c r="BG93" s="933"/>
      <c r="BH93" s="933"/>
      <c r="BI93" s="933"/>
      <c r="BJ93" s="933"/>
      <c r="BK93" s="933"/>
      <c r="BL93" s="933"/>
      <c r="BM93" s="933"/>
      <c r="BN93" s="933"/>
      <c r="BO93" s="933"/>
      <c r="BP93" s="933"/>
      <c r="BQ93" s="933"/>
      <c r="BR93" s="933"/>
      <c r="BS93" s="933"/>
      <c r="BT93" s="933"/>
    </row>
    <row r="94" spans="1:72" x14ac:dyDescent="0.25">
      <c r="A94" s="933" t="s">
        <v>610</v>
      </c>
      <c r="B94" s="933">
        <v>18.07</v>
      </c>
      <c r="C94" s="933">
        <v>22.31</v>
      </c>
      <c r="D94" s="933">
        <v>16.399999999999999</v>
      </c>
      <c r="E94" s="933">
        <v>14.38</v>
      </c>
      <c r="F94" s="933">
        <v>15.38</v>
      </c>
      <c r="G94" s="933">
        <v>16.55</v>
      </c>
      <c r="H94" s="933">
        <v>17.59</v>
      </c>
      <c r="I94" s="933">
        <v>18.32</v>
      </c>
      <c r="J94" s="933">
        <v>19</v>
      </c>
      <c r="K94" s="933">
        <v>19.8</v>
      </c>
      <c r="L94" s="933">
        <v>20.440000000000001</v>
      </c>
      <c r="M94" s="933">
        <v>21.08</v>
      </c>
      <c r="N94" s="933">
        <v>21.49</v>
      </c>
      <c r="O94" s="933">
        <v>21.83</v>
      </c>
      <c r="P94" s="933">
        <v>22.03</v>
      </c>
      <c r="Q94" s="933">
        <v>22.36</v>
      </c>
      <c r="R94" s="933">
        <v>22.56</v>
      </c>
      <c r="S94" s="933">
        <v>22.67</v>
      </c>
      <c r="T94" s="933">
        <v>22.97</v>
      </c>
      <c r="U94" s="933">
        <v>23.22</v>
      </c>
      <c r="V94" s="933">
        <v>23.48</v>
      </c>
      <c r="W94" s="933">
        <v>23.81</v>
      </c>
      <c r="X94" s="933">
        <v>24.22</v>
      </c>
      <c r="Y94" s="933">
        <v>24.4</v>
      </c>
      <c r="Z94" s="933">
        <v>24.84</v>
      </c>
      <c r="AA94" s="933">
        <v>25.25</v>
      </c>
      <c r="AB94" s="933">
        <v>25.6</v>
      </c>
      <c r="AC94" s="933">
        <v>26.02</v>
      </c>
      <c r="AD94" s="933">
        <v>26.48</v>
      </c>
      <c r="AE94" s="972">
        <v>6.0000000000000001E-3</v>
      </c>
      <c r="AF94" s="933"/>
      <c r="AG94" s="933"/>
      <c r="AH94" s="933"/>
      <c r="AI94" s="933"/>
      <c r="AJ94" s="933"/>
      <c r="AK94" s="933"/>
      <c r="AL94" s="933"/>
      <c r="AM94" s="933"/>
      <c r="AN94" s="933"/>
      <c r="AO94" s="933"/>
      <c r="AP94" s="933"/>
      <c r="AQ94" s="933"/>
      <c r="AR94" s="933"/>
      <c r="AS94" s="933"/>
      <c r="AT94" s="933"/>
      <c r="AU94" s="933"/>
      <c r="AV94" s="933"/>
      <c r="AW94" s="933"/>
      <c r="AX94" s="933"/>
      <c r="AY94" s="933"/>
      <c r="AZ94" s="933"/>
      <c r="BA94" s="933"/>
      <c r="BB94" s="933"/>
      <c r="BC94" s="933"/>
      <c r="BD94" s="933"/>
      <c r="BE94" s="933"/>
      <c r="BF94" s="933"/>
      <c r="BG94" s="933"/>
      <c r="BH94" s="933"/>
      <c r="BI94" s="933"/>
      <c r="BJ94" s="933"/>
      <c r="BK94" s="933"/>
      <c r="BL94" s="933"/>
      <c r="BM94" s="933"/>
      <c r="BN94" s="933"/>
      <c r="BO94" s="933"/>
      <c r="BP94" s="933"/>
      <c r="BQ94" s="933"/>
      <c r="BR94" s="933"/>
      <c r="BS94" s="933"/>
      <c r="BT94" s="933"/>
    </row>
    <row r="95" spans="1:72" x14ac:dyDescent="0.25">
      <c r="A95" s="933" t="s">
        <v>611</v>
      </c>
      <c r="B95" s="933">
        <v>8.84</v>
      </c>
      <c r="C95" s="933">
        <v>16.309999999999999</v>
      </c>
      <c r="D95" s="933">
        <v>9.75</v>
      </c>
      <c r="E95" s="933">
        <v>13.12</v>
      </c>
      <c r="F95" s="933">
        <v>13.24</v>
      </c>
      <c r="G95" s="933">
        <v>14.32</v>
      </c>
      <c r="H95" s="933">
        <v>15.31</v>
      </c>
      <c r="I95" s="933">
        <v>16.079999999999998</v>
      </c>
      <c r="J95" s="933">
        <v>16.47</v>
      </c>
      <c r="K95" s="933">
        <v>16.96</v>
      </c>
      <c r="L95" s="933">
        <v>17.37</v>
      </c>
      <c r="M95" s="933">
        <v>17.82</v>
      </c>
      <c r="N95" s="933">
        <v>18.09</v>
      </c>
      <c r="O95" s="933">
        <v>18.2</v>
      </c>
      <c r="P95" s="933">
        <v>18.43</v>
      </c>
      <c r="Q95" s="933">
        <v>18.61</v>
      </c>
      <c r="R95" s="933">
        <v>18.82</v>
      </c>
      <c r="S95" s="933">
        <v>19.03</v>
      </c>
      <c r="T95" s="933">
        <v>19.23</v>
      </c>
      <c r="U95" s="933">
        <v>19.3</v>
      </c>
      <c r="V95" s="933">
        <v>19.489999999999998</v>
      </c>
      <c r="W95" s="933">
        <v>19.73</v>
      </c>
      <c r="X95" s="933">
        <v>19.98</v>
      </c>
      <c r="Y95" s="933">
        <v>20.27</v>
      </c>
      <c r="Z95" s="933">
        <v>20.61</v>
      </c>
      <c r="AA95" s="933">
        <v>20.87</v>
      </c>
      <c r="AB95" s="933">
        <v>21.12</v>
      </c>
      <c r="AC95" s="933">
        <v>21.44</v>
      </c>
      <c r="AD95" s="933">
        <v>21.72</v>
      </c>
      <c r="AE95" s="972">
        <v>1.0999999999999999E-2</v>
      </c>
      <c r="AF95" s="933"/>
      <c r="AG95" s="933"/>
      <c r="AH95" s="933"/>
      <c r="AI95" s="933"/>
      <c r="AJ95" s="933"/>
      <c r="AK95" s="933"/>
      <c r="AL95" s="933"/>
      <c r="AM95" s="933"/>
      <c r="AN95" s="933"/>
      <c r="AO95" s="933"/>
      <c r="AP95" s="933"/>
      <c r="AQ95" s="933"/>
      <c r="AR95" s="933"/>
      <c r="AS95" s="933"/>
      <c r="AT95" s="933"/>
      <c r="AU95" s="933"/>
      <c r="AV95" s="933"/>
      <c r="AW95" s="933"/>
      <c r="AX95" s="933"/>
      <c r="AY95" s="933"/>
      <c r="AZ95" s="933"/>
      <c r="BA95" s="933"/>
      <c r="BB95" s="933"/>
      <c r="BC95" s="933"/>
      <c r="BD95" s="933"/>
      <c r="BE95" s="933"/>
      <c r="BF95" s="933"/>
      <c r="BG95" s="933"/>
      <c r="BH95" s="933"/>
      <c r="BI95" s="933"/>
      <c r="BJ95" s="933"/>
      <c r="BK95" s="933"/>
      <c r="BL95" s="933"/>
      <c r="BM95" s="933"/>
      <c r="BN95" s="933"/>
      <c r="BO95" s="933"/>
      <c r="BP95" s="933"/>
      <c r="BQ95" s="933"/>
      <c r="BR95" s="933"/>
      <c r="BS95" s="933"/>
      <c r="BT95" s="933"/>
    </row>
    <row r="96" spans="1:72" x14ac:dyDescent="0.25">
      <c r="A96" s="933" t="s">
        <v>613</v>
      </c>
      <c r="B96" s="933">
        <v>7.58</v>
      </c>
      <c r="C96" s="933">
        <v>9.11</v>
      </c>
      <c r="D96" s="933">
        <v>4.2</v>
      </c>
      <c r="E96" s="933">
        <v>4.87</v>
      </c>
      <c r="F96" s="933">
        <v>5.97</v>
      </c>
      <c r="G96" s="933">
        <v>6.39</v>
      </c>
      <c r="H96" s="933">
        <v>6.33</v>
      </c>
      <c r="I96" s="933">
        <v>6.28</v>
      </c>
      <c r="J96" s="933">
        <v>6.45</v>
      </c>
      <c r="K96" s="933">
        <v>6.52</v>
      </c>
      <c r="L96" s="933">
        <v>6.51</v>
      </c>
      <c r="M96" s="933">
        <v>6.55</v>
      </c>
      <c r="N96" s="933">
        <v>6.6</v>
      </c>
      <c r="O96" s="933">
        <v>6.7</v>
      </c>
      <c r="P96" s="933">
        <v>6.78</v>
      </c>
      <c r="Q96" s="933">
        <v>6.96</v>
      </c>
      <c r="R96" s="933">
        <v>7.01</v>
      </c>
      <c r="S96" s="933">
        <v>6.96</v>
      </c>
      <c r="T96" s="933">
        <v>7.02</v>
      </c>
      <c r="U96" s="933">
        <v>7.15</v>
      </c>
      <c r="V96" s="933">
        <v>7.29</v>
      </c>
      <c r="W96" s="933">
        <v>7.51</v>
      </c>
      <c r="X96" s="933">
        <v>7.73</v>
      </c>
      <c r="Y96" s="933">
        <v>7.98</v>
      </c>
      <c r="Z96" s="933">
        <v>8.2899999999999991</v>
      </c>
      <c r="AA96" s="933">
        <v>8.4</v>
      </c>
      <c r="AB96" s="933">
        <v>8.42</v>
      </c>
      <c r="AC96" s="933">
        <v>8.61</v>
      </c>
      <c r="AD96" s="933">
        <v>8.73</v>
      </c>
      <c r="AE96" s="972">
        <v>-2E-3</v>
      </c>
      <c r="AF96" s="933"/>
      <c r="AG96" s="933"/>
      <c r="AH96" s="933"/>
      <c r="AI96" s="933"/>
      <c r="AJ96" s="933"/>
      <c r="AK96" s="933"/>
      <c r="AL96" s="933"/>
      <c r="AM96" s="933"/>
      <c r="AN96" s="933"/>
      <c r="AO96" s="933"/>
      <c r="AP96" s="933"/>
      <c r="AQ96" s="933"/>
      <c r="AR96" s="933"/>
      <c r="AS96" s="933"/>
      <c r="AT96" s="933"/>
      <c r="AU96" s="933"/>
      <c r="AV96" s="933"/>
      <c r="AW96" s="933"/>
      <c r="AX96" s="933"/>
      <c r="AY96" s="933"/>
      <c r="AZ96" s="933"/>
      <c r="BA96" s="933"/>
      <c r="BB96" s="933"/>
      <c r="BC96" s="933"/>
      <c r="BD96" s="933"/>
      <c r="BE96" s="933"/>
      <c r="BF96" s="933"/>
      <c r="BG96" s="933"/>
      <c r="BH96" s="933"/>
      <c r="BI96" s="933"/>
      <c r="BJ96" s="933"/>
      <c r="BK96" s="933"/>
      <c r="BL96" s="933"/>
      <c r="BM96" s="933"/>
      <c r="BN96" s="933"/>
      <c r="BO96" s="933"/>
      <c r="BP96" s="933"/>
      <c r="BQ96" s="933"/>
      <c r="BR96" s="933"/>
      <c r="BS96" s="933"/>
      <c r="BT96" s="933"/>
    </row>
    <row r="97" spans="1:72" x14ac:dyDescent="0.25">
      <c r="A97" s="933" t="s">
        <v>614</v>
      </c>
      <c r="B97" s="933">
        <v>3.69</v>
      </c>
      <c r="C97" s="933">
        <v>4.49</v>
      </c>
      <c r="D97" s="933">
        <v>4.72</v>
      </c>
      <c r="E97" s="933">
        <v>4.8</v>
      </c>
      <c r="F97" s="933">
        <v>4.8600000000000003</v>
      </c>
      <c r="G97" s="933">
        <v>5.0199999999999996</v>
      </c>
      <c r="H97" s="933">
        <v>5.05</v>
      </c>
      <c r="I97" s="933">
        <v>5.08</v>
      </c>
      <c r="J97" s="933">
        <v>5.08</v>
      </c>
      <c r="K97" s="933">
        <v>5.09</v>
      </c>
      <c r="L97" s="933">
        <v>5.16</v>
      </c>
      <c r="M97" s="933">
        <v>5.22</v>
      </c>
      <c r="N97" s="933">
        <v>5.29</v>
      </c>
      <c r="O97" s="933">
        <v>5.32</v>
      </c>
      <c r="P97" s="933">
        <v>5.35</v>
      </c>
      <c r="Q97" s="933">
        <v>5.36</v>
      </c>
      <c r="R97" s="933">
        <v>5.35</v>
      </c>
      <c r="S97" s="933">
        <v>5.32</v>
      </c>
      <c r="T97" s="933">
        <v>5.24</v>
      </c>
      <c r="U97" s="933">
        <v>5.16</v>
      </c>
      <c r="V97" s="933">
        <v>5.14</v>
      </c>
      <c r="W97" s="933">
        <v>5.14</v>
      </c>
      <c r="X97" s="933">
        <v>5.1100000000000003</v>
      </c>
      <c r="Y97" s="933">
        <v>5.1100000000000003</v>
      </c>
      <c r="Z97" s="933">
        <v>5.09</v>
      </c>
      <c r="AA97" s="933">
        <v>5.08</v>
      </c>
      <c r="AB97" s="933">
        <v>5.08</v>
      </c>
      <c r="AC97" s="933">
        <v>5.0599999999999996</v>
      </c>
      <c r="AD97" s="933">
        <v>5.0599999999999996</v>
      </c>
      <c r="AE97" s="972">
        <v>4.0000000000000001E-3</v>
      </c>
      <c r="AF97" s="933"/>
      <c r="AG97" s="933"/>
      <c r="AH97" s="933"/>
      <c r="AI97" s="933"/>
      <c r="AJ97" s="933"/>
      <c r="AK97" s="933"/>
      <c r="AL97" s="933"/>
      <c r="AM97" s="933"/>
      <c r="AN97" s="933"/>
      <c r="AO97" s="933"/>
      <c r="AP97" s="933"/>
      <c r="AQ97" s="933"/>
      <c r="AR97" s="933"/>
      <c r="AS97" s="933"/>
      <c r="AT97" s="933"/>
      <c r="AU97" s="933"/>
      <c r="AV97" s="933"/>
      <c r="AW97" s="933"/>
      <c r="AX97" s="933"/>
      <c r="AY97" s="933"/>
      <c r="AZ97" s="933"/>
      <c r="BA97" s="933"/>
      <c r="BB97" s="933"/>
      <c r="BC97" s="933"/>
      <c r="BD97" s="933"/>
      <c r="BE97" s="933"/>
      <c r="BF97" s="933"/>
      <c r="BG97" s="933"/>
      <c r="BH97" s="933"/>
      <c r="BI97" s="933"/>
      <c r="BJ97" s="933"/>
      <c r="BK97" s="933"/>
      <c r="BL97" s="933"/>
      <c r="BM97" s="933"/>
      <c r="BN97" s="933"/>
      <c r="BO97" s="933"/>
      <c r="BP97" s="933"/>
      <c r="BQ97" s="933"/>
      <c r="BR97" s="933"/>
      <c r="BS97" s="933"/>
      <c r="BT97" s="933"/>
    </row>
    <row r="98" spans="1:72" x14ac:dyDescent="0.25">
      <c r="A98" s="933" t="s">
        <v>615</v>
      </c>
      <c r="B98" s="933">
        <v>2.48</v>
      </c>
      <c r="C98" s="933">
        <v>2.84</v>
      </c>
      <c r="D98" s="933">
        <v>2.79</v>
      </c>
      <c r="E98" s="933">
        <v>2.69</v>
      </c>
      <c r="F98" s="933">
        <v>2.69</v>
      </c>
      <c r="G98" s="933">
        <v>2.69</v>
      </c>
      <c r="H98" s="933">
        <v>2.66</v>
      </c>
      <c r="I98" s="933">
        <v>2.68</v>
      </c>
      <c r="J98" s="933">
        <v>2.69</v>
      </c>
      <c r="K98" s="933">
        <v>2.68</v>
      </c>
      <c r="L98" s="933">
        <v>2.69</v>
      </c>
      <c r="M98" s="933">
        <v>2.68</v>
      </c>
      <c r="N98" s="933">
        <v>2.67</v>
      </c>
      <c r="O98" s="933">
        <v>2.66</v>
      </c>
      <c r="P98" s="933">
        <v>2.65</v>
      </c>
      <c r="Q98" s="933">
        <v>2.65</v>
      </c>
      <c r="R98" s="933">
        <v>2.63</v>
      </c>
      <c r="S98" s="933">
        <v>2.63</v>
      </c>
      <c r="T98" s="933">
        <v>2.63</v>
      </c>
      <c r="U98" s="933">
        <v>2.64</v>
      </c>
      <c r="V98" s="933">
        <v>2.63</v>
      </c>
      <c r="W98" s="933">
        <v>2.64</v>
      </c>
      <c r="X98" s="933">
        <v>2.65</v>
      </c>
      <c r="Y98" s="933">
        <v>2.66</v>
      </c>
      <c r="Z98" s="933">
        <v>2.67</v>
      </c>
      <c r="AA98" s="933">
        <v>2.67</v>
      </c>
      <c r="AB98" s="933">
        <v>2.69</v>
      </c>
      <c r="AC98" s="933">
        <v>2.7</v>
      </c>
      <c r="AD98" s="933">
        <v>2.71</v>
      </c>
      <c r="AE98" s="972">
        <v>-2E-3</v>
      </c>
      <c r="AF98" s="933"/>
      <c r="AG98" s="933"/>
      <c r="AH98" s="933"/>
      <c r="AI98" s="933"/>
      <c r="AJ98" s="933"/>
      <c r="AK98" s="933"/>
      <c r="AL98" s="933"/>
      <c r="AM98" s="933"/>
      <c r="AN98" s="933"/>
      <c r="AO98" s="933"/>
      <c r="AP98" s="933"/>
      <c r="AQ98" s="933"/>
      <c r="AR98" s="933"/>
      <c r="AS98" s="933"/>
      <c r="AT98" s="933"/>
      <c r="AU98" s="933"/>
      <c r="AV98" s="933"/>
      <c r="AW98" s="933"/>
      <c r="AX98" s="933"/>
      <c r="AY98" s="933"/>
      <c r="AZ98" s="933"/>
      <c r="BA98" s="933"/>
      <c r="BB98" s="933"/>
      <c r="BC98" s="933"/>
      <c r="BD98" s="933"/>
      <c r="BE98" s="933"/>
      <c r="BF98" s="933"/>
      <c r="BG98" s="933"/>
      <c r="BH98" s="933"/>
      <c r="BI98" s="933"/>
      <c r="BJ98" s="933"/>
      <c r="BK98" s="933"/>
      <c r="BL98" s="933"/>
      <c r="BM98" s="933"/>
      <c r="BN98" s="933"/>
      <c r="BO98" s="933"/>
      <c r="BP98" s="933"/>
      <c r="BQ98" s="933"/>
      <c r="BR98" s="933"/>
      <c r="BS98" s="933"/>
      <c r="BT98" s="933"/>
    </row>
    <row r="99" spans="1:72" x14ac:dyDescent="0.25">
      <c r="A99" s="933" t="s">
        <v>616</v>
      </c>
      <c r="B99" s="933" t="s">
        <v>788</v>
      </c>
      <c r="C99" s="933" t="s">
        <v>788</v>
      </c>
      <c r="D99" s="933" t="s">
        <v>788</v>
      </c>
      <c r="E99" s="933" t="s">
        <v>788</v>
      </c>
      <c r="F99" s="933">
        <v>1.26</v>
      </c>
      <c r="G99" s="933">
        <v>1.04</v>
      </c>
      <c r="H99" s="933">
        <v>1.04</v>
      </c>
      <c r="I99" s="933">
        <v>1.41</v>
      </c>
      <c r="J99" s="933">
        <v>1.42</v>
      </c>
      <c r="K99" s="933">
        <v>1.46</v>
      </c>
      <c r="L99" s="933">
        <v>1.48</v>
      </c>
      <c r="M99" s="933">
        <v>1.48</v>
      </c>
      <c r="N99" s="933">
        <v>1.47</v>
      </c>
      <c r="O99" s="933">
        <v>1.46</v>
      </c>
      <c r="P99" s="933">
        <v>1.49</v>
      </c>
      <c r="Q99" s="933">
        <v>1.5</v>
      </c>
      <c r="R99" s="933">
        <v>1.52</v>
      </c>
      <c r="S99" s="933">
        <v>1.49</v>
      </c>
      <c r="T99" s="933">
        <v>1.49</v>
      </c>
      <c r="U99" s="933">
        <v>1.47</v>
      </c>
      <c r="V99" s="933">
        <v>1.46</v>
      </c>
      <c r="W99" s="933">
        <v>1.45</v>
      </c>
      <c r="X99" s="933">
        <v>1.44</v>
      </c>
      <c r="Y99" s="933">
        <v>1.44</v>
      </c>
      <c r="Z99" s="933">
        <v>1.44</v>
      </c>
      <c r="AA99" s="933">
        <v>1.44</v>
      </c>
      <c r="AB99" s="933">
        <v>1.46</v>
      </c>
      <c r="AC99" s="933">
        <v>1.48</v>
      </c>
      <c r="AD99" s="933">
        <v>1.51</v>
      </c>
      <c r="AE99" s="933" t="s">
        <v>788</v>
      </c>
      <c r="AF99" s="933"/>
      <c r="AG99" s="933"/>
      <c r="AH99" s="933"/>
      <c r="AI99" s="933"/>
      <c r="AJ99" s="933"/>
      <c r="AK99" s="933"/>
      <c r="AL99" s="933"/>
      <c r="AM99" s="933"/>
      <c r="AN99" s="933"/>
      <c r="AO99" s="933"/>
      <c r="AP99" s="933"/>
      <c r="AQ99" s="933"/>
      <c r="AR99" s="933"/>
      <c r="AS99" s="933"/>
      <c r="AT99" s="933"/>
      <c r="AU99" s="933"/>
      <c r="AV99" s="933"/>
      <c r="AW99" s="933"/>
      <c r="AX99" s="933"/>
      <c r="AY99" s="933"/>
      <c r="AZ99" s="933"/>
      <c r="BA99" s="933"/>
      <c r="BB99" s="933"/>
      <c r="BC99" s="933"/>
      <c r="BD99" s="933"/>
      <c r="BE99" s="933"/>
      <c r="BF99" s="933"/>
      <c r="BG99" s="933"/>
      <c r="BH99" s="933"/>
      <c r="BI99" s="933"/>
      <c r="BJ99" s="933"/>
      <c r="BK99" s="933"/>
      <c r="BL99" s="933"/>
      <c r="BM99" s="933"/>
      <c r="BN99" s="933"/>
      <c r="BO99" s="933"/>
      <c r="BP99" s="933"/>
      <c r="BQ99" s="933"/>
      <c r="BR99" s="933"/>
      <c r="BS99" s="933"/>
      <c r="BT99" s="933"/>
    </row>
    <row r="100" spans="1:72" x14ac:dyDescent="0.25">
      <c r="A100" s="933" t="s">
        <v>479</v>
      </c>
      <c r="B100" s="933">
        <v>19.02</v>
      </c>
      <c r="C100" s="933">
        <v>20.21</v>
      </c>
      <c r="D100" s="933">
        <v>20.04</v>
      </c>
      <c r="E100" s="933">
        <v>19.149999999999999</v>
      </c>
      <c r="F100" s="933">
        <v>17.11</v>
      </c>
      <c r="G100" s="933">
        <v>17.73</v>
      </c>
      <c r="H100" s="933">
        <v>17.62</v>
      </c>
      <c r="I100" s="933">
        <v>17.350000000000001</v>
      </c>
      <c r="J100" s="933">
        <v>17.37</v>
      </c>
      <c r="K100" s="933">
        <v>17.62</v>
      </c>
      <c r="L100" s="933">
        <v>17.75</v>
      </c>
      <c r="M100" s="933">
        <v>17.77</v>
      </c>
      <c r="N100" s="933">
        <v>17.75</v>
      </c>
      <c r="O100" s="933">
        <v>17.920000000000002</v>
      </c>
      <c r="P100" s="933">
        <v>18.07</v>
      </c>
      <c r="Q100" s="933">
        <v>18.190000000000001</v>
      </c>
      <c r="R100" s="933">
        <v>18.38</v>
      </c>
      <c r="S100" s="933">
        <v>18.53</v>
      </c>
      <c r="T100" s="933">
        <v>18.5</v>
      </c>
      <c r="U100" s="933">
        <v>18.61</v>
      </c>
      <c r="V100" s="933">
        <v>18.78</v>
      </c>
      <c r="W100" s="933">
        <v>18.97</v>
      </c>
      <c r="X100" s="933">
        <v>19.3</v>
      </c>
      <c r="Y100" s="933">
        <v>19.579999999999998</v>
      </c>
      <c r="Z100" s="933">
        <v>19.88</v>
      </c>
      <c r="AA100" s="933">
        <v>20.16</v>
      </c>
      <c r="AB100" s="933">
        <v>20.3</v>
      </c>
      <c r="AC100" s="933">
        <v>20.52</v>
      </c>
      <c r="AD100" s="933">
        <v>20.71</v>
      </c>
      <c r="AE100" s="972">
        <v>1E-3</v>
      </c>
      <c r="AF100" s="933"/>
      <c r="AG100" s="933"/>
      <c r="AH100" s="933"/>
      <c r="AI100" s="933"/>
      <c r="AJ100" s="933"/>
      <c r="AK100" s="933"/>
      <c r="AL100" s="933"/>
      <c r="AM100" s="933"/>
      <c r="AN100" s="933"/>
      <c r="AO100" s="933"/>
      <c r="AP100" s="933"/>
      <c r="AQ100" s="933"/>
      <c r="AR100" s="933"/>
      <c r="AS100" s="933"/>
      <c r="AT100" s="933"/>
      <c r="AU100" s="933"/>
      <c r="AV100" s="933"/>
      <c r="AW100" s="933"/>
      <c r="AX100" s="933"/>
      <c r="AY100" s="933"/>
      <c r="AZ100" s="933"/>
      <c r="BA100" s="933"/>
      <c r="BB100" s="933"/>
      <c r="BC100" s="933"/>
      <c r="BD100" s="933"/>
      <c r="BE100" s="933"/>
      <c r="BF100" s="933"/>
      <c r="BG100" s="933"/>
      <c r="BH100" s="933"/>
      <c r="BI100" s="933"/>
      <c r="BJ100" s="933"/>
      <c r="BK100" s="933"/>
      <c r="BL100" s="933"/>
      <c r="BM100" s="933"/>
      <c r="BN100" s="933"/>
      <c r="BO100" s="933"/>
      <c r="BP100" s="933"/>
      <c r="BQ100" s="933"/>
      <c r="BR100" s="933"/>
      <c r="BS100" s="933"/>
      <c r="BT100" s="933"/>
    </row>
    <row r="101" spans="1:72" x14ac:dyDescent="0.25">
      <c r="A101" s="933"/>
      <c r="B101" s="933"/>
      <c r="C101" s="933"/>
      <c r="D101" s="933"/>
      <c r="E101" s="933"/>
      <c r="F101" s="933"/>
      <c r="G101" s="933"/>
      <c r="H101" s="933"/>
      <c r="I101" s="933"/>
      <c r="J101" s="933"/>
      <c r="K101" s="933"/>
      <c r="L101" s="933"/>
      <c r="M101" s="933"/>
      <c r="N101" s="933"/>
      <c r="O101" s="933"/>
      <c r="P101" s="933"/>
      <c r="Q101" s="933"/>
      <c r="R101" s="933"/>
      <c r="S101" s="933"/>
      <c r="T101" s="933"/>
      <c r="U101" s="933"/>
      <c r="V101" s="933"/>
      <c r="W101" s="933"/>
      <c r="X101" s="933"/>
      <c r="Y101" s="933"/>
      <c r="Z101" s="933"/>
      <c r="AA101" s="933"/>
      <c r="AB101" s="933"/>
      <c r="AC101" s="933"/>
      <c r="AD101" s="933"/>
      <c r="AE101" s="933"/>
      <c r="AF101" s="933"/>
      <c r="AG101" s="933"/>
      <c r="AH101" s="933"/>
      <c r="AI101" s="933"/>
      <c r="AJ101" s="933"/>
      <c r="AK101" s="933"/>
      <c r="AL101" s="933"/>
      <c r="AM101" s="933"/>
      <c r="AN101" s="933"/>
      <c r="AO101" s="933"/>
      <c r="AP101" s="933"/>
      <c r="AQ101" s="933"/>
      <c r="AR101" s="933"/>
      <c r="AS101" s="933"/>
      <c r="AT101" s="933"/>
      <c r="AU101" s="933"/>
      <c r="AV101" s="933"/>
      <c r="AW101" s="933"/>
      <c r="AX101" s="933"/>
      <c r="AY101" s="933"/>
      <c r="AZ101" s="933"/>
      <c r="BA101" s="933"/>
      <c r="BB101" s="933"/>
      <c r="BC101" s="933"/>
      <c r="BD101" s="933"/>
      <c r="BE101" s="933"/>
      <c r="BF101" s="933"/>
      <c r="BG101" s="933"/>
      <c r="BH101" s="933"/>
      <c r="BI101" s="933"/>
      <c r="BJ101" s="933"/>
      <c r="BK101" s="933"/>
      <c r="BL101" s="933"/>
      <c r="BM101" s="933"/>
      <c r="BN101" s="933"/>
      <c r="BO101" s="933"/>
      <c r="BP101" s="933"/>
      <c r="BQ101" s="933"/>
      <c r="BR101" s="933"/>
      <c r="BS101" s="933"/>
      <c r="BT101" s="933"/>
    </row>
    <row r="102" spans="1:72" x14ac:dyDescent="0.25">
      <c r="A102" s="933" t="s">
        <v>487</v>
      </c>
      <c r="B102" s="933"/>
      <c r="C102" s="933"/>
      <c r="D102" s="933"/>
      <c r="E102" s="933"/>
      <c r="F102" s="933"/>
      <c r="G102" s="933"/>
      <c r="H102" s="933"/>
      <c r="I102" s="933"/>
      <c r="J102" s="933"/>
      <c r="K102" s="933"/>
      <c r="L102" s="933"/>
      <c r="M102" s="933"/>
      <c r="N102" s="933"/>
      <c r="O102" s="933"/>
      <c r="P102" s="933"/>
      <c r="Q102" s="933"/>
      <c r="R102" s="933"/>
      <c r="S102" s="933"/>
      <c r="T102" s="933"/>
      <c r="U102" s="933"/>
      <c r="V102" s="933"/>
      <c r="W102" s="933"/>
      <c r="X102" s="933"/>
      <c r="Y102" s="933"/>
      <c r="Z102" s="933"/>
      <c r="AA102" s="933"/>
      <c r="AB102" s="933"/>
      <c r="AC102" s="933"/>
      <c r="AD102" s="933"/>
      <c r="AE102" s="933"/>
      <c r="AF102" s="933"/>
      <c r="AG102" s="933"/>
      <c r="AH102" s="933"/>
      <c r="AI102" s="933"/>
      <c r="AJ102" s="933"/>
      <c r="AK102" s="933"/>
      <c r="AL102" s="933"/>
      <c r="AM102" s="933"/>
      <c r="AN102" s="933"/>
      <c r="AO102" s="933"/>
      <c r="AP102" s="933"/>
      <c r="AQ102" s="933"/>
      <c r="AR102" s="933"/>
      <c r="AS102" s="933"/>
      <c r="AT102" s="933"/>
      <c r="AU102" s="933"/>
      <c r="AV102" s="933"/>
      <c r="AW102" s="933"/>
      <c r="AX102" s="933"/>
      <c r="AY102" s="933"/>
      <c r="AZ102" s="933"/>
      <c r="BA102" s="933"/>
      <c r="BB102" s="933"/>
      <c r="BC102" s="933"/>
      <c r="BD102" s="933"/>
      <c r="BE102" s="933"/>
      <c r="BF102" s="933"/>
      <c r="BG102" s="933"/>
      <c r="BH102" s="933"/>
      <c r="BI102" s="933"/>
      <c r="BJ102" s="933"/>
      <c r="BK102" s="933"/>
      <c r="BL102" s="933"/>
      <c r="BM102" s="933"/>
      <c r="BN102" s="933"/>
      <c r="BO102" s="933"/>
      <c r="BP102" s="933"/>
      <c r="BQ102" s="933"/>
      <c r="BR102" s="933"/>
      <c r="BS102" s="933"/>
      <c r="BT102" s="933"/>
    </row>
    <row r="103" spans="1:72" x14ac:dyDescent="0.25">
      <c r="A103" s="933" t="s">
        <v>617</v>
      </c>
      <c r="B103" s="933">
        <v>23.83</v>
      </c>
      <c r="C103" s="933">
        <v>29.93</v>
      </c>
      <c r="D103" s="933">
        <v>25.2</v>
      </c>
      <c r="E103" s="933">
        <v>23.89</v>
      </c>
      <c r="F103" s="933">
        <v>23.98</v>
      </c>
      <c r="G103" s="933">
        <v>25.13</v>
      </c>
      <c r="H103" s="933">
        <v>26.33</v>
      </c>
      <c r="I103" s="933">
        <v>27.29</v>
      </c>
      <c r="J103" s="933">
        <v>27.88</v>
      </c>
      <c r="K103" s="933">
        <v>28.53</v>
      </c>
      <c r="L103" s="933">
        <v>29.07</v>
      </c>
      <c r="M103" s="933">
        <v>29.65</v>
      </c>
      <c r="N103" s="933">
        <v>29.91</v>
      </c>
      <c r="O103" s="933">
        <v>30.13</v>
      </c>
      <c r="P103" s="933">
        <v>30.36</v>
      </c>
      <c r="Q103" s="933">
        <v>30.56</v>
      </c>
      <c r="R103" s="933">
        <v>30.83</v>
      </c>
      <c r="S103" s="933">
        <v>31.1</v>
      </c>
      <c r="T103" s="933">
        <v>31.36</v>
      </c>
      <c r="U103" s="933">
        <v>31.5</v>
      </c>
      <c r="V103" s="933">
        <v>31.77</v>
      </c>
      <c r="W103" s="933">
        <v>32.01</v>
      </c>
      <c r="X103" s="933">
        <v>32.36</v>
      </c>
      <c r="Y103" s="933">
        <v>32.58</v>
      </c>
      <c r="Z103" s="933">
        <v>32.93</v>
      </c>
      <c r="AA103" s="933">
        <v>33.26</v>
      </c>
      <c r="AB103" s="933">
        <v>33.64</v>
      </c>
      <c r="AC103" s="933">
        <v>34</v>
      </c>
      <c r="AD103" s="933">
        <v>34.380000000000003</v>
      </c>
      <c r="AE103" s="972">
        <v>5.0000000000000001E-3</v>
      </c>
      <c r="AF103" s="933"/>
      <c r="AG103" s="933"/>
      <c r="AH103" s="933"/>
      <c r="AI103" s="933"/>
      <c r="AJ103" s="933"/>
      <c r="AK103" s="933"/>
      <c r="AL103" s="933"/>
      <c r="AM103" s="933"/>
      <c r="AN103" s="933"/>
      <c r="AO103" s="933"/>
      <c r="AP103" s="933"/>
      <c r="AQ103" s="933"/>
      <c r="AR103" s="933"/>
      <c r="AS103" s="933"/>
      <c r="AT103" s="933"/>
      <c r="AU103" s="933"/>
      <c r="AV103" s="933"/>
      <c r="AW103" s="933"/>
      <c r="AX103" s="933"/>
      <c r="AY103" s="933"/>
      <c r="AZ103" s="933"/>
      <c r="BA103" s="933"/>
      <c r="BB103" s="933"/>
      <c r="BC103" s="933"/>
      <c r="BD103" s="933"/>
      <c r="BE103" s="933"/>
      <c r="BF103" s="933"/>
      <c r="BG103" s="933"/>
      <c r="BH103" s="933"/>
      <c r="BI103" s="933"/>
      <c r="BJ103" s="933"/>
      <c r="BK103" s="933"/>
      <c r="BL103" s="933"/>
      <c r="BM103" s="933"/>
      <c r="BN103" s="933"/>
      <c r="BO103" s="933"/>
      <c r="BP103" s="933"/>
      <c r="BQ103" s="933"/>
      <c r="BR103" s="933"/>
      <c r="BS103" s="933"/>
      <c r="BT103" s="933"/>
    </row>
    <row r="104" spans="1:72" x14ac:dyDescent="0.25">
      <c r="A104" s="933" t="s">
        <v>618</v>
      </c>
      <c r="B104" s="933">
        <v>27.43</v>
      </c>
      <c r="C104" s="933">
        <v>26.93</v>
      </c>
      <c r="D104" s="933">
        <v>23.29</v>
      </c>
      <c r="E104" s="933">
        <v>20.64</v>
      </c>
      <c r="F104" s="933">
        <v>20.97</v>
      </c>
      <c r="G104" s="933">
        <v>22.13</v>
      </c>
      <c r="H104" s="933">
        <v>24.21</v>
      </c>
      <c r="I104" s="933">
        <v>25.23</v>
      </c>
      <c r="J104" s="933">
        <v>25.55</v>
      </c>
      <c r="K104" s="933">
        <v>25.08</v>
      </c>
      <c r="L104" s="933">
        <v>25.9</v>
      </c>
      <c r="M104" s="933">
        <v>26.54</v>
      </c>
      <c r="N104" s="933">
        <v>26.68</v>
      </c>
      <c r="O104" s="933">
        <v>26.95</v>
      </c>
      <c r="P104" s="933">
        <v>27.32</v>
      </c>
      <c r="Q104" s="933">
        <v>27.82</v>
      </c>
      <c r="R104" s="933">
        <v>28.31</v>
      </c>
      <c r="S104" s="933">
        <v>28.55</v>
      </c>
      <c r="T104" s="933">
        <v>28.86</v>
      </c>
      <c r="U104" s="933">
        <v>29.22</v>
      </c>
      <c r="V104" s="933">
        <v>29.49</v>
      </c>
      <c r="W104" s="933">
        <v>30.03</v>
      </c>
      <c r="X104" s="933">
        <v>30.44</v>
      </c>
      <c r="Y104" s="933">
        <v>30.64</v>
      </c>
      <c r="Z104" s="933">
        <v>30.86</v>
      </c>
      <c r="AA104" s="933">
        <v>31.29</v>
      </c>
      <c r="AB104" s="933">
        <v>31.49</v>
      </c>
      <c r="AC104" s="933">
        <v>31.77</v>
      </c>
      <c r="AD104" s="933">
        <v>32.229999999999997</v>
      </c>
      <c r="AE104" s="972">
        <v>7.0000000000000001E-3</v>
      </c>
      <c r="AF104" s="933"/>
      <c r="AG104" s="933"/>
      <c r="AH104" s="933"/>
      <c r="AI104" s="933"/>
      <c r="AJ104" s="933"/>
      <c r="AK104" s="933"/>
      <c r="AL104" s="933"/>
      <c r="AM104" s="933"/>
      <c r="AN104" s="933"/>
      <c r="AO104" s="933"/>
      <c r="AP104" s="933"/>
      <c r="AQ104" s="933"/>
      <c r="AR104" s="933"/>
      <c r="AS104" s="933"/>
      <c r="AT104" s="933"/>
      <c r="AU104" s="933"/>
      <c r="AV104" s="933"/>
      <c r="AW104" s="933"/>
      <c r="AX104" s="933"/>
      <c r="AY104" s="933"/>
      <c r="AZ104" s="933"/>
      <c r="BA104" s="933"/>
      <c r="BB104" s="933"/>
      <c r="BC104" s="933"/>
      <c r="BD104" s="933"/>
      <c r="BE104" s="933"/>
      <c r="BF104" s="933"/>
      <c r="BG104" s="933"/>
      <c r="BH104" s="933"/>
      <c r="BI104" s="933"/>
      <c r="BJ104" s="933"/>
      <c r="BK104" s="933"/>
      <c r="BL104" s="933"/>
      <c r="BM104" s="933"/>
      <c r="BN104" s="933"/>
      <c r="BO104" s="933"/>
      <c r="BP104" s="933"/>
      <c r="BQ104" s="933"/>
      <c r="BR104" s="933"/>
      <c r="BS104" s="933"/>
      <c r="BT104" s="933"/>
    </row>
    <row r="105" spans="1:72" x14ac:dyDescent="0.25">
      <c r="A105" s="933" t="s">
        <v>619</v>
      </c>
      <c r="B105" s="933">
        <v>23.66</v>
      </c>
      <c r="C105" s="933">
        <v>26.76</v>
      </c>
      <c r="D105" s="933">
        <v>19.14</v>
      </c>
      <c r="E105" s="933">
        <v>20.55</v>
      </c>
      <c r="F105" s="933">
        <v>20.88</v>
      </c>
      <c r="G105" s="933">
        <v>22.03</v>
      </c>
      <c r="H105" s="933">
        <v>24.02</v>
      </c>
      <c r="I105" s="933">
        <v>24.94</v>
      </c>
      <c r="J105" s="933">
        <v>25.37</v>
      </c>
      <c r="K105" s="933">
        <v>25.94</v>
      </c>
      <c r="L105" s="933">
        <v>26.47</v>
      </c>
      <c r="M105" s="933">
        <v>26.89</v>
      </c>
      <c r="N105" s="933">
        <v>27.2</v>
      </c>
      <c r="O105" s="933">
        <v>27.59</v>
      </c>
      <c r="P105" s="933">
        <v>27.82</v>
      </c>
      <c r="Q105" s="933">
        <v>28.18</v>
      </c>
      <c r="R105" s="933">
        <v>28.42</v>
      </c>
      <c r="S105" s="933">
        <v>28.54</v>
      </c>
      <c r="T105" s="933">
        <v>28.87</v>
      </c>
      <c r="U105" s="933">
        <v>29.19</v>
      </c>
      <c r="V105" s="933">
        <v>29.47</v>
      </c>
      <c r="W105" s="933">
        <v>29.9</v>
      </c>
      <c r="X105" s="933">
        <v>30.27</v>
      </c>
      <c r="Y105" s="933">
        <v>30.42</v>
      </c>
      <c r="Z105" s="933">
        <v>30.77</v>
      </c>
      <c r="AA105" s="933">
        <v>31.16</v>
      </c>
      <c r="AB105" s="933">
        <v>31.44</v>
      </c>
      <c r="AC105" s="933">
        <v>31.81</v>
      </c>
      <c r="AD105" s="933">
        <v>32.33</v>
      </c>
      <c r="AE105" s="972">
        <v>7.0000000000000001E-3</v>
      </c>
      <c r="AF105" s="933"/>
      <c r="AG105" s="933"/>
      <c r="AH105" s="933"/>
      <c r="AI105" s="933"/>
      <c r="AJ105" s="933"/>
      <c r="AK105" s="933"/>
      <c r="AL105" s="933"/>
      <c r="AM105" s="933"/>
      <c r="AN105" s="933"/>
      <c r="AO105" s="933"/>
      <c r="AP105" s="933"/>
      <c r="AQ105" s="933"/>
      <c r="AR105" s="933"/>
      <c r="AS105" s="933"/>
      <c r="AT105" s="933"/>
      <c r="AU105" s="933"/>
      <c r="AV105" s="933"/>
      <c r="AW105" s="933"/>
      <c r="AX105" s="933"/>
      <c r="AY105" s="933"/>
      <c r="AZ105" s="933"/>
      <c r="BA105" s="933"/>
      <c r="BB105" s="933"/>
      <c r="BC105" s="933"/>
      <c r="BD105" s="933"/>
      <c r="BE105" s="933"/>
      <c r="BF105" s="933"/>
      <c r="BG105" s="933"/>
      <c r="BH105" s="933"/>
      <c r="BI105" s="933"/>
      <c r="BJ105" s="933"/>
      <c r="BK105" s="933"/>
      <c r="BL105" s="933"/>
      <c r="BM105" s="933"/>
      <c r="BN105" s="933"/>
      <c r="BO105" s="933"/>
      <c r="BP105" s="933"/>
      <c r="BQ105" s="933"/>
      <c r="BR105" s="933"/>
      <c r="BS105" s="933"/>
      <c r="BT105" s="933"/>
    </row>
    <row r="106" spans="1:72" x14ac:dyDescent="0.25">
      <c r="A106" s="933" t="s">
        <v>620</v>
      </c>
      <c r="B106" s="933">
        <v>15.77</v>
      </c>
      <c r="C106" s="933">
        <v>22.71</v>
      </c>
      <c r="D106" s="933">
        <v>12.73</v>
      </c>
      <c r="E106" s="933">
        <v>14.79</v>
      </c>
      <c r="F106" s="933">
        <v>15.16</v>
      </c>
      <c r="G106" s="933">
        <v>16.54</v>
      </c>
      <c r="H106" s="933">
        <v>17.690000000000001</v>
      </c>
      <c r="I106" s="933">
        <v>18.46</v>
      </c>
      <c r="J106" s="933">
        <v>19.04</v>
      </c>
      <c r="K106" s="933">
        <v>19.760000000000002</v>
      </c>
      <c r="L106" s="933">
        <v>20.41</v>
      </c>
      <c r="M106" s="933">
        <v>20.97</v>
      </c>
      <c r="N106" s="933">
        <v>21.35</v>
      </c>
      <c r="O106" s="933">
        <v>21.69</v>
      </c>
      <c r="P106" s="933">
        <v>21.85</v>
      </c>
      <c r="Q106" s="933">
        <v>22.09</v>
      </c>
      <c r="R106" s="933">
        <v>22.41</v>
      </c>
      <c r="S106" s="933">
        <v>22.61</v>
      </c>
      <c r="T106" s="933">
        <v>22.92</v>
      </c>
      <c r="U106" s="933">
        <v>23.19</v>
      </c>
      <c r="V106" s="933">
        <v>23.48</v>
      </c>
      <c r="W106" s="933">
        <v>23.9</v>
      </c>
      <c r="X106" s="933">
        <v>24.26</v>
      </c>
      <c r="Y106" s="933">
        <v>24.51</v>
      </c>
      <c r="Z106" s="933">
        <v>24.9</v>
      </c>
      <c r="AA106" s="933">
        <v>25.3</v>
      </c>
      <c r="AB106" s="933">
        <v>25.64</v>
      </c>
      <c r="AC106" s="933">
        <v>26.05</v>
      </c>
      <c r="AD106" s="933">
        <v>26.48</v>
      </c>
      <c r="AE106" s="972">
        <v>6.0000000000000001E-3</v>
      </c>
      <c r="AF106" s="933"/>
      <c r="AG106" s="933"/>
      <c r="AH106" s="933"/>
      <c r="AI106" s="933"/>
      <c r="AJ106" s="933"/>
      <c r="AK106" s="933"/>
      <c r="AL106" s="933"/>
      <c r="AM106" s="933"/>
      <c r="AN106" s="933"/>
      <c r="AO106" s="933"/>
      <c r="AP106" s="933"/>
      <c r="AQ106" s="933"/>
      <c r="AR106" s="933"/>
      <c r="AS106" s="933"/>
      <c r="AT106" s="933"/>
      <c r="AU106" s="933"/>
      <c r="AV106" s="933"/>
      <c r="AW106" s="933"/>
      <c r="AX106" s="933"/>
      <c r="AY106" s="933"/>
      <c r="AZ106" s="933"/>
      <c r="BA106" s="933"/>
      <c r="BB106" s="933"/>
      <c r="BC106" s="933"/>
      <c r="BD106" s="933"/>
      <c r="BE106" s="933"/>
      <c r="BF106" s="933"/>
      <c r="BG106" s="933"/>
      <c r="BH106" s="933"/>
      <c r="BI106" s="933"/>
      <c r="BJ106" s="933"/>
      <c r="BK106" s="933"/>
      <c r="BL106" s="933"/>
      <c r="BM106" s="933"/>
      <c r="BN106" s="933"/>
      <c r="BO106" s="933"/>
      <c r="BP106" s="933"/>
      <c r="BQ106" s="933"/>
      <c r="BR106" s="933"/>
      <c r="BS106" s="933"/>
      <c r="BT106" s="933"/>
    </row>
    <row r="107" spans="1:72" x14ac:dyDescent="0.25">
      <c r="A107" s="933" t="s">
        <v>724</v>
      </c>
      <c r="B107" s="933">
        <v>21.55</v>
      </c>
      <c r="C107" s="933">
        <v>27.65</v>
      </c>
      <c r="D107" s="933">
        <v>17.77</v>
      </c>
      <c r="E107" s="933">
        <v>19.12</v>
      </c>
      <c r="F107" s="933">
        <v>19.309999999999999</v>
      </c>
      <c r="G107" s="933">
        <v>20.51</v>
      </c>
      <c r="H107" s="933">
        <v>21.54</v>
      </c>
      <c r="I107" s="933">
        <v>22.25</v>
      </c>
      <c r="J107" s="933">
        <v>22.93</v>
      </c>
      <c r="K107" s="933">
        <v>23.68</v>
      </c>
      <c r="L107" s="933">
        <v>24.26</v>
      </c>
      <c r="M107" s="933">
        <v>24.91</v>
      </c>
      <c r="N107" s="933">
        <v>25.29</v>
      </c>
      <c r="O107" s="933">
        <v>25.6</v>
      </c>
      <c r="P107" s="933">
        <v>25.79</v>
      </c>
      <c r="Q107" s="933">
        <v>26.12</v>
      </c>
      <c r="R107" s="933">
        <v>26.26</v>
      </c>
      <c r="S107" s="933">
        <v>26.34</v>
      </c>
      <c r="T107" s="933">
        <v>26.63</v>
      </c>
      <c r="U107" s="933">
        <v>26.83</v>
      </c>
      <c r="V107" s="933">
        <v>27.09</v>
      </c>
      <c r="W107" s="933">
        <v>27.4</v>
      </c>
      <c r="X107" s="933">
        <v>27.8</v>
      </c>
      <c r="Y107" s="933">
        <v>27.96</v>
      </c>
      <c r="Z107" s="933">
        <v>28.38</v>
      </c>
      <c r="AA107" s="933">
        <v>28.78</v>
      </c>
      <c r="AB107" s="933">
        <v>29.09</v>
      </c>
      <c r="AC107" s="933">
        <v>29.49</v>
      </c>
      <c r="AD107" s="933">
        <v>29.96</v>
      </c>
      <c r="AE107" s="972">
        <v>3.0000000000000001E-3</v>
      </c>
      <c r="AF107" s="933"/>
      <c r="AG107" s="933"/>
      <c r="AH107" s="933"/>
      <c r="AI107" s="933"/>
      <c r="AJ107" s="933"/>
      <c r="AK107" s="933"/>
      <c r="AL107" s="933"/>
      <c r="AM107" s="933"/>
      <c r="AN107" s="933"/>
      <c r="AO107" s="933"/>
      <c r="AP107" s="933"/>
      <c r="AQ107" s="933"/>
      <c r="AR107" s="933"/>
      <c r="AS107" s="933"/>
      <c r="AT107" s="933"/>
      <c r="AU107" s="933"/>
      <c r="AV107" s="933"/>
      <c r="AW107" s="933"/>
      <c r="AX107" s="933"/>
      <c r="AY107" s="933"/>
      <c r="AZ107" s="933"/>
      <c r="BA107" s="933"/>
      <c r="BB107" s="933"/>
      <c r="BC107" s="933"/>
      <c r="BD107" s="933"/>
      <c r="BE107" s="933"/>
      <c r="BF107" s="933"/>
      <c r="BG107" s="933"/>
      <c r="BH107" s="933"/>
      <c r="BI107" s="933"/>
      <c r="BJ107" s="933"/>
      <c r="BK107" s="933"/>
      <c r="BL107" s="933"/>
      <c r="BM107" s="933"/>
      <c r="BN107" s="933"/>
      <c r="BO107" s="933"/>
      <c r="BP107" s="933"/>
      <c r="BQ107" s="933"/>
      <c r="BR107" s="933"/>
      <c r="BS107" s="933"/>
      <c r="BT107" s="933"/>
    </row>
    <row r="108" spans="1:72" x14ac:dyDescent="0.25">
      <c r="A108" s="933" t="s">
        <v>611</v>
      </c>
      <c r="B108" s="933">
        <v>9.19</v>
      </c>
      <c r="C108" s="933">
        <v>14.49</v>
      </c>
      <c r="D108" s="933">
        <v>8.86</v>
      </c>
      <c r="E108" s="933">
        <v>10.210000000000001</v>
      </c>
      <c r="F108" s="933">
        <v>10.32</v>
      </c>
      <c r="G108" s="933">
        <v>11.5</v>
      </c>
      <c r="H108" s="933">
        <v>12.44</v>
      </c>
      <c r="I108" s="933">
        <v>13.18</v>
      </c>
      <c r="J108" s="933">
        <v>13.58</v>
      </c>
      <c r="K108" s="933">
        <v>13.9</v>
      </c>
      <c r="L108" s="933">
        <v>14.43</v>
      </c>
      <c r="M108" s="933">
        <v>14.81</v>
      </c>
      <c r="N108" s="933">
        <v>14.97</v>
      </c>
      <c r="O108" s="933">
        <v>14.99</v>
      </c>
      <c r="P108" s="933">
        <v>15.23</v>
      </c>
      <c r="Q108" s="933">
        <v>15.34</v>
      </c>
      <c r="R108" s="933">
        <v>15.55</v>
      </c>
      <c r="S108" s="933">
        <v>15.75</v>
      </c>
      <c r="T108" s="933">
        <v>15.93</v>
      </c>
      <c r="U108" s="933">
        <v>15.98</v>
      </c>
      <c r="V108" s="933">
        <v>16.27</v>
      </c>
      <c r="W108" s="933">
        <v>16.5</v>
      </c>
      <c r="X108" s="933">
        <v>16.8</v>
      </c>
      <c r="Y108" s="933">
        <v>17.100000000000001</v>
      </c>
      <c r="Z108" s="933">
        <v>17.420000000000002</v>
      </c>
      <c r="AA108" s="933">
        <v>17.690000000000001</v>
      </c>
      <c r="AB108" s="933">
        <v>17.93</v>
      </c>
      <c r="AC108" s="933">
        <v>18.239999999999998</v>
      </c>
      <c r="AD108" s="933">
        <v>18.600000000000001</v>
      </c>
      <c r="AE108" s="972">
        <v>8.9999999999999993E-3</v>
      </c>
      <c r="AF108" s="933"/>
      <c r="AG108" s="933"/>
      <c r="AH108" s="933"/>
      <c r="AI108" s="933"/>
      <c r="AJ108" s="933"/>
      <c r="AK108" s="933"/>
      <c r="AL108" s="933"/>
      <c r="AM108" s="933"/>
      <c r="AN108" s="933"/>
      <c r="AO108" s="933"/>
      <c r="AP108" s="933"/>
      <c r="AQ108" s="933"/>
      <c r="AR108" s="933"/>
      <c r="AS108" s="933"/>
      <c r="AT108" s="933"/>
      <c r="AU108" s="933"/>
      <c r="AV108" s="933"/>
      <c r="AW108" s="933"/>
      <c r="AX108" s="933"/>
      <c r="AY108" s="933"/>
      <c r="AZ108" s="933"/>
      <c r="BA108" s="933"/>
      <c r="BB108" s="933"/>
      <c r="BC108" s="933"/>
      <c r="BD108" s="933"/>
      <c r="BE108" s="933"/>
      <c r="BF108" s="933"/>
      <c r="BG108" s="933"/>
      <c r="BH108" s="933"/>
      <c r="BI108" s="933"/>
      <c r="BJ108" s="933"/>
      <c r="BK108" s="933"/>
      <c r="BL108" s="933"/>
      <c r="BM108" s="933"/>
      <c r="BN108" s="933"/>
      <c r="BO108" s="933"/>
      <c r="BP108" s="933"/>
      <c r="BQ108" s="933"/>
      <c r="BR108" s="933"/>
      <c r="BS108" s="933"/>
      <c r="BT108" s="933"/>
    </row>
    <row r="109" spans="1:72" x14ac:dyDescent="0.25">
      <c r="A109" s="933" t="s">
        <v>622</v>
      </c>
      <c r="B109" s="933">
        <v>13.84</v>
      </c>
      <c r="C109" s="933">
        <v>15.96</v>
      </c>
      <c r="D109" s="933">
        <v>11.36</v>
      </c>
      <c r="E109" s="933">
        <v>12</v>
      </c>
      <c r="F109" s="933">
        <v>13.09</v>
      </c>
      <c r="G109" s="933">
        <v>13.49</v>
      </c>
      <c r="H109" s="933">
        <v>13.36</v>
      </c>
      <c r="I109" s="933">
        <v>13.25</v>
      </c>
      <c r="J109" s="933">
        <v>13.37</v>
      </c>
      <c r="K109" s="933">
        <v>13.41</v>
      </c>
      <c r="L109" s="933">
        <v>13.38</v>
      </c>
      <c r="M109" s="933">
        <v>13.37</v>
      </c>
      <c r="N109" s="933">
        <v>13.38</v>
      </c>
      <c r="O109" s="933">
        <v>13.44</v>
      </c>
      <c r="P109" s="933">
        <v>13.46</v>
      </c>
      <c r="Q109" s="933">
        <v>13.58</v>
      </c>
      <c r="R109" s="933">
        <v>13.54</v>
      </c>
      <c r="S109" s="933">
        <v>13.41</v>
      </c>
      <c r="T109" s="933">
        <v>13.43</v>
      </c>
      <c r="U109" s="933">
        <v>13.54</v>
      </c>
      <c r="V109" s="933">
        <v>13.65</v>
      </c>
      <c r="W109" s="933">
        <v>13.83</v>
      </c>
      <c r="X109" s="933">
        <v>14</v>
      </c>
      <c r="Y109" s="933">
        <v>14.19</v>
      </c>
      <c r="Z109" s="933">
        <v>14.46</v>
      </c>
      <c r="AA109" s="933">
        <v>14.54</v>
      </c>
      <c r="AB109" s="933">
        <v>14.55</v>
      </c>
      <c r="AC109" s="933">
        <v>14.7</v>
      </c>
      <c r="AD109" s="933">
        <v>14.78</v>
      </c>
      <c r="AE109" s="972">
        <v>-3.0000000000000001E-3</v>
      </c>
      <c r="AF109" s="933"/>
      <c r="AG109" s="933"/>
      <c r="AH109" s="933"/>
      <c r="AI109" s="933"/>
      <c r="AJ109" s="933"/>
      <c r="AK109" s="933"/>
      <c r="AL109" s="933"/>
      <c r="AM109" s="933"/>
      <c r="AN109" s="933"/>
      <c r="AO109" s="933"/>
      <c r="AP109" s="933"/>
      <c r="AQ109" s="933"/>
      <c r="AR109" s="933"/>
      <c r="AS109" s="933"/>
      <c r="AT109" s="933"/>
      <c r="AU109" s="933"/>
      <c r="AV109" s="933"/>
      <c r="AW109" s="933"/>
      <c r="AX109" s="933"/>
      <c r="AY109" s="933"/>
      <c r="AZ109" s="933"/>
      <c r="BA109" s="933"/>
      <c r="BB109" s="933"/>
      <c r="BC109" s="933"/>
      <c r="BD109" s="933"/>
      <c r="BE109" s="933"/>
      <c r="BF109" s="933"/>
      <c r="BG109" s="933"/>
      <c r="BH109" s="933"/>
      <c r="BI109" s="933"/>
      <c r="BJ109" s="933"/>
      <c r="BK109" s="933"/>
      <c r="BL109" s="933"/>
      <c r="BM109" s="933"/>
      <c r="BN109" s="933"/>
      <c r="BO109" s="933"/>
      <c r="BP109" s="933"/>
      <c r="BQ109" s="933"/>
      <c r="BR109" s="933"/>
      <c r="BS109" s="933"/>
      <c r="BT109" s="933"/>
    </row>
    <row r="110" spans="1:72" x14ac:dyDescent="0.25">
      <c r="A110" s="933" t="s">
        <v>479</v>
      </c>
      <c r="B110" s="933">
        <v>32.03</v>
      </c>
      <c r="C110" s="933">
        <v>33.729999999999997</v>
      </c>
      <c r="D110" s="933">
        <v>32.299999999999997</v>
      </c>
      <c r="E110" s="933">
        <v>30.29</v>
      </c>
      <c r="F110" s="933">
        <v>27.63</v>
      </c>
      <c r="G110" s="933">
        <v>29.66</v>
      </c>
      <c r="H110" s="933">
        <v>29.72</v>
      </c>
      <c r="I110" s="933">
        <v>29.07</v>
      </c>
      <c r="J110" s="933">
        <v>28.79</v>
      </c>
      <c r="K110" s="933">
        <v>29.01</v>
      </c>
      <c r="L110" s="933">
        <v>29.04</v>
      </c>
      <c r="M110" s="933">
        <v>28.87</v>
      </c>
      <c r="N110" s="933">
        <v>28.59</v>
      </c>
      <c r="O110" s="933">
        <v>28.55</v>
      </c>
      <c r="P110" s="933">
        <v>28.54</v>
      </c>
      <c r="Q110" s="933">
        <v>28.43</v>
      </c>
      <c r="R110" s="933">
        <v>28.48</v>
      </c>
      <c r="S110" s="933">
        <v>28.64</v>
      </c>
      <c r="T110" s="933">
        <v>28.63</v>
      </c>
      <c r="U110" s="933">
        <v>28.88</v>
      </c>
      <c r="V110" s="933">
        <v>29.32</v>
      </c>
      <c r="W110" s="933">
        <v>29.79</v>
      </c>
      <c r="X110" s="933">
        <v>30.51</v>
      </c>
      <c r="Y110" s="933">
        <v>31.01</v>
      </c>
      <c r="Z110" s="933">
        <v>31.61</v>
      </c>
      <c r="AA110" s="933">
        <v>32.15</v>
      </c>
      <c r="AB110" s="933">
        <v>32.47</v>
      </c>
      <c r="AC110" s="933">
        <v>32.89</v>
      </c>
      <c r="AD110" s="933">
        <v>33.26</v>
      </c>
      <c r="AE110" s="972">
        <v>-1E-3</v>
      </c>
      <c r="AF110" s="933"/>
      <c r="AG110" s="933"/>
      <c r="AH110" s="933"/>
      <c r="AI110" s="933"/>
      <c r="AJ110" s="933"/>
      <c r="AK110" s="933"/>
      <c r="AL110" s="933"/>
      <c r="AM110" s="933"/>
      <c r="AN110" s="933"/>
      <c r="AO110" s="933"/>
      <c r="AP110" s="933"/>
      <c r="AQ110" s="933"/>
      <c r="AR110" s="933"/>
      <c r="AS110" s="933"/>
      <c r="AT110" s="933"/>
      <c r="AU110" s="933"/>
      <c r="AV110" s="933"/>
      <c r="AW110" s="933"/>
      <c r="AX110" s="933"/>
      <c r="AY110" s="933"/>
      <c r="AZ110" s="933"/>
      <c r="BA110" s="933"/>
      <c r="BB110" s="933"/>
      <c r="BC110" s="933"/>
      <c r="BD110" s="933"/>
      <c r="BE110" s="933"/>
      <c r="BF110" s="933"/>
      <c r="BG110" s="933"/>
      <c r="BH110" s="933"/>
      <c r="BI110" s="933"/>
      <c r="BJ110" s="933"/>
      <c r="BK110" s="933"/>
      <c r="BL110" s="933"/>
      <c r="BM110" s="933"/>
      <c r="BN110" s="933"/>
      <c r="BO110" s="933"/>
      <c r="BP110" s="933"/>
      <c r="BQ110" s="933"/>
      <c r="BR110" s="933"/>
      <c r="BS110" s="933"/>
      <c r="BT110" s="933"/>
    </row>
    <row r="111" spans="1:72" x14ac:dyDescent="0.25">
      <c r="A111" s="933"/>
      <c r="B111" s="933"/>
      <c r="C111" s="933"/>
      <c r="D111" s="933"/>
      <c r="E111" s="933"/>
      <c r="F111" s="933"/>
      <c r="G111" s="933"/>
      <c r="H111" s="933"/>
      <c r="I111" s="933"/>
      <c r="J111" s="933"/>
      <c r="K111" s="933"/>
      <c r="L111" s="933"/>
      <c r="M111" s="933"/>
      <c r="N111" s="933"/>
      <c r="O111" s="933"/>
      <c r="P111" s="933"/>
      <c r="Q111" s="933"/>
      <c r="R111" s="933"/>
      <c r="S111" s="933"/>
      <c r="T111" s="933"/>
      <c r="U111" s="933"/>
      <c r="V111" s="933"/>
      <c r="W111" s="933"/>
      <c r="X111" s="933"/>
      <c r="Y111" s="933"/>
      <c r="Z111" s="933"/>
      <c r="AA111" s="933"/>
      <c r="AB111" s="933"/>
      <c r="AC111" s="933"/>
      <c r="AD111" s="933"/>
      <c r="AE111" s="933"/>
      <c r="AF111" s="933"/>
      <c r="AG111" s="933"/>
      <c r="AH111" s="933"/>
      <c r="AI111" s="933"/>
      <c r="AJ111" s="933"/>
      <c r="AK111" s="933"/>
      <c r="AL111" s="933"/>
      <c r="AM111" s="933"/>
      <c r="AN111" s="933"/>
      <c r="AO111" s="933"/>
      <c r="AP111" s="933"/>
      <c r="AQ111" s="933"/>
      <c r="AR111" s="933"/>
      <c r="AS111" s="933"/>
      <c r="AT111" s="933"/>
      <c r="AU111" s="933"/>
      <c r="AV111" s="933"/>
      <c r="AW111" s="933"/>
      <c r="AX111" s="933"/>
      <c r="AY111" s="933"/>
      <c r="AZ111" s="933"/>
      <c r="BA111" s="933"/>
      <c r="BB111" s="933"/>
      <c r="BC111" s="933"/>
      <c r="BD111" s="933"/>
      <c r="BE111" s="933"/>
      <c r="BF111" s="933"/>
      <c r="BG111" s="933"/>
      <c r="BH111" s="933"/>
      <c r="BI111" s="933"/>
      <c r="BJ111" s="933"/>
      <c r="BK111" s="933"/>
      <c r="BL111" s="933"/>
      <c r="BM111" s="933"/>
      <c r="BN111" s="933"/>
      <c r="BO111" s="933"/>
      <c r="BP111" s="933"/>
      <c r="BQ111" s="933"/>
      <c r="BR111" s="933"/>
      <c r="BS111" s="933"/>
      <c r="BT111" s="933"/>
    </row>
    <row r="112" spans="1:72" x14ac:dyDescent="0.25">
      <c r="A112" s="933" t="s">
        <v>623</v>
      </c>
      <c r="B112" s="933"/>
      <c r="C112" s="933"/>
      <c r="D112" s="933"/>
      <c r="E112" s="933"/>
      <c r="F112" s="933"/>
      <c r="G112" s="933"/>
      <c r="H112" s="933"/>
      <c r="I112" s="933"/>
      <c r="J112" s="933"/>
      <c r="K112" s="933"/>
      <c r="L112" s="933"/>
      <c r="M112" s="933"/>
      <c r="N112" s="933"/>
      <c r="O112" s="933"/>
      <c r="P112" s="933"/>
      <c r="Q112" s="933"/>
      <c r="R112" s="933"/>
      <c r="S112" s="933"/>
      <c r="T112" s="933"/>
      <c r="U112" s="933"/>
      <c r="V112" s="933"/>
      <c r="W112" s="933"/>
      <c r="X112" s="933"/>
      <c r="Y112" s="933"/>
      <c r="Z112" s="933"/>
      <c r="AA112" s="933"/>
      <c r="AB112" s="933"/>
      <c r="AC112" s="933"/>
      <c r="AD112" s="933"/>
      <c r="AE112" s="933"/>
      <c r="AF112" s="933"/>
      <c r="AG112" s="933"/>
      <c r="AH112" s="933"/>
      <c r="AI112" s="933"/>
      <c r="AJ112" s="933"/>
      <c r="AK112" s="933"/>
      <c r="AL112" s="933"/>
      <c r="AM112" s="933"/>
      <c r="AN112" s="933"/>
      <c r="AO112" s="933"/>
      <c r="AP112" s="933"/>
      <c r="AQ112" s="933"/>
      <c r="AR112" s="933"/>
      <c r="AS112" s="933"/>
      <c r="AT112" s="933"/>
      <c r="AU112" s="933"/>
      <c r="AV112" s="933"/>
      <c r="AW112" s="933"/>
      <c r="AX112" s="933"/>
      <c r="AY112" s="933"/>
      <c r="AZ112" s="933"/>
      <c r="BA112" s="933"/>
      <c r="BB112" s="933"/>
      <c r="BC112" s="933"/>
      <c r="BD112" s="933"/>
      <c r="BE112" s="933"/>
      <c r="BF112" s="933"/>
      <c r="BG112" s="933"/>
      <c r="BH112" s="933"/>
      <c r="BI112" s="933"/>
      <c r="BJ112" s="933"/>
      <c r="BK112" s="933"/>
      <c r="BL112" s="933"/>
      <c r="BM112" s="933"/>
      <c r="BN112" s="933"/>
      <c r="BO112" s="933"/>
      <c r="BP112" s="933"/>
      <c r="BQ112" s="933"/>
      <c r="BR112" s="933"/>
      <c r="BS112" s="933"/>
      <c r="BT112" s="933"/>
    </row>
    <row r="113" spans="1:72" x14ac:dyDescent="0.25">
      <c r="A113" s="933" t="s">
        <v>610</v>
      </c>
      <c r="B113" s="933">
        <v>15.75</v>
      </c>
      <c r="C113" s="933">
        <v>19.37</v>
      </c>
      <c r="D113" s="933">
        <v>14.24</v>
      </c>
      <c r="E113" s="933">
        <v>13.91</v>
      </c>
      <c r="F113" s="933">
        <v>14.06</v>
      </c>
      <c r="G113" s="933">
        <v>15.2</v>
      </c>
      <c r="H113" s="933">
        <v>16.21</v>
      </c>
      <c r="I113" s="933">
        <v>16.89</v>
      </c>
      <c r="J113" s="933">
        <v>17.36</v>
      </c>
      <c r="K113" s="933">
        <v>18.22</v>
      </c>
      <c r="L113" s="933">
        <v>18.88</v>
      </c>
      <c r="M113" s="933">
        <v>19.510000000000002</v>
      </c>
      <c r="N113" s="933">
        <v>19.920000000000002</v>
      </c>
      <c r="O113" s="933">
        <v>20.25</v>
      </c>
      <c r="P113" s="933">
        <v>20.399999999999999</v>
      </c>
      <c r="Q113" s="933">
        <v>20.58</v>
      </c>
      <c r="R113" s="933">
        <v>20.89</v>
      </c>
      <c r="S113" s="933">
        <v>21.07</v>
      </c>
      <c r="T113" s="933">
        <v>21.35</v>
      </c>
      <c r="U113" s="933">
        <v>21.6</v>
      </c>
      <c r="V113" s="933">
        <v>21.83</v>
      </c>
      <c r="W113" s="933">
        <v>22.14</v>
      </c>
      <c r="X113" s="933">
        <v>22.54</v>
      </c>
      <c r="Y113" s="933">
        <v>22.71</v>
      </c>
      <c r="Z113" s="933">
        <v>23.14</v>
      </c>
      <c r="AA113" s="933">
        <v>23.54</v>
      </c>
      <c r="AB113" s="933">
        <v>23.87</v>
      </c>
      <c r="AC113" s="933">
        <v>24.28</v>
      </c>
      <c r="AD113" s="933">
        <v>24.7</v>
      </c>
      <c r="AE113" s="972">
        <v>8.9999999999999993E-3</v>
      </c>
      <c r="AF113" s="933"/>
      <c r="AG113" s="933"/>
      <c r="AH113" s="933"/>
      <c r="AI113" s="933"/>
      <c r="AJ113" s="933"/>
      <c r="AK113" s="933"/>
      <c r="AL113" s="933"/>
      <c r="AM113" s="933"/>
      <c r="AN113" s="933"/>
      <c r="AO113" s="933"/>
      <c r="AP113" s="933"/>
      <c r="AQ113" s="933"/>
      <c r="AR113" s="933"/>
      <c r="AS113" s="933"/>
      <c r="AT113" s="933"/>
      <c r="AU113" s="933"/>
      <c r="AV113" s="933"/>
      <c r="AW113" s="933"/>
      <c r="AX113" s="933"/>
      <c r="AY113" s="933"/>
      <c r="AZ113" s="933"/>
      <c r="BA113" s="933"/>
      <c r="BB113" s="933"/>
      <c r="BC113" s="933"/>
      <c r="BD113" s="933"/>
      <c r="BE113" s="933"/>
      <c r="BF113" s="933"/>
      <c r="BG113" s="933"/>
      <c r="BH113" s="933"/>
      <c r="BI113" s="933"/>
      <c r="BJ113" s="933"/>
      <c r="BK113" s="933"/>
      <c r="BL113" s="933"/>
      <c r="BM113" s="933"/>
      <c r="BN113" s="933"/>
      <c r="BO113" s="933"/>
      <c r="BP113" s="933"/>
      <c r="BQ113" s="933"/>
      <c r="BR113" s="933"/>
      <c r="BS113" s="933"/>
      <c r="BT113" s="933"/>
    </row>
    <row r="114" spans="1:72" x14ac:dyDescent="0.25">
      <c r="A114" s="933" t="s">
        <v>611</v>
      </c>
      <c r="B114" s="933">
        <v>9.0399999999999991</v>
      </c>
      <c r="C114" s="933">
        <v>14.56</v>
      </c>
      <c r="D114" s="933">
        <v>8.7799999999999994</v>
      </c>
      <c r="E114" s="933">
        <v>12</v>
      </c>
      <c r="F114" s="933">
        <v>12.17</v>
      </c>
      <c r="G114" s="933">
        <v>13.34</v>
      </c>
      <c r="H114" s="933">
        <v>14.37</v>
      </c>
      <c r="I114" s="933">
        <v>15.11</v>
      </c>
      <c r="J114" s="933">
        <v>15.53</v>
      </c>
      <c r="K114" s="933">
        <v>15.93</v>
      </c>
      <c r="L114" s="933">
        <v>16.45</v>
      </c>
      <c r="M114" s="933">
        <v>16.89</v>
      </c>
      <c r="N114" s="933">
        <v>17.14</v>
      </c>
      <c r="O114" s="933">
        <v>17.22</v>
      </c>
      <c r="P114" s="933">
        <v>17.47</v>
      </c>
      <c r="Q114" s="933">
        <v>17.63</v>
      </c>
      <c r="R114" s="933">
        <v>17.850000000000001</v>
      </c>
      <c r="S114" s="933">
        <v>18.079999999999998</v>
      </c>
      <c r="T114" s="933">
        <v>18.3</v>
      </c>
      <c r="U114" s="933">
        <v>18.38</v>
      </c>
      <c r="V114" s="933">
        <v>18.68</v>
      </c>
      <c r="W114" s="933">
        <v>18.940000000000001</v>
      </c>
      <c r="X114" s="933">
        <v>19.23</v>
      </c>
      <c r="Y114" s="933">
        <v>19.55</v>
      </c>
      <c r="Z114" s="933">
        <v>19.899999999999999</v>
      </c>
      <c r="AA114" s="933">
        <v>20.190000000000001</v>
      </c>
      <c r="AB114" s="933">
        <v>20.43</v>
      </c>
      <c r="AC114" s="933">
        <v>20.77</v>
      </c>
      <c r="AD114" s="933">
        <v>21.12</v>
      </c>
      <c r="AE114" s="972">
        <v>1.4E-2</v>
      </c>
      <c r="AF114" s="933"/>
      <c r="AG114" s="933"/>
      <c r="AH114" s="933"/>
      <c r="AI114" s="933"/>
      <c r="AJ114" s="933"/>
      <c r="AK114" s="933"/>
      <c r="AL114" s="933"/>
      <c r="AM114" s="933"/>
      <c r="AN114" s="933"/>
      <c r="AO114" s="933"/>
      <c r="AP114" s="933"/>
      <c r="AQ114" s="933"/>
      <c r="AR114" s="933"/>
      <c r="AS114" s="933"/>
      <c r="AT114" s="933"/>
      <c r="AU114" s="933"/>
      <c r="AV114" s="933"/>
      <c r="AW114" s="933"/>
      <c r="AX114" s="933"/>
      <c r="AY114" s="933"/>
      <c r="AZ114" s="933"/>
      <c r="BA114" s="933"/>
      <c r="BB114" s="933"/>
      <c r="BC114" s="933"/>
      <c r="BD114" s="933"/>
      <c r="BE114" s="933"/>
      <c r="BF114" s="933"/>
      <c r="BG114" s="933"/>
      <c r="BH114" s="933"/>
      <c r="BI114" s="933"/>
      <c r="BJ114" s="933"/>
      <c r="BK114" s="933"/>
      <c r="BL114" s="933"/>
      <c r="BM114" s="933"/>
      <c r="BN114" s="933"/>
      <c r="BO114" s="933"/>
      <c r="BP114" s="933"/>
      <c r="BQ114" s="933"/>
      <c r="BR114" s="933"/>
      <c r="BS114" s="933"/>
      <c r="BT114" s="933"/>
    </row>
    <row r="115" spans="1:72" x14ac:dyDescent="0.25">
      <c r="A115" s="933" t="s">
        <v>510</v>
      </c>
      <c r="B115" s="933">
        <v>7.26</v>
      </c>
      <c r="C115" s="933">
        <v>9.09</v>
      </c>
      <c r="D115" s="933">
        <v>4.1399999999999997</v>
      </c>
      <c r="E115" s="933">
        <v>4.8499999999999996</v>
      </c>
      <c r="F115" s="933">
        <v>5.82</v>
      </c>
      <c r="G115" s="933">
        <v>6.17</v>
      </c>
      <c r="H115" s="933">
        <v>5.94</v>
      </c>
      <c r="I115" s="933">
        <v>5.9</v>
      </c>
      <c r="J115" s="933">
        <v>6.08</v>
      </c>
      <c r="K115" s="933">
        <v>6.16</v>
      </c>
      <c r="L115" s="933">
        <v>6.17</v>
      </c>
      <c r="M115" s="933">
        <v>6.22</v>
      </c>
      <c r="N115" s="933">
        <v>6.29</v>
      </c>
      <c r="O115" s="933">
        <v>6.42</v>
      </c>
      <c r="P115" s="933">
        <v>6.52</v>
      </c>
      <c r="Q115" s="933">
        <v>6.69</v>
      </c>
      <c r="R115" s="933">
        <v>6.74</v>
      </c>
      <c r="S115" s="933">
        <v>6.7</v>
      </c>
      <c r="T115" s="933">
        <v>6.75</v>
      </c>
      <c r="U115" s="933">
        <v>6.91</v>
      </c>
      <c r="V115" s="933">
        <v>7.05</v>
      </c>
      <c r="W115" s="933">
        <v>7.27</v>
      </c>
      <c r="X115" s="933">
        <v>7.51</v>
      </c>
      <c r="Y115" s="933">
        <v>7.73</v>
      </c>
      <c r="Z115" s="933">
        <v>8.02</v>
      </c>
      <c r="AA115" s="933">
        <v>8.14</v>
      </c>
      <c r="AB115" s="933">
        <v>8.17</v>
      </c>
      <c r="AC115" s="933">
        <v>8.35</v>
      </c>
      <c r="AD115" s="933">
        <v>8.4600000000000009</v>
      </c>
      <c r="AE115" s="972">
        <v>-3.0000000000000001E-3</v>
      </c>
      <c r="AF115" s="933"/>
      <c r="AG115" s="933"/>
      <c r="AH115" s="933"/>
      <c r="AI115" s="933"/>
      <c r="AJ115" s="933"/>
      <c r="AK115" s="933"/>
      <c r="AL115" s="933"/>
      <c r="AM115" s="933"/>
      <c r="AN115" s="933"/>
      <c r="AO115" s="933"/>
      <c r="AP115" s="933"/>
      <c r="AQ115" s="933"/>
      <c r="AR115" s="933"/>
      <c r="AS115" s="933"/>
      <c r="AT115" s="933"/>
      <c r="AU115" s="933"/>
      <c r="AV115" s="933"/>
      <c r="AW115" s="933"/>
      <c r="AX115" s="933"/>
      <c r="AY115" s="933"/>
      <c r="AZ115" s="933"/>
      <c r="BA115" s="933"/>
      <c r="BB115" s="933"/>
      <c r="BC115" s="933"/>
      <c r="BD115" s="933"/>
      <c r="BE115" s="933"/>
      <c r="BF115" s="933"/>
      <c r="BG115" s="933"/>
      <c r="BH115" s="933"/>
      <c r="BI115" s="933"/>
      <c r="BJ115" s="933"/>
      <c r="BK115" s="933"/>
      <c r="BL115" s="933"/>
      <c r="BM115" s="933"/>
      <c r="BN115" s="933"/>
      <c r="BO115" s="933"/>
      <c r="BP115" s="933"/>
      <c r="BQ115" s="933"/>
      <c r="BR115" s="933"/>
      <c r="BS115" s="933"/>
      <c r="BT115" s="933"/>
    </row>
    <row r="116" spans="1:72" x14ac:dyDescent="0.25">
      <c r="A116" s="933" t="s">
        <v>624</v>
      </c>
      <c r="B116" s="933">
        <v>1.8</v>
      </c>
      <c r="C116" s="933">
        <v>2.0499999999999998</v>
      </c>
      <c r="D116" s="933">
        <v>2.15</v>
      </c>
      <c r="E116" s="933">
        <v>1.99</v>
      </c>
      <c r="F116" s="933">
        <v>1.98</v>
      </c>
      <c r="G116" s="933">
        <v>1.99</v>
      </c>
      <c r="H116" s="933">
        <v>1.99</v>
      </c>
      <c r="I116" s="933">
        <v>1.99</v>
      </c>
      <c r="J116" s="933">
        <v>2.0099999999999998</v>
      </c>
      <c r="K116" s="933">
        <v>1.99</v>
      </c>
      <c r="L116" s="933">
        <v>2</v>
      </c>
      <c r="M116" s="933">
        <v>1.99</v>
      </c>
      <c r="N116" s="933">
        <v>1.99</v>
      </c>
      <c r="O116" s="933">
        <v>1.98</v>
      </c>
      <c r="P116" s="933">
        <v>1.98</v>
      </c>
      <c r="Q116" s="933">
        <v>1.99</v>
      </c>
      <c r="R116" s="933">
        <v>1.99</v>
      </c>
      <c r="S116" s="933">
        <v>1.99</v>
      </c>
      <c r="T116" s="933">
        <v>1.99</v>
      </c>
      <c r="U116" s="933">
        <v>2</v>
      </c>
      <c r="V116" s="933">
        <v>2</v>
      </c>
      <c r="W116" s="933">
        <v>2.0099999999999998</v>
      </c>
      <c r="X116" s="933">
        <v>2.02</v>
      </c>
      <c r="Y116" s="933">
        <v>2.0299999999999998</v>
      </c>
      <c r="Z116" s="933">
        <v>2.04</v>
      </c>
      <c r="AA116" s="933">
        <v>2.0499999999999998</v>
      </c>
      <c r="AB116" s="933">
        <v>2.06</v>
      </c>
      <c r="AC116" s="933">
        <v>2.0699999999999998</v>
      </c>
      <c r="AD116" s="933">
        <v>2.09</v>
      </c>
      <c r="AE116" s="972">
        <v>1E-3</v>
      </c>
      <c r="AF116" s="933"/>
      <c r="AG116" s="933"/>
      <c r="AH116" s="933"/>
      <c r="AI116" s="933"/>
      <c r="AJ116" s="933"/>
      <c r="AK116" s="933"/>
      <c r="AL116" s="933"/>
      <c r="AM116" s="933"/>
      <c r="AN116" s="933"/>
      <c r="AO116" s="933"/>
      <c r="AP116" s="933"/>
      <c r="AQ116" s="933"/>
      <c r="AR116" s="933"/>
      <c r="AS116" s="933"/>
      <c r="AT116" s="933"/>
      <c r="AU116" s="933"/>
      <c r="AV116" s="933"/>
      <c r="AW116" s="933"/>
      <c r="AX116" s="933"/>
      <c r="AY116" s="933"/>
      <c r="AZ116" s="933"/>
      <c r="BA116" s="933"/>
      <c r="BB116" s="933"/>
      <c r="BC116" s="933"/>
      <c r="BD116" s="933"/>
      <c r="BE116" s="933"/>
      <c r="BF116" s="933"/>
      <c r="BG116" s="933"/>
      <c r="BH116" s="933"/>
      <c r="BI116" s="933"/>
      <c r="BJ116" s="933"/>
      <c r="BK116" s="933"/>
      <c r="BL116" s="933"/>
      <c r="BM116" s="933"/>
      <c r="BN116" s="933"/>
      <c r="BO116" s="933"/>
      <c r="BP116" s="933"/>
      <c r="BQ116" s="933"/>
      <c r="BR116" s="933"/>
      <c r="BS116" s="933"/>
      <c r="BT116" s="933"/>
    </row>
    <row r="117" spans="1:72" x14ac:dyDescent="0.25">
      <c r="A117" s="933"/>
      <c r="B117" s="933"/>
      <c r="C117" s="933"/>
      <c r="D117" s="933"/>
      <c r="E117" s="933"/>
      <c r="F117" s="933"/>
      <c r="G117" s="933"/>
      <c r="H117" s="933"/>
      <c r="I117" s="933"/>
      <c r="J117" s="933"/>
      <c r="K117" s="933"/>
      <c r="L117" s="933"/>
      <c r="M117" s="933"/>
      <c r="N117" s="933"/>
      <c r="O117" s="933"/>
      <c r="P117" s="933"/>
      <c r="Q117" s="933"/>
      <c r="R117" s="933"/>
      <c r="S117" s="933"/>
      <c r="T117" s="933"/>
      <c r="U117" s="933"/>
      <c r="V117" s="933"/>
      <c r="W117" s="933"/>
      <c r="X117" s="933"/>
      <c r="Y117" s="933"/>
      <c r="Z117" s="933"/>
      <c r="AA117" s="933"/>
      <c r="AB117" s="933"/>
      <c r="AC117" s="933"/>
      <c r="AD117" s="933"/>
      <c r="AE117" s="933"/>
      <c r="AF117" s="933"/>
      <c r="AG117" s="933"/>
      <c r="AH117" s="933"/>
      <c r="AI117" s="933"/>
      <c r="AJ117" s="933"/>
      <c r="AK117" s="933"/>
      <c r="AL117" s="933"/>
      <c r="AM117" s="933"/>
      <c r="AN117" s="933"/>
      <c r="AO117" s="933"/>
      <c r="AP117" s="933"/>
      <c r="AQ117" s="933"/>
      <c r="AR117" s="933"/>
      <c r="AS117" s="933"/>
      <c r="AT117" s="933"/>
      <c r="AU117" s="933"/>
      <c r="AV117" s="933"/>
      <c r="AW117" s="933"/>
      <c r="AX117" s="933"/>
      <c r="AY117" s="933"/>
      <c r="AZ117" s="933"/>
      <c r="BA117" s="933"/>
      <c r="BB117" s="933"/>
      <c r="BC117" s="933"/>
      <c r="BD117" s="933"/>
      <c r="BE117" s="933"/>
      <c r="BF117" s="933"/>
      <c r="BG117" s="933"/>
      <c r="BH117" s="933"/>
      <c r="BI117" s="933"/>
      <c r="BJ117" s="933"/>
      <c r="BK117" s="933"/>
      <c r="BL117" s="933"/>
      <c r="BM117" s="933"/>
      <c r="BN117" s="933"/>
      <c r="BO117" s="933"/>
      <c r="BP117" s="933"/>
      <c r="BQ117" s="933"/>
      <c r="BR117" s="933"/>
      <c r="BS117" s="933"/>
      <c r="BT117" s="933"/>
    </row>
    <row r="118" spans="1:72" x14ac:dyDescent="0.25">
      <c r="A118" s="933" t="s">
        <v>625</v>
      </c>
      <c r="B118" s="933"/>
      <c r="C118" s="933"/>
      <c r="D118" s="933"/>
      <c r="E118" s="933"/>
      <c r="F118" s="933"/>
      <c r="G118" s="933"/>
      <c r="H118" s="933"/>
      <c r="I118" s="933"/>
      <c r="J118" s="933"/>
      <c r="K118" s="933"/>
      <c r="L118" s="933"/>
      <c r="M118" s="933"/>
      <c r="N118" s="933"/>
      <c r="O118" s="933"/>
      <c r="P118" s="933"/>
      <c r="Q118" s="933"/>
      <c r="R118" s="933"/>
      <c r="S118" s="933"/>
      <c r="T118" s="933"/>
      <c r="U118" s="933"/>
      <c r="V118" s="933"/>
      <c r="W118" s="933"/>
      <c r="X118" s="933"/>
      <c r="Y118" s="933"/>
      <c r="Z118" s="933"/>
      <c r="AA118" s="933"/>
      <c r="AB118" s="933"/>
      <c r="AC118" s="933"/>
      <c r="AD118" s="933"/>
      <c r="AE118" s="933"/>
      <c r="AF118" s="933"/>
      <c r="AG118" s="933"/>
      <c r="AH118" s="933"/>
      <c r="AI118" s="933"/>
      <c r="AJ118" s="933"/>
      <c r="AK118" s="933"/>
      <c r="AL118" s="933"/>
      <c r="AM118" s="933"/>
      <c r="AN118" s="933"/>
      <c r="AO118" s="933"/>
      <c r="AP118" s="933"/>
      <c r="AQ118" s="933"/>
      <c r="AR118" s="933"/>
      <c r="AS118" s="933"/>
      <c r="AT118" s="933"/>
      <c r="AU118" s="933"/>
      <c r="AV118" s="933"/>
      <c r="AW118" s="933"/>
      <c r="AX118" s="933"/>
      <c r="AY118" s="933"/>
      <c r="AZ118" s="933"/>
      <c r="BA118" s="933"/>
      <c r="BB118" s="933"/>
      <c r="BC118" s="933"/>
      <c r="BD118" s="933"/>
      <c r="BE118" s="933"/>
      <c r="BF118" s="933"/>
      <c r="BG118" s="933"/>
      <c r="BH118" s="933"/>
      <c r="BI118" s="933"/>
      <c r="BJ118" s="933"/>
      <c r="BK118" s="933"/>
      <c r="BL118" s="933"/>
      <c r="BM118" s="933"/>
      <c r="BN118" s="933"/>
      <c r="BO118" s="933"/>
      <c r="BP118" s="933"/>
      <c r="BQ118" s="933"/>
      <c r="BR118" s="933"/>
      <c r="BS118" s="933"/>
      <c r="BT118" s="933"/>
    </row>
    <row r="119" spans="1:72" x14ac:dyDescent="0.25">
      <c r="A119" s="933" t="s">
        <v>609</v>
      </c>
      <c r="B119" s="933">
        <v>18.940000000000001</v>
      </c>
      <c r="C119" s="933">
        <v>20.190000000000001</v>
      </c>
      <c r="D119" s="933">
        <v>18.36</v>
      </c>
      <c r="E119" s="933">
        <v>16.850000000000001</v>
      </c>
      <c r="F119" s="933">
        <v>16.87</v>
      </c>
      <c r="G119" s="933">
        <v>17.87</v>
      </c>
      <c r="H119" s="933">
        <v>18.97</v>
      </c>
      <c r="I119" s="933">
        <v>19.82</v>
      </c>
      <c r="J119" s="933">
        <v>20.3</v>
      </c>
      <c r="K119" s="933">
        <v>20.84</v>
      </c>
      <c r="L119" s="933">
        <v>21.26</v>
      </c>
      <c r="M119" s="933">
        <v>21.71</v>
      </c>
      <c r="N119" s="933">
        <v>21.93</v>
      </c>
      <c r="O119" s="933">
        <v>22.15</v>
      </c>
      <c r="P119" s="933">
        <v>22.36</v>
      </c>
      <c r="Q119" s="933">
        <v>22.56</v>
      </c>
      <c r="R119" s="933">
        <v>22.83</v>
      </c>
      <c r="S119" s="933">
        <v>23.09</v>
      </c>
      <c r="T119" s="933">
        <v>23.34</v>
      </c>
      <c r="U119" s="933">
        <v>23.49</v>
      </c>
      <c r="V119" s="933">
        <v>23.75</v>
      </c>
      <c r="W119" s="933">
        <v>24</v>
      </c>
      <c r="X119" s="933">
        <v>24.34</v>
      </c>
      <c r="Y119" s="933">
        <v>24.55</v>
      </c>
      <c r="Z119" s="933">
        <v>24.91</v>
      </c>
      <c r="AA119" s="933">
        <v>25.25</v>
      </c>
      <c r="AB119" s="933">
        <v>25.63</v>
      </c>
      <c r="AC119" s="933">
        <v>25.99</v>
      </c>
      <c r="AD119" s="933">
        <v>26.37</v>
      </c>
      <c r="AE119" s="972">
        <v>0.01</v>
      </c>
      <c r="AF119" s="933"/>
      <c r="AG119" s="933"/>
      <c r="AH119" s="933"/>
      <c r="AI119" s="933"/>
      <c r="AJ119" s="933"/>
      <c r="AK119" s="933"/>
      <c r="AL119" s="933"/>
      <c r="AM119" s="933"/>
      <c r="AN119" s="933"/>
      <c r="AO119" s="933"/>
      <c r="AP119" s="933"/>
      <c r="AQ119" s="933"/>
      <c r="AR119" s="933"/>
      <c r="AS119" s="933"/>
      <c r="AT119" s="933"/>
      <c r="AU119" s="933"/>
      <c r="AV119" s="933"/>
      <c r="AW119" s="933"/>
      <c r="AX119" s="933"/>
      <c r="AY119" s="933"/>
      <c r="AZ119" s="933"/>
      <c r="BA119" s="933"/>
      <c r="BB119" s="933"/>
      <c r="BC119" s="933"/>
      <c r="BD119" s="933"/>
      <c r="BE119" s="933"/>
      <c r="BF119" s="933"/>
      <c r="BG119" s="933"/>
      <c r="BH119" s="933"/>
      <c r="BI119" s="933"/>
      <c r="BJ119" s="933"/>
      <c r="BK119" s="933"/>
      <c r="BL119" s="933"/>
      <c r="BM119" s="933"/>
      <c r="BN119" s="933"/>
      <c r="BO119" s="933"/>
      <c r="BP119" s="933"/>
      <c r="BQ119" s="933"/>
      <c r="BR119" s="933"/>
      <c r="BS119" s="933"/>
      <c r="BT119" s="933"/>
    </row>
    <row r="120" spans="1:72" x14ac:dyDescent="0.25">
      <c r="A120" s="933" t="s">
        <v>618</v>
      </c>
      <c r="B120" s="933">
        <v>27.43</v>
      </c>
      <c r="C120" s="933">
        <v>26.93</v>
      </c>
      <c r="D120" s="933">
        <v>23.29</v>
      </c>
      <c r="E120" s="933">
        <v>20.64</v>
      </c>
      <c r="F120" s="933">
        <v>20.97</v>
      </c>
      <c r="G120" s="933">
        <v>22.13</v>
      </c>
      <c r="H120" s="933">
        <v>24.21</v>
      </c>
      <c r="I120" s="933">
        <v>25.23</v>
      </c>
      <c r="J120" s="933">
        <v>25.55</v>
      </c>
      <c r="K120" s="933">
        <v>25.08</v>
      </c>
      <c r="L120" s="933">
        <v>25.9</v>
      </c>
      <c r="M120" s="933">
        <v>26.54</v>
      </c>
      <c r="N120" s="933">
        <v>26.68</v>
      </c>
      <c r="O120" s="933">
        <v>26.95</v>
      </c>
      <c r="P120" s="933">
        <v>27.32</v>
      </c>
      <c r="Q120" s="933">
        <v>27.82</v>
      </c>
      <c r="R120" s="933">
        <v>28.31</v>
      </c>
      <c r="S120" s="933">
        <v>28.55</v>
      </c>
      <c r="T120" s="933">
        <v>28.86</v>
      </c>
      <c r="U120" s="933">
        <v>29.22</v>
      </c>
      <c r="V120" s="933">
        <v>29.49</v>
      </c>
      <c r="W120" s="933">
        <v>30.03</v>
      </c>
      <c r="X120" s="933">
        <v>30.44</v>
      </c>
      <c r="Y120" s="933">
        <v>30.64</v>
      </c>
      <c r="Z120" s="933">
        <v>30.86</v>
      </c>
      <c r="AA120" s="933">
        <v>31.29</v>
      </c>
      <c r="AB120" s="933">
        <v>31.49</v>
      </c>
      <c r="AC120" s="933">
        <v>31.77</v>
      </c>
      <c r="AD120" s="933">
        <v>32.229999999999997</v>
      </c>
      <c r="AE120" s="972">
        <v>7.0000000000000001E-3</v>
      </c>
      <c r="AF120" s="933"/>
      <c r="AG120" s="933"/>
      <c r="AH120" s="933"/>
      <c r="AI120" s="933"/>
      <c r="AJ120" s="933"/>
      <c r="AK120" s="933"/>
      <c r="AL120" s="933"/>
      <c r="AM120" s="933"/>
      <c r="AN120" s="933"/>
      <c r="AO120" s="933"/>
      <c r="AP120" s="933"/>
      <c r="AQ120" s="933"/>
      <c r="AR120" s="933"/>
      <c r="AS120" s="933"/>
      <c r="AT120" s="933"/>
      <c r="AU120" s="933"/>
      <c r="AV120" s="933"/>
      <c r="AW120" s="933"/>
      <c r="AX120" s="933"/>
      <c r="AY120" s="933"/>
      <c r="AZ120" s="933"/>
      <c r="BA120" s="933"/>
      <c r="BB120" s="933"/>
      <c r="BC120" s="933"/>
      <c r="BD120" s="933"/>
      <c r="BE120" s="933"/>
      <c r="BF120" s="933"/>
      <c r="BG120" s="933"/>
      <c r="BH120" s="933"/>
      <c r="BI120" s="933"/>
      <c r="BJ120" s="933"/>
      <c r="BK120" s="933"/>
      <c r="BL120" s="933"/>
      <c r="BM120" s="933"/>
      <c r="BN120" s="933"/>
      <c r="BO120" s="933"/>
      <c r="BP120" s="933"/>
      <c r="BQ120" s="933"/>
      <c r="BR120" s="933"/>
      <c r="BS120" s="933"/>
      <c r="BT120" s="933"/>
    </row>
    <row r="121" spans="1:72" x14ac:dyDescent="0.25">
      <c r="A121" s="933" t="s">
        <v>619</v>
      </c>
      <c r="B121" s="933">
        <v>23.55</v>
      </c>
      <c r="C121" s="933">
        <v>26.54</v>
      </c>
      <c r="D121" s="933">
        <v>19.149999999999999</v>
      </c>
      <c r="E121" s="933">
        <v>20.55</v>
      </c>
      <c r="F121" s="933">
        <v>20.88</v>
      </c>
      <c r="G121" s="933">
        <v>22.03</v>
      </c>
      <c r="H121" s="933">
        <v>24.01</v>
      </c>
      <c r="I121" s="933">
        <v>24.94</v>
      </c>
      <c r="J121" s="933">
        <v>25.36</v>
      </c>
      <c r="K121" s="933">
        <v>25.93</v>
      </c>
      <c r="L121" s="933">
        <v>26.46</v>
      </c>
      <c r="M121" s="933">
        <v>26.89</v>
      </c>
      <c r="N121" s="933">
        <v>27.2</v>
      </c>
      <c r="O121" s="933">
        <v>27.59</v>
      </c>
      <c r="P121" s="933">
        <v>27.82</v>
      </c>
      <c r="Q121" s="933">
        <v>28.17</v>
      </c>
      <c r="R121" s="933">
        <v>28.41</v>
      </c>
      <c r="S121" s="933">
        <v>28.54</v>
      </c>
      <c r="T121" s="933">
        <v>28.87</v>
      </c>
      <c r="U121" s="933">
        <v>29.18</v>
      </c>
      <c r="V121" s="933">
        <v>29.47</v>
      </c>
      <c r="W121" s="933">
        <v>29.9</v>
      </c>
      <c r="X121" s="933">
        <v>30.27</v>
      </c>
      <c r="Y121" s="933">
        <v>30.41</v>
      </c>
      <c r="Z121" s="933">
        <v>30.76</v>
      </c>
      <c r="AA121" s="933">
        <v>31.16</v>
      </c>
      <c r="AB121" s="933">
        <v>31.43</v>
      </c>
      <c r="AC121" s="933">
        <v>31.81</v>
      </c>
      <c r="AD121" s="933">
        <v>32.32</v>
      </c>
      <c r="AE121" s="972">
        <v>7.0000000000000001E-3</v>
      </c>
      <c r="AF121" s="933"/>
      <c r="AG121" s="933"/>
      <c r="AH121" s="933"/>
      <c r="AI121" s="933"/>
      <c r="AJ121" s="933"/>
      <c r="AK121" s="933"/>
      <c r="AL121" s="933"/>
      <c r="AM121" s="933"/>
      <c r="AN121" s="933"/>
      <c r="AO121" s="933"/>
      <c r="AP121" s="933"/>
      <c r="AQ121" s="933"/>
      <c r="AR121" s="933"/>
      <c r="AS121" s="933"/>
      <c r="AT121" s="933"/>
      <c r="AU121" s="933"/>
      <c r="AV121" s="933"/>
      <c r="AW121" s="933"/>
      <c r="AX121" s="933"/>
      <c r="AY121" s="933"/>
      <c r="AZ121" s="933"/>
      <c r="BA121" s="933"/>
      <c r="BB121" s="933"/>
      <c r="BC121" s="933"/>
      <c r="BD121" s="933"/>
      <c r="BE121" s="933"/>
      <c r="BF121" s="933"/>
      <c r="BG121" s="933"/>
      <c r="BH121" s="933"/>
      <c r="BI121" s="933"/>
      <c r="BJ121" s="933"/>
      <c r="BK121" s="933"/>
      <c r="BL121" s="933"/>
      <c r="BM121" s="933"/>
      <c r="BN121" s="933"/>
      <c r="BO121" s="933"/>
      <c r="BP121" s="933"/>
      <c r="BQ121" s="933"/>
      <c r="BR121" s="933"/>
      <c r="BS121" s="933"/>
      <c r="BT121" s="933"/>
    </row>
    <row r="122" spans="1:72" x14ac:dyDescent="0.25">
      <c r="A122" s="933" t="s">
        <v>626</v>
      </c>
      <c r="B122" s="933">
        <v>15.77</v>
      </c>
      <c r="C122" s="933">
        <v>22.71</v>
      </c>
      <c r="D122" s="933">
        <v>12.73</v>
      </c>
      <c r="E122" s="933">
        <v>14.79</v>
      </c>
      <c r="F122" s="933">
        <v>15.16</v>
      </c>
      <c r="G122" s="933">
        <v>16.54</v>
      </c>
      <c r="H122" s="933">
        <v>17.690000000000001</v>
      </c>
      <c r="I122" s="933">
        <v>18.46</v>
      </c>
      <c r="J122" s="933">
        <v>19.04</v>
      </c>
      <c r="K122" s="933">
        <v>19.760000000000002</v>
      </c>
      <c r="L122" s="933">
        <v>20.41</v>
      </c>
      <c r="M122" s="933">
        <v>20.97</v>
      </c>
      <c r="N122" s="933">
        <v>21.35</v>
      </c>
      <c r="O122" s="933">
        <v>21.69</v>
      </c>
      <c r="P122" s="933">
        <v>21.85</v>
      </c>
      <c r="Q122" s="933">
        <v>22.09</v>
      </c>
      <c r="R122" s="933">
        <v>22.41</v>
      </c>
      <c r="S122" s="933">
        <v>22.61</v>
      </c>
      <c r="T122" s="933">
        <v>22.92</v>
      </c>
      <c r="U122" s="933">
        <v>23.19</v>
      </c>
      <c r="V122" s="933">
        <v>23.48</v>
      </c>
      <c r="W122" s="933">
        <v>23.9</v>
      </c>
      <c r="X122" s="933">
        <v>24.26</v>
      </c>
      <c r="Y122" s="933">
        <v>24.51</v>
      </c>
      <c r="Z122" s="933">
        <v>24.9</v>
      </c>
      <c r="AA122" s="933">
        <v>25.3</v>
      </c>
      <c r="AB122" s="933">
        <v>25.64</v>
      </c>
      <c r="AC122" s="933">
        <v>26.05</v>
      </c>
      <c r="AD122" s="933">
        <v>26.48</v>
      </c>
      <c r="AE122" s="972">
        <v>6.0000000000000001E-3</v>
      </c>
      <c r="AF122" s="933"/>
      <c r="AG122" s="933"/>
      <c r="AH122" s="933"/>
      <c r="AI122" s="933"/>
      <c r="AJ122" s="933"/>
      <c r="AK122" s="933"/>
      <c r="AL122" s="933"/>
      <c r="AM122" s="933"/>
      <c r="AN122" s="933"/>
      <c r="AO122" s="933"/>
      <c r="AP122" s="933"/>
      <c r="AQ122" s="933"/>
      <c r="AR122" s="933"/>
      <c r="AS122" s="933"/>
      <c r="AT122" s="933"/>
      <c r="AU122" s="933"/>
      <c r="AV122" s="933"/>
      <c r="AW122" s="933"/>
      <c r="AX122" s="933"/>
      <c r="AY122" s="933"/>
      <c r="AZ122" s="933"/>
      <c r="BA122" s="933"/>
      <c r="BB122" s="933"/>
      <c r="BC122" s="933"/>
      <c r="BD122" s="933"/>
      <c r="BE122" s="933"/>
      <c r="BF122" s="933"/>
      <c r="BG122" s="933"/>
      <c r="BH122" s="933"/>
      <c r="BI122" s="933"/>
      <c r="BJ122" s="933"/>
      <c r="BK122" s="933"/>
      <c r="BL122" s="933"/>
      <c r="BM122" s="933"/>
      <c r="BN122" s="933"/>
      <c r="BO122" s="933"/>
      <c r="BP122" s="933"/>
      <c r="BQ122" s="933"/>
      <c r="BR122" s="933"/>
      <c r="BS122" s="933"/>
      <c r="BT122" s="933"/>
    </row>
    <row r="123" spans="1:72" x14ac:dyDescent="0.25">
      <c r="A123" s="933" t="s">
        <v>610</v>
      </c>
      <c r="B123" s="933">
        <v>20.71</v>
      </c>
      <c r="C123" s="933">
        <v>26.27</v>
      </c>
      <c r="D123" s="933">
        <v>17.46</v>
      </c>
      <c r="E123" s="933">
        <v>17.73</v>
      </c>
      <c r="F123" s="933">
        <v>18.149999999999999</v>
      </c>
      <c r="G123" s="933">
        <v>19.45</v>
      </c>
      <c r="H123" s="933">
        <v>20.62</v>
      </c>
      <c r="I123" s="933">
        <v>21.35</v>
      </c>
      <c r="J123" s="933">
        <v>22.03</v>
      </c>
      <c r="K123" s="933">
        <v>22.8</v>
      </c>
      <c r="L123" s="933">
        <v>23.45</v>
      </c>
      <c r="M123" s="933">
        <v>24.07</v>
      </c>
      <c r="N123" s="933">
        <v>24.47</v>
      </c>
      <c r="O123" s="933">
        <v>24.79</v>
      </c>
      <c r="P123" s="933">
        <v>24.99</v>
      </c>
      <c r="Q123" s="933">
        <v>25.32</v>
      </c>
      <c r="R123" s="933">
        <v>25.5</v>
      </c>
      <c r="S123" s="933">
        <v>25.59</v>
      </c>
      <c r="T123" s="933">
        <v>25.89</v>
      </c>
      <c r="U123" s="933">
        <v>26.12</v>
      </c>
      <c r="V123" s="933">
        <v>26.38</v>
      </c>
      <c r="W123" s="933">
        <v>26.71</v>
      </c>
      <c r="X123" s="933">
        <v>27.11</v>
      </c>
      <c r="Y123" s="933">
        <v>27.29</v>
      </c>
      <c r="Z123" s="933">
        <v>27.73</v>
      </c>
      <c r="AA123" s="933">
        <v>28.13</v>
      </c>
      <c r="AB123" s="933">
        <v>28.46</v>
      </c>
      <c r="AC123" s="933">
        <v>28.87</v>
      </c>
      <c r="AD123" s="933">
        <v>29.34</v>
      </c>
      <c r="AE123" s="972">
        <v>4.0000000000000001E-3</v>
      </c>
      <c r="AF123" s="933"/>
      <c r="AG123" s="933"/>
      <c r="AH123" s="933"/>
      <c r="AI123" s="933"/>
      <c r="AJ123" s="933"/>
      <c r="AK123" s="933"/>
      <c r="AL123" s="933"/>
      <c r="AM123" s="933"/>
      <c r="AN123" s="933"/>
      <c r="AO123" s="933"/>
      <c r="AP123" s="933"/>
      <c r="AQ123" s="933"/>
      <c r="AR123" s="933"/>
      <c r="AS123" s="933"/>
      <c r="AT123" s="933"/>
      <c r="AU123" s="933"/>
      <c r="AV123" s="933"/>
      <c r="AW123" s="933"/>
      <c r="AX123" s="933"/>
      <c r="AY123" s="933"/>
      <c r="AZ123" s="933"/>
      <c r="BA123" s="933"/>
      <c r="BB123" s="933"/>
      <c r="BC123" s="933"/>
      <c r="BD123" s="933"/>
      <c r="BE123" s="933"/>
      <c r="BF123" s="933"/>
      <c r="BG123" s="933"/>
      <c r="BH123" s="933"/>
      <c r="BI123" s="933"/>
      <c r="BJ123" s="933"/>
      <c r="BK123" s="933"/>
      <c r="BL123" s="933"/>
      <c r="BM123" s="933"/>
      <c r="BN123" s="933"/>
      <c r="BO123" s="933"/>
      <c r="BP123" s="933"/>
      <c r="BQ123" s="933"/>
      <c r="BR123" s="933"/>
      <c r="BS123" s="933"/>
      <c r="BT123" s="933"/>
    </row>
    <row r="124" spans="1:72" x14ac:dyDescent="0.25">
      <c r="A124" s="933" t="s">
        <v>611</v>
      </c>
      <c r="B124" s="933">
        <v>9.07</v>
      </c>
      <c r="C124" s="933">
        <v>14.77</v>
      </c>
      <c r="D124" s="933">
        <v>8.9600000000000009</v>
      </c>
      <c r="E124" s="933">
        <v>10.9</v>
      </c>
      <c r="F124" s="933">
        <v>11.01</v>
      </c>
      <c r="G124" s="933">
        <v>12.17</v>
      </c>
      <c r="H124" s="933">
        <v>13.13</v>
      </c>
      <c r="I124" s="933">
        <v>13.86</v>
      </c>
      <c r="J124" s="933">
        <v>14.26</v>
      </c>
      <c r="K124" s="933">
        <v>14.63</v>
      </c>
      <c r="L124" s="933">
        <v>15.14</v>
      </c>
      <c r="M124" s="933">
        <v>15.55</v>
      </c>
      <c r="N124" s="933">
        <v>15.76</v>
      </c>
      <c r="O124" s="933">
        <v>15.81</v>
      </c>
      <c r="P124" s="933">
        <v>16.05</v>
      </c>
      <c r="Q124" s="933">
        <v>16.190000000000001</v>
      </c>
      <c r="R124" s="933">
        <v>16.399999999999999</v>
      </c>
      <c r="S124" s="933">
        <v>16.600000000000001</v>
      </c>
      <c r="T124" s="933">
        <v>16.8</v>
      </c>
      <c r="U124" s="933">
        <v>16.850000000000001</v>
      </c>
      <c r="V124" s="933">
        <v>17.13</v>
      </c>
      <c r="W124" s="933">
        <v>17.37</v>
      </c>
      <c r="X124" s="933">
        <v>17.66</v>
      </c>
      <c r="Y124" s="933">
        <v>17.96</v>
      </c>
      <c r="Z124" s="933">
        <v>18.3</v>
      </c>
      <c r="AA124" s="933">
        <v>18.559999999999999</v>
      </c>
      <c r="AB124" s="933">
        <v>18.79</v>
      </c>
      <c r="AC124" s="933">
        <v>19.12</v>
      </c>
      <c r="AD124" s="933">
        <v>19.46</v>
      </c>
      <c r="AE124" s="972">
        <v>0.01</v>
      </c>
      <c r="AF124" s="933"/>
      <c r="AG124" s="933"/>
      <c r="AH124" s="933"/>
      <c r="AI124" s="933"/>
      <c r="AJ124" s="933"/>
      <c r="AK124" s="933"/>
      <c r="AL124" s="933"/>
      <c r="AM124" s="933"/>
      <c r="AN124" s="933"/>
      <c r="AO124" s="933"/>
      <c r="AP124" s="933"/>
      <c r="AQ124" s="933"/>
      <c r="AR124" s="933"/>
      <c r="AS124" s="933"/>
      <c r="AT124" s="933"/>
      <c r="AU124" s="933"/>
      <c r="AV124" s="933"/>
      <c r="AW124" s="933"/>
      <c r="AX124" s="933"/>
      <c r="AY124" s="933"/>
      <c r="AZ124" s="933"/>
      <c r="BA124" s="933"/>
      <c r="BB124" s="933"/>
      <c r="BC124" s="933"/>
      <c r="BD124" s="933"/>
      <c r="BE124" s="933"/>
      <c r="BF124" s="933"/>
      <c r="BG124" s="933"/>
      <c r="BH124" s="933"/>
      <c r="BI124" s="933"/>
      <c r="BJ124" s="933"/>
      <c r="BK124" s="933"/>
      <c r="BL124" s="933"/>
      <c r="BM124" s="933"/>
      <c r="BN124" s="933"/>
      <c r="BO124" s="933"/>
      <c r="BP124" s="933"/>
      <c r="BQ124" s="933"/>
      <c r="BR124" s="933"/>
      <c r="BS124" s="933"/>
      <c r="BT124" s="933"/>
    </row>
    <row r="125" spans="1:72" x14ac:dyDescent="0.25">
      <c r="A125" s="933" t="s">
        <v>510</v>
      </c>
      <c r="B125" s="933">
        <v>9.19</v>
      </c>
      <c r="C125" s="933">
        <v>10.53</v>
      </c>
      <c r="D125" s="933">
        <v>6.57</v>
      </c>
      <c r="E125" s="933">
        <v>6.87</v>
      </c>
      <c r="F125" s="933">
        <v>7.87</v>
      </c>
      <c r="G125" s="933">
        <v>8.1999999999999993</v>
      </c>
      <c r="H125" s="933">
        <v>8.0500000000000007</v>
      </c>
      <c r="I125" s="933">
        <v>8.02</v>
      </c>
      <c r="J125" s="933">
        <v>8.14</v>
      </c>
      <c r="K125" s="933">
        <v>8.2200000000000006</v>
      </c>
      <c r="L125" s="933">
        <v>8.2200000000000006</v>
      </c>
      <c r="M125" s="933">
        <v>8.27</v>
      </c>
      <c r="N125" s="933">
        <v>8.33</v>
      </c>
      <c r="O125" s="933">
        <v>8.44</v>
      </c>
      <c r="P125" s="933">
        <v>8.5500000000000007</v>
      </c>
      <c r="Q125" s="933">
        <v>8.73</v>
      </c>
      <c r="R125" s="933">
        <v>8.77</v>
      </c>
      <c r="S125" s="933">
        <v>8.68</v>
      </c>
      <c r="T125" s="933">
        <v>8.75</v>
      </c>
      <c r="U125" s="933">
        <v>8.89</v>
      </c>
      <c r="V125" s="933">
        <v>9.0399999999999991</v>
      </c>
      <c r="W125" s="933">
        <v>9.26</v>
      </c>
      <c r="X125" s="933">
        <v>9.49</v>
      </c>
      <c r="Y125" s="933">
        <v>9.74</v>
      </c>
      <c r="Z125" s="933">
        <v>10.050000000000001</v>
      </c>
      <c r="AA125" s="933">
        <v>10.17</v>
      </c>
      <c r="AB125" s="933">
        <v>10.210000000000001</v>
      </c>
      <c r="AC125" s="933">
        <v>10.4</v>
      </c>
      <c r="AD125" s="933">
        <v>10.54</v>
      </c>
      <c r="AE125" s="972">
        <v>0</v>
      </c>
      <c r="AF125" s="933"/>
      <c r="AG125" s="933"/>
      <c r="AH125" s="933"/>
      <c r="AI125" s="933"/>
      <c r="AJ125" s="933"/>
      <c r="AK125" s="933"/>
      <c r="AL125" s="933"/>
      <c r="AM125" s="933"/>
      <c r="AN125" s="933"/>
      <c r="AO125" s="933"/>
      <c r="AP125" s="933"/>
      <c r="AQ125" s="933"/>
      <c r="AR125" s="933"/>
      <c r="AS125" s="933"/>
      <c r="AT125" s="933"/>
      <c r="AU125" s="933"/>
      <c r="AV125" s="933"/>
      <c r="AW125" s="933"/>
      <c r="AX125" s="933"/>
      <c r="AY125" s="933"/>
      <c r="AZ125" s="933"/>
      <c r="BA125" s="933"/>
      <c r="BB125" s="933"/>
      <c r="BC125" s="933"/>
      <c r="BD125" s="933"/>
      <c r="BE125" s="933"/>
      <c r="BF125" s="933"/>
      <c r="BG125" s="933"/>
      <c r="BH125" s="933"/>
      <c r="BI125" s="933"/>
      <c r="BJ125" s="933"/>
      <c r="BK125" s="933"/>
      <c r="BL125" s="933"/>
      <c r="BM125" s="933"/>
      <c r="BN125" s="933"/>
      <c r="BO125" s="933"/>
      <c r="BP125" s="933"/>
      <c r="BQ125" s="933"/>
      <c r="BR125" s="933"/>
      <c r="BS125" s="933"/>
      <c r="BT125" s="933"/>
    </row>
    <row r="126" spans="1:72" x14ac:dyDescent="0.25">
      <c r="A126" s="933" t="s">
        <v>614</v>
      </c>
      <c r="B126" s="933">
        <v>3.69</v>
      </c>
      <c r="C126" s="933">
        <v>4.49</v>
      </c>
      <c r="D126" s="933">
        <v>4.72</v>
      </c>
      <c r="E126" s="933">
        <v>4.8</v>
      </c>
      <c r="F126" s="933">
        <v>4.8600000000000003</v>
      </c>
      <c r="G126" s="933">
        <v>5.0199999999999996</v>
      </c>
      <c r="H126" s="933">
        <v>5.05</v>
      </c>
      <c r="I126" s="933">
        <v>5.08</v>
      </c>
      <c r="J126" s="933">
        <v>5.08</v>
      </c>
      <c r="K126" s="933">
        <v>5.09</v>
      </c>
      <c r="L126" s="933">
        <v>5.16</v>
      </c>
      <c r="M126" s="933">
        <v>5.22</v>
      </c>
      <c r="N126" s="933">
        <v>5.29</v>
      </c>
      <c r="O126" s="933">
        <v>5.32</v>
      </c>
      <c r="P126" s="933">
        <v>5.35</v>
      </c>
      <c r="Q126" s="933">
        <v>5.36</v>
      </c>
      <c r="R126" s="933">
        <v>5.35</v>
      </c>
      <c r="S126" s="933">
        <v>5.32</v>
      </c>
      <c r="T126" s="933">
        <v>5.24</v>
      </c>
      <c r="U126" s="933">
        <v>5.16</v>
      </c>
      <c r="V126" s="933">
        <v>5.14</v>
      </c>
      <c r="W126" s="933">
        <v>5.14</v>
      </c>
      <c r="X126" s="933">
        <v>5.1100000000000003</v>
      </c>
      <c r="Y126" s="933">
        <v>5.1100000000000003</v>
      </c>
      <c r="Z126" s="933">
        <v>5.09</v>
      </c>
      <c r="AA126" s="933">
        <v>5.08</v>
      </c>
      <c r="AB126" s="933">
        <v>5.08</v>
      </c>
      <c r="AC126" s="933">
        <v>5.0599999999999996</v>
      </c>
      <c r="AD126" s="933">
        <v>5.0599999999999996</v>
      </c>
      <c r="AE126" s="972">
        <v>4.0000000000000001E-3</v>
      </c>
      <c r="AF126" s="933"/>
      <c r="AG126" s="933"/>
      <c r="AH126" s="933"/>
      <c r="AI126" s="933"/>
      <c r="AJ126" s="933"/>
      <c r="AK126" s="933"/>
      <c r="AL126" s="933"/>
      <c r="AM126" s="933"/>
      <c r="AN126" s="933"/>
      <c r="AO126" s="933"/>
      <c r="AP126" s="933"/>
      <c r="AQ126" s="933"/>
      <c r="AR126" s="933"/>
      <c r="AS126" s="933"/>
      <c r="AT126" s="933"/>
      <c r="AU126" s="933"/>
      <c r="AV126" s="933"/>
      <c r="AW126" s="933"/>
      <c r="AX126" s="933"/>
      <c r="AY126" s="933"/>
      <c r="AZ126" s="933"/>
      <c r="BA126" s="933"/>
      <c r="BB126" s="933"/>
      <c r="BC126" s="933"/>
      <c r="BD126" s="933"/>
      <c r="BE126" s="933"/>
      <c r="BF126" s="933"/>
      <c r="BG126" s="933"/>
      <c r="BH126" s="933"/>
      <c r="BI126" s="933"/>
      <c r="BJ126" s="933"/>
      <c r="BK126" s="933"/>
      <c r="BL126" s="933"/>
      <c r="BM126" s="933"/>
      <c r="BN126" s="933"/>
      <c r="BO126" s="933"/>
      <c r="BP126" s="933"/>
      <c r="BQ126" s="933"/>
      <c r="BR126" s="933"/>
      <c r="BS126" s="933"/>
      <c r="BT126" s="933"/>
    </row>
    <row r="127" spans="1:72" x14ac:dyDescent="0.25">
      <c r="A127" s="933" t="s">
        <v>627</v>
      </c>
      <c r="B127" s="933">
        <v>1.84</v>
      </c>
      <c r="C127" s="933">
        <v>2.1</v>
      </c>
      <c r="D127" s="933">
        <v>2.19</v>
      </c>
      <c r="E127" s="933">
        <v>2.0299999999999998</v>
      </c>
      <c r="F127" s="933">
        <v>2.02</v>
      </c>
      <c r="G127" s="933">
        <v>2.0299999999999998</v>
      </c>
      <c r="H127" s="933">
        <v>2.0299999999999998</v>
      </c>
      <c r="I127" s="933">
        <v>2.0299999999999998</v>
      </c>
      <c r="J127" s="933">
        <v>2.0499999999999998</v>
      </c>
      <c r="K127" s="933">
        <v>2.0299999999999998</v>
      </c>
      <c r="L127" s="933">
        <v>2.04</v>
      </c>
      <c r="M127" s="933">
        <v>2.0299999999999998</v>
      </c>
      <c r="N127" s="933">
        <v>2.02</v>
      </c>
      <c r="O127" s="933">
        <v>2.02</v>
      </c>
      <c r="P127" s="933">
        <v>2.02</v>
      </c>
      <c r="Q127" s="933">
        <v>2.0299999999999998</v>
      </c>
      <c r="R127" s="933">
        <v>2.02</v>
      </c>
      <c r="S127" s="933">
        <v>2.02</v>
      </c>
      <c r="T127" s="933">
        <v>2.02</v>
      </c>
      <c r="U127" s="933">
        <v>2.0299999999999998</v>
      </c>
      <c r="V127" s="933">
        <v>2.0299999999999998</v>
      </c>
      <c r="W127" s="933">
        <v>2.04</v>
      </c>
      <c r="X127" s="933">
        <v>2.0499999999999998</v>
      </c>
      <c r="Y127" s="933">
        <v>2.06</v>
      </c>
      <c r="Z127" s="933">
        <v>2.0699999999999998</v>
      </c>
      <c r="AA127" s="933">
        <v>2.08</v>
      </c>
      <c r="AB127" s="933">
        <v>2.09</v>
      </c>
      <c r="AC127" s="933">
        <v>2.1</v>
      </c>
      <c r="AD127" s="933">
        <v>2.12</v>
      </c>
      <c r="AE127" s="972">
        <v>0</v>
      </c>
      <c r="AF127" s="933"/>
      <c r="AG127" s="933"/>
      <c r="AH127" s="933"/>
      <c r="AI127" s="933"/>
      <c r="AJ127" s="933"/>
      <c r="AK127" s="933"/>
      <c r="AL127" s="933"/>
      <c r="AM127" s="933"/>
      <c r="AN127" s="933"/>
      <c r="AO127" s="933"/>
      <c r="AP127" s="933"/>
      <c r="AQ127" s="933"/>
      <c r="AR127" s="933"/>
      <c r="AS127" s="933"/>
      <c r="AT127" s="933"/>
      <c r="AU127" s="933"/>
      <c r="AV127" s="933"/>
      <c r="AW127" s="933"/>
      <c r="AX127" s="933"/>
      <c r="AY127" s="933"/>
      <c r="AZ127" s="933"/>
      <c r="BA127" s="933"/>
      <c r="BB127" s="933"/>
      <c r="BC127" s="933"/>
      <c r="BD127" s="933"/>
      <c r="BE127" s="933"/>
      <c r="BF127" s="933"/>
      <c r="BG127" s="933"/>
      <c r="BH127" s="933"/>
      <c r="BI127" s="933"/>
      <c r="BJ127" s="933"/>
      <c r="BK127" s="933"/>
      <c r="BL127" s="933"/>
      <c r="BM127" s="933"/>
      <c r="BN127" s="933"/>
      <c r="BO127" s="933"/>
      <c r="BP127" s="933"/>
      <c r="BQ127" s="933"/>
      <c r="BR127" s="933"/>
      <c r="BS127" s="933"/>
      <c r="BT127" s="933"/>
    </row>
    <row r="128" spans="1:72" x14ac:dyDescent="0.25">
      <c r="A128" s="933" t="s">
        <v>616</v>
      </c>
      <c r="B128" s="933" t="s">
        <v>788</v>
      </c>
      <c r="C128" s="933" t="s">
        <v>788</v>
      </c>
      <c r="D128" s="933" t="s">
        <v>788</v>
      </c>
      <c r="E128" s="933" t="s">
        <v>788</v>
      </c>
      <c r="F128" s="933">
        <v>1.26</v>
      </c>
      <c r="G128" s="933">
        <v>1.04</v>
      </c>
      <c r="H128" s="933">
        <v>1.04</v>
      </c>
      <c r="I128" s="933">
        <v>1.41</v>
      </c>
      <c r="J128" s="933">
        <v>1.42</v>
      </c>
      <c r="K128" s="933">
        <v>1.46</v>
      </c>
      <c r="L128" s="933">
        <v>1.48</v>
      </c>
      <c r="M128" s="933">
        <v>1.48</v>
      </c>
      <c r="N128" s="933">
        <v>1.47</v>
      </c>
      <c r="O128" s="933">
        <v>1.46</v>
      </c>
      <c r="P128" s="933">
        <v>1.49</v>
      </c>
      <c r="Q128" s="933">
        <v>1.5</v>
      </c>
      <c r="R128" s="933">
        <v>1.52</v>
      </c>
      <c r="S128" s="933">
        <v>1.49</v>
      </c>
      <c r="T128" s="933">
        <v>1.49</v>
      </c>
      <c r="U128" s="933">
        <v>1.47</v>
      </c>
      <c r="V128" s="933">
        <v>1.46</v>
      </c>
      <c r="W128" s="933">
        <v>1.45</v>
      </c>
      <c r="X128" s="933">
        <v>1.44</v>
      </c>
      <c r="Y128" s="933">
        <v>1.44</v>
      </c>
      <c r="Z128" s="933">
        <v>1.44</v>
      </c>
      <c r="AA128" s="933">
        <v>1.44</v>
      </c>
      <c r="AB128" s="933">
        <v>1.46</v>
      </c>
      <c r="AC128" s="933">
        <v>1.48</v>
      </c>
      <c r="AD128" s="933">
        <v>1.51</v>
      </c>
      <c r="AE128" s="933" t="s">
        <v>788</v>
      </c>
      <c r="AF128" s="933"/>
      <c r="AG128" s="933"/>
      <c r="AH128" s="933"/>
      <c r="AI128" s="933"/>
      <c r="AJ128" s="933"/>
      <c r="AK128" s="933"/>
      <c r="AL128" s="933"/>
      <c r="AM128" s="933"/>
      <c r="AN128" s="933"/>
      <c r="AO128" s="933"/>
      <c r="AP128" s="933"/>
      <c r="AQ128" s="933"/>
      <c r="AR128" s="933"/>
      <c r="AS128" s="933"/>
      <c r="AT128" s="933"/>
      <c r="AU128" s="933"/>
      <c r="AV128" s="933"/>
      <c r="AW128" s="933"/>
      <c r="AX128" s="933"/>
      <c r="AY128" s="933"/>
      <c r="AZ128" s="933"/>
      <c r="BA128" s="933"/>
      <c r="BB128" s="933"/>
      <c r="BC128" s="933"/>
      <c r="BD128" s="933"/>
      <c r="BE128" s="933"/>
      <c r="BF128" s="933"/>
      <c r="BG128" s="933"/>
      <c r="BH128" s="933"/>
      <c r="BI128" s="933"/>
      <c r="BJ128" s="933"/>
      <c r="BK128" s="933"/>
      <c r="BL128" s="933"/>
      <c r="BM128" s="933"/>
      <c r="BN128" s="933"/>
      <c r="BO128" s="933"/>
      <c r="BP128" s="933"/>
      <c r="BQ128" s="933"/>
      <c r="BR128" s="933"/>
      <c r="BS128" s="933"/>
      <c r="BT128" s="933"/>
    </row>
    <row r="129" spans="1:72" x14ac:dyDescent="0.25">
      <c r="A129" s="933" t="s">
        <v>479</v>
      </c>
      <c r="B129" s="933">
        <v>27.25</v>
      </c>
      <c r="C129" s="933">
        <v>28.81</v>
      </c>
      <c r="D129" s="933">
        <v>28.07</v>
      </c>
      <c r="E129" s="933">
        <v>26.77</v>
      </c>
      <c r="F129" s="933">
        <v>25.2</v>
      </c>
      <c r="G129" s="933">
        <v>26.1</v>
      </c>
      <c r="H129" s="933">
        <v>26.17</v>
      </c>
      <c r="I129" s="933">
        <v>25.97</v>
      </c>
      <c r="J129" s="933">
        <v>25.95</v>
      </c>
      <c r="K129" s="933">
        <v>26.2</v>
      </c>
      <c r="L129" s="933">
        <v>26.36</v>
      </c>
      <c r="M129" s="933">
        <v>26.37</v>
      </c>
      <c r="N129" s="933">
        <v>26.31</v>
      </c>
      <c r="O129" s="933">
        <v>26.51</v>
      </c>
      <c r="P129" s="933">
        <v>26.7</v>
      </c>
      <c r="Q129" s="933">
        <v>26.84</v>
      </c>
      <c r="R129" s="933">
        <v>27.04</v>
      </c>
      <c r="S129" s="933">
        <v>27.19</v>
      </c>
      <c r="T129" s="933">
        <v>27.17</v>
      </c>
      <c r="U129" s="933">
        <v>27.33</v>
      </c>
      <c r="V129" s="933">
        <v>27.53</v>
      </c>
      <c r="W129" s="933">
        <v>27.74</v>
      </c>
      <c r="X129" s="933">
        <v>28.16</v>
      </c>
      <c r="Y129" s="933">
        <v>28.49</v>
      </c>
      <c r="Z129" s="933">
        <v>28.86</v>
      </c>
      <c r="AA129" s="933">
        <v>29.21</v>
      </c>
      <c r="AB129" s="933">
        <v>29.38</v>
      </c>
      <c r="AC129" s="933">
        <v>29.64</v>
      </c>
      <c r="AD129" s="933">
        <v>29.87</v>
      </c>
      <c r="AE129" s="972">
        <v>1E-3</v>
      </c>
      <c r="AF129" s="933"/>
      <c r="AG129" s="933"/>
      <c r="AH129" s="933"/>
      <c r="AI129" s="933"/>
      <c r="AJ129" s="933"/>
      <c r="AK129" s="933"/>
      <c r="AL129" s="933"/>
      <c r="AM129" s="933"/>
      <c r="AN129" s="933"/>
      <c r="AO129" s="933"/>
      <c r="AP129" s="933"/>
      <c r="AQ129" s="933"/>
      <c r="AR129" s="933"/>
      <c r="AS129" s="933"/>
      <c r="AT129" s="933"/>
      <c r="AU129" s="933"/>
      <c r="AV129" s="933"/>
      <c r="AW129" s="933"/>
      <c r="AX129" s="933"/>
      <c r="AY129" s="933"/>
      <c r="AZ129" s="933"/>
      <c r="BA129" s="933"/>
      <c r="BB129" s="933"/>
      <c r="BC129" s="933"/>
      <c r="BD129" s="933"/>
      <c r="BE129" s="933"/>
      <c r="BF129" s="933"/>
      <c r="BG129" s="933"/>
      <c r="BH129" s="933"/>
      <c r="BI129" s="933"/>
      <c r="BJ129" s="933"/>
      <c r="BK129" s="933"/>
      <c r="BL129" s="933"/>
      <c r="BM129" s="933"/>
      <c r="BN129" s="933"/>
      <c r="BO129" s="933"/>
      <c r="BP129" s="933"/>
      <c r="BQ129" s="933"/>
      <c r="BR129" s="933"/>
      <c r="BS129" s="933"/>
      <c r="BT129" s="933"/>
    </row>
    <row r="130" spans="1:72" x14ac:dyDescent="0.25">
      <c r="A130" s="933"/>
      <c r="B130" s="933"/>
      <c r="C130" s="933"/>
      <c r="D130" s="933"/>
      <c r="E130" s="933"/>
      <c r="F130" s="933"/>
      <c r="G130" s="933"/>
      <c r="H130" s="933"/>
      <c r="I130" s="933"/>
      <c r="J130" s="933"/>
      <c r="K130" s="933"/>
      <c r="L130" s="933"/>
      <c r="M130" s="933"/>
      <c r="N130" s="933"/>
      <c r="O130" s="933"/>
      <c r="P130" s="933"/>
      <c r="Q130" s="933"/>
      <c r="R130" s="933"/>
      <c r="S130" s="933"/>
      <c r="T130" s="933"/>
      <c r="U130" s="933"/>
      <c r="V130" s="933"/>
      <c r="W130" s="933"/>
      <c r="X130" s="933"/>
      <c r="Y130" s="933"/>
      <c r="Z130" s="933"/>
      <c r="AA130" s="933"/>
      <c r="AB130" s="933"/>
      <c r="AC130" s="933"/>
      <c r="AD130" s="933"/>
      <c r="AE130" s="933"/>
      <c r="AF130" s="933"/>
      <c r="AG130" s="933"/>
      <c r="AH130" s="933"/>
      <c r="AI130" s="933"/>
      <c r="AJ130" s="933"/>
      <c r="AK130" s="933"/>
      <c r="AL130" s="933"/>
      <c r="AM130" s="933"/>
      <c r="AN130" s="933"/>
      <c r="AO130" s="933"/>
      <c r="AP130" s="933"/>
      <c r="AQ130" s="933"/>
      <c r="AR130" s="933"/>
      <c r="AS130" s="933"/>
      <c r="AT130" s="933"/>
      <c r="AU130" s="933"/>
      <c r="AV130" s="933"/>
      <c r="AW130" s="933"/>
      <c r="AX130" s="933"/>
      <c r="AY130" s="933"/>
      <c r="AZ130" s="933"/>
      <c r="BA130" s="933"/>
      <c r="BB130" s="933"/>
      <c r="BC130" s="933"/>
      <c r="BD130" s="933"/>
      <c r="BE130" s="933"/>
      <c r="BF130" s="933"/>
      <c r="BG130" s="933"/>
      <c r="BH130" s="933"/>
      <c r="BI130" s="933"/>
      <c r="BJ130" s="933"/>
      <c r="BK130" s="933"/>
      <c r="BL130" s="933"/>
      <c r="BM130" s="933"/>
      <c r="BN130" s="933"/>
      <c r="BO130" s="933"/>
      <c r="BP130" s="933"/>
      <c r="BQ130" s="933"/>
      <c r="BR130" s="933"/>
      <c r="BS130" s="933"/>
      <c r="BT130" s="933"/>
    </row>
    <row r="131" spans="1:72" x14ac:dyDescent="0.25">
      <c r="A131" s="933" t="s">
        <v>513</v>
      </c>
      <c r="B131" s="933"/>
      <c r="C131" s="933"/>
      <c r="D131" s="933"/>
      <c r="E131" s="933"/>
      <c r="F131" s="933"/>
      <c r="G131" s="933"/>
      <c r="H131" s="933"/>
      <c r="I131" s="933"/>
      <c r="J131" s="933"/>
      <c r="K131" s="933"/>
      <c r="L131" s="933"/>
      <c r="M131" s="933"/>
      <c r="N131" s="933"/>
      <c r="O131" s="933"/>
      <c r="P131" s="933"/>
      <c r="Q131" s="933"/>
      <c r="R131" s="933"/>
      <c r="S131" s="933"/>
      <c r="T131" s="933"/>
      <c r="U131" s="933"/>
      <c r="V131" s="933"/>
      <c r="W131" s="933"/>
      <c r="X131" s="933"/>
      <c r="Y131" s="933"/>
      <c r="Z131" s="933"/>
      <c r="AA131" s="933"/>
      <c r="AB131" s="933"/>
      <c r="AC131" s="933"/>
      <c r="AD131" s="933"/>
      <c r="AE131" s="933"/>
      <c r="AF131" s="933"/>
      <c r="AG131" s="933"/>
      <c r="AH131" s="933"/>
      <c r="AI131" s="933"/>
      <c r="AJ131" s="933"/>
      <c r="AK131" s="933"/>
      <c r="AL131" s="933"/>
      <c r="AM131" s="933"/>
      <c r="AN131" s="933"/>
      <c r="AO131" s="933"/>
      <c r="AP131" s="933"/>
      <c r="AQ131" s="933"/>
      <c r="AR131" s="933"/>
      <c r="AS131" s="933"/>
      <c r="AT131" s="933"/>
      <c r="AU131" s="933"/>
      <c r="AV131" s="933"/>
      <c r="AW131" s="933"/>
      <c r="AX131" s="933"/>
      <c r="AY131" s="933"/>
      <c r="AZ131" s="933"/>
      <c r="BA131" s="933"/>
      <c r="BB131" s="933"/>
      <c r="BC131" s="933"/>
      <c r="BD131" s="933"/>
      <c r="BE131" s="933"/>
      <c r="BF131" s="933"/>
      <c r="BG131" s="933"/>
      <c r="BH131" s="933"/>
      <c r="BI131" s="933"/>
      <c r="BJ131" s="933"/>
      <c r="BK131" s="933"/>
      <c r="BL131" s="933"/>
      <c r="BM131" s="933"/>
      <c r="BN131" s="933"/>
      <c r="BO131" s="933"/>
      <c r="BP131" s="933"/>
      <c r="BQ131" s="933"/>
      <c r="BR131" s="933"/>
      <c r="BS131" s="933"/>
      <c r="BT131" s="933"/>
    </row>
    <row r="132" spans="1:72" x14ac:dyDescent="0.25">
      <c r="A132" s="933" t="s">
        <v>789</v>
      </c>
      <c r="B132" s="933"/>
      <c r="C132" s="933"/>
      <c r="D132" s="933"/>
      <c r="E132" s="933"/>
      <c r="F132" s="933"/>
      <c r="G132" s="933"/>
      <c r="H132" s="933"/>
      <c r="I132" s="933"/>
      <c r="J132" s="933"/>
      <c r="K132" s="933"/>
      <c r="L132" s="933"/>
      <c r="M132" s="933"/>
      <c r="N132" s="933"/>
      <c r="O132" s="933"/>
      <c r="P132" s="933"/>
      <c r="Q132" s="933"/>
      <c r="R132" s="933"/>
      <c r="S132" s="933"/>
      <c r="T132" s="933"/>
      <c r="U132" s="933"/>
      <c r="V132" s="933"/>
      <c r="W132" s="933"/>
      <c r="X132" s="933"/>
      <c r="Y132" s="933"/>
      <c r="Z132" s="933"/>
      <c r="AA132" s="933"/>
      <c r="AB132" s="933"/>
      <c r="AC132" s="933"/>
      <c r="AD132" s="933"/>
      <c r="AE132" s="933"/>
      <c r="AF132" s="933"/>
      <c r="AG132" s="933"/>
      <c r="AH132" s="933"/>
      <c r="AI132" s="933"/>
      <c r="AJ132" s="933"/>
      <c r="AK132" s="933"/>
      <c r="AL132" s="933"/>
      <c r="AM132" s="933"/>
      <c r="AN132" s="933"/>
      <c r="AO132" s="933"/>
      <c r="AP132" s="933"/>
      <c r="AQ132" s="933"/>
      <c r="AR132" s="933"/>
      <c r="AS132" s="933"/>
      <c r="AT132" s="933"/>
      <c r="AU132" s="933"/>
      <c r="AV132" s="933"/>
      <c r="AW132" s="933"/>
      <c r="AX132" s="933"/>
      <c r="AY132" s="933"/>
      <c r="AZ132" s="933"/>
      <c r="BA132" s="933"/>
      <c r="BB132" s="933"/>
      <c r="BC132" s="933"/>
      <c r="BD132" s="933"/>
      <c r="BE132" s="933"/>
      <c r="BF132" s="933"/>
      <c r="BG132" s="933"/>
      <c r="BH132" s="933"/>
      <c r="BI132" s="933"/>
      <c r="BJ132" s="933"/>
      <c r="BK132" s="933"/>
      <c r="BL132" s="933"/>
      <c r="BM132" s="933"/>
      <c r="BN132" s="933"/>
      <c r="BO132" s="933"/>
      <c r="BP132" s="933"/>
      <c r="BQ132" s="933"/>
      <c r="BR132" s="933"/>
      <c r="BS132" s="933"/>
      <c r="BT132" s="933"/>
    </row>
    <row r="133" spans="1:72" x14ac:dyDescent="0.25">
      <c r="A133" s="933" t="s">
        <v>473</v>
      </c>
      <c r="B133" s="933">
        <v>241.67</v>
      </c>
      <c r="C133" s="933">
        <v>254.66</v>
      </c>
      <c r="D133" s="933">
        <v>231.65</v>
      </c>
      <c r="E133" s="933">
        <v>223.76</v>
      </c>
      <c r="F133" s="933">
        <v>222.61</v>
      </c>
      <c r="G133" s="933">
        <v>230.62</v>
      </c>
      <c r="H133" s="933">
        <v>228.9</v>
      </c>
      <c r="I133" s="933">
        <v>229.4</v>
      </c>
      <c r="J133" s="933">
        <v>230.89</v>
      </c>
      <c r="K133" s="933">
        <v>234.53</v>
      </c>
      <c r="L133" s="933">
        <v>236.76</v>
      </c>
      <c r="M133" s="933">
        <v>239.14</v>
      </c>
      <c r="N133" s="933">
        <v>241.36</v>
      </c>
      <c r="O133" s="933">
        <v>245.14</v>
      </c>
      <c r="P133" s="933">
        <v>247.96</v>
      </c>
      <c r="Q133" s="933">
        <v>251.14</v>
      </c>
      <c r="R133" s="933">
        <v>253.92</v>
      </c>
      <c r="S133" s="933">
        <v>256.67</v>
      </c>
      <c r="T133" s="933">
        <v>258.7</v>
      </c>
      <c r="U133" s="933">
        <v>262.54000000000002</v>
      </c>
      <c r="V133" s="933">
        <v>266.58999999999997</v>
      </c>
      <c r="W133" s="933">
        <v>271.26</v>
      </c>
      <c r="X133" s="933">
        <v>275.8</v>
      </c>
      <c r="Y133" s="933">
        <v>280.39999999999998</v>
      </c>
      <c r="Z133" s="933">
        <v>285.83</v>
      </c>
      <c r="AA133" s="933">
        <v>290.58999999999997</v>
      </c>
      <c r="AB133" s="933">
        <v>292.89999999999998</v>
      </c>
      <c r="AC133" s="933">
        <v>297.16000000000003</v>
      </c>
      <c r="AD133" s="933">
        <v>301.11</v>
      </c>
      <c r="AE133" s="972">
        <v>6.0000000000000001E-3</v>
      </c>
      <c r="AF133" s="933"/>
      <c r="AG133" s="933"/>
      <c r="AH133" s="933"/>
      <c r="AI133" s="933"/>
      <c r="AJ133" s="933"/>
      <c r="AK133" s="933"/>
      <c r="AL133" s="933"/>
      <c r="AM133" s="933"/>
      <c r="AN133" s="933"/>
      <c r="AO133" s="933"/>
      <c r="AP133" s="933"/>
      <c r="AQ133" s="933"/>
      <c r="AR133" s="933"/>
      <c r="AS133" s="933"/>
      <c r="AT133" s="933"/>
      <c r="AU133" s="933"/>
      <c r="AV133" s="933"/>
      <c r="AW133" s="933"/>
      <c r="AX133" s="933"/>
      <c r="AY133" s="933"/>
      <c r="AZ133" s="933"/>
      <c r="BA133" s="933"/>
      <c r="BB133" s="933"/>
      <c r="BC133" s="933"/>
      <c r="BD133" s="933"/>
      <c r="BE133" s="933"/>
      <c r="BF133" s="933"/>
      <c r="BG133" s="933"/>
      <c r="BH133" s="933"/>
      <c r="BI133" s="933"/>
      <c r="BJ133" s="933"/>
      <c r="BK133" s="933"/>
      <c r="BL133" s="933"/>
      <c r="BM133" s="933"/>
      <c r="BN133" s="933"/>
      <c r="BO133" s="933"/>
      <c r="BP133" s="933"/>
      <c r="BQ133" s="933"/>
      <c r="BR133" s="933"/>
      <c r="BS133" s="933"/>
      <c r="BT133" s="933"/>
    </row>
    <row r="134" spans="1:72" x14ac:dyDescent="0.25">
      <c r="A134" s="933" t="s">
        <v>480</v>
      </c>
      <c r="B134" s="933">
        <v>176.61</v>
      </c>
      <c r="C134" s="933">
        <v>191.19</v>
      </c>
      <c r="D134" s="933">
        <v>168.7</v>
      </c>
      <c r="E134" s="933">
        <v>163.43</v>
      </c>
      <c r="F134" s="933">
        <v>163.69</v>
      </c>
      <c r="G134" s="933">
        <v>172.64</v>
      </c>
      <c r="H134" s="933">
        <v>173.85</v>
      </c>
      <c r="I134" s="933">
        <v>174.18</v>
      </c>
      <c r="J134" s="933">
        <v>176.9</v>
      </c>
      <c r="K134" s="933">
        <v>180.82</v>
      </c>
      <c r="L134" s="933">
        <v>184.11</v>
      </c>
      <c r="M134" s="933">
        <v>186.86</v>
      </c>
      <c r="N134" s="933">
        <v>189.36</v>
      </c>
      <c r="O134" s="933">
        <v>193.15</v>
      </c>
      <c r="P134" s="933">
        <v>196.83</v>
      </c>
      <c r="Q134" s="933">
        <v>200.4</v>
      </c>
      <c r="R134" s="933">
        <v>204.1</v>
      </c>
      <c r="S134" s="933">
        <v>207.27</v>
      </c>
      <c r="T134" s="933">
        <v>210.07</v>
      </c>
      <c r="U134" s="933">
        <v>214.23</v>
      </c>
      <c r="V134" s="933">
        <v>218.63</v>
      </c>
      <c r="W134" s="933">
        <v>223.34</v>
      </c>
      <c r="X134" s="933">
        <v>229.36</v>
      </c>
      <c r="Y134" s="933">
        <v>234.79</v>
      </c>
      <c r="Z134" s="933">
        <v>240.94</v>
      </c>
      <c r="AA134" s="933">
        <v>246.37</v>
      </c>
      <c r="AB134" s="933">
        <v>250.61</v>
      </c>
      <c r="AC134" s="933">
        <v>256.01</v>
      </c>
      <c r="AD134" s="933">
        <v>261.07</v>
      </c>
      <c r="AE134" s="972">
        <v>1.2E-2</v>
      </c>
      <c r="AF134" s="933"/>
      <c r="AG134" s="933"/>
      <c r="AH134" s="933"/>
      <c r="AI134" s="933"/>
      <c r="AJ134" s="933"/>
      <c r="AK134" s="933"/>
      <c r="AL134" s="933"/>
      <c r="AM134" s="933"/>
      <c r="AN134" s="933"/>
      <c r="AO134" s="933"/>
      <c r="AP134" s="933"/>
      <c r="AQ134" s="933"/>
      <c r="AR134" s="933"/>
      <c r="AS134" s="933"/>
      <c r="AT134" s="933"/>
      <c r="AU134" s="933"/>
      <c r="AV134" s="933"/>
      <c r="AW134" s="933"/>
      <c r="AX134" s="933"/>
      <c r="AY134" s="933"/>
      <c r="AZ134" s="933"/>
      <c r="BA134" s="933"/>
      <c r="BB134" s="933"/>
      <c r="BC134" s="933"/>
      <c r="BD134" s="933"/>
      <c r="BE134" s="933"/>
      <c r="BF134" s="933"/>
      <c r="BG134" s="933"/>
      <c r="BH134" s="933"/>
      <c r="BI134" s="933"/>
      <c r="BJ134" s="933"/>
      <c r="BK134" s="933"/>
      <c r="BL134" s="933"/>
      <c r="BM134" s="933"/>
      <c r="BN134" s="933"/>
      <c r="BO134" s="933"/>
      <c r="BP134" s="933"/>
      <c r="BQ134" s="933"/>
      <c r="BR134" s="933"/>
      <c r="BS134" s="933"/>
      <c r="BT134" s="933"/>
    </row>
    <row r="135" spans="1:72" x14ac:dyDescent="0.25">
      <c r="A135" s="933" t="s">
        <v>515</v>
      </c>
      <c r="B135" s="933">
        <v>219.69</v>
      </c>
      <c r="C135" s="933">
        <v>244.81</v>
      </c>
      <c r="D135" s="933">
        <v>175.42</v>
      </c>
      <c r="E135" s="933">
        <v>163.24</v>
      </c>
      <c r="F135" s="933">
        <v>173.51</v>
      </c>
      <c r="G135" s="933">
        <v>191.66</v>
      </c>
      <c r="H135" s="933">
        <v>201.52</v>
      </c>
      <c r="I135" s="933">
        <v>207.49</v>
      </c>
      <c r="J135" s="933">
        <v>213.14</v>
      </c>
      <c r="K135" s="933">
        <v>218.86</v>
      </c>
      <c r="L135" s="933">
        <v>223.15</v>
      </c>
      <c r="M135" s="933">
        <v>228.05</v>
      </c>
      <c r="N135" s="933">
        <v>231.33</v>
      </c>
      <c r="O135" s="933">
        <v>234.86</v>
      </c>
      <c r="P135" s="933">
        <v>236.42</v>
      </c>
      <c r="Q135" s="933">
        <v>237.67</v>
      </c>
      <c r="R135" s="933">
        <v>239.07</v>
      </c>
      <c r="S135" s="933">
        <v>240.3</v>
      </c>
      <c r="T135" s="933">
        <v>241.75</v>
      </c>
      <c r="U135" s="933">
        <v>242.96</v>
      </c>
      <c r="V135" s="933">
        <v>245.17</v>
      </c>
      <c r="W135" s="933">
        <v>247.67</v>
      </c>
      <c r="X135" s="933">
        <v>250.95</v>
      </c>
      <c r="Y135" s="933">
        <v>253.51</v>
      </c>
      <c r="Z135" s="933">
        <v>257.7</v>
      </c>
      <c r="AA135" s="933">
        <v>259.55</v>
      </c>
      <c r="AB135" s="933">
        <v>261.58</v>
      </c>
      <c r="AC135" s="933">
        <v>265.05</v>
      </c>
      <c r="AD135" s="933">
        <v>267.18</v>
      </c>
      <c r="AE135" s="972">
        <v>3.0000000000000001E-3</v>
      </c>
      <c r="AF135" s="933"/>
      <c r="AG135" s="933"/>
      <c r="AH135" s="933"/>
      <c r="AI135" s="933"/>
      <c r="AJ135" s="933"/>
      <c r="AK135" s="933"/>
      <c r="AL135" s="933"/>
      <c r="AM135" s="933"/>
      <c r="AN135" s="933"/>
      <c r="AO135" s="933"/>
      <c r="AP135" s="933"/>
      <c r="AQ135" s="933"/>
      <c r="AR135" s="933"/>
      <c r="AS135" s="933"/>
      <c r="AT135" s="933"/>
      <c r="AU135" s="933"/>
      <c r="AV135" s="933"/>
      <c r="AW135" s="933"/>
      <c r="AX135" s="933"/>
      <c r="AY135" s="933"/>
      <c r="AZ135" s="933"/>
      <c r="BA135" s="933"/>
      <c r="BB135" s="933"/>
      <c r="BC135" s="933"/>
      <c r="BD135" s="933"/>
      <c r="BE135" s="933"/>
      <c r="BF135" s="933"/>
      <c r="BG135" s="933"/>
      <c r="BH135" s="933"/>
      <c r="BI135" s="933"/>
      <c r="BJ135" s="933"/>
      <c r="BK135" s="933"/>
      <c r="BL135" s="933"/>
      <c r="BM135" s="933"/>
      <c r="BN135" s="933"/>
      <c r="BO135" s="933"/>
      <c r="BP135" s="933"/>
      <c r="BQ135" s="933"/>
      <c r="BR135" s="933"/>
      <c r="BS135" s="933"/>
      <c r="BT135" s="933"/>
    </row>
    <row r="136" spans="1:72" x14ac:dyDescent="0.25">
      <c r="A136" s="933" t="s">
        <v>487</v>
      </c>
      <c r="B136" s="933">
        <v>613.37</v>
      </c>
      <c r="C136" s="933">
        <v>705.86</v>
      </c>
      <c r="D136" s="933">
        <v>465.68</v>
      </c>
      <c r="E136" s="933">
        <v>508.22</v>
      </c>
      <c r="F136" s="933">
        <v>528.5</v>
      </c>
      <c r="G136" s="933">
        <v>567.33000000000004</v>
      </c>
      <c r="H136" s="933">
        <v>615.79</v>
      </c>
      <c r="I136" s="933">
        <v>640.91999999999996</v>
      </c>
      <c r="J136" s="933">
        <v>655.77</v>
      </c>
      <c r="K136" s="933">
        <v>671.91</v>
      </c>
      <c r="L136" s="933">
        <v>690.32</v>
      </c>
      <c r="M136" s="933">
        <v>704.34</v>
      </c>
      <c r="N136" s="933">
        <v>717.08</v>
      </c>
      <c r="O136" s="933">
        <v>729.77</v>
      </c>
      <c r="P136" s="933">
        <v>737.71</v>
      </c>
      <c r="Q136" s="933">
        <v>743.52</v>
      </c>
      <c r="R136" s="933">
        <v>757.24</v>
      </c>
      <c r="S136" s="933">
        <v>767.89</v>
      </c>
      <c r="T136" s="933">
        <v>782.71</v>
      </c>
      <c r="U136" s="933">
        <v>795.25</v>
      </c>
      <c r="V136" s="933">
        <v>808.06</v>
      </c>
      <c r="W136" s="933">
        <v>822.03</v>
      </c>
      <c r="X136" s="933">
        <v>834.45</v>
      </c>
      <c r="Y136" s="933">
        <v>846.64</v>
      </c>
      <c r="Z136" s="933">
        <v>856.24</v>
      </c>
      <c r="AA136" s="933">
        <v>869.12</v>
      </c>
      <c r="AB136" s="933">
        <v>883.55</v>
      </c>
      <c r="AC136" s="933">
        <v>894.05</v>
      </c>
      <c r="AD136" s="933">
        <v>908.01</v>
      </c>
      <c r="AE136" s="972">
        <v>8.9999999999999993E-3</v>
      </c>
      <c r="AF136" s="933"/>
      <c r="AG136" s="933"/>
      <c r="AH136" s="933"/>
      <c r="AI136" s="933"/>
      <c r="AJ136" s="933"/>
      <c r="AK136" s="933"/>
      <c r="AL136" s="933"/>
      <c r="AM136" s="933"/>
      <c r="AN136" s="933"/>
      <c r="AO136" s="933"/>
      <c r="AP136" s="933"/>
      <c r="AQ136" s="933"/>
      <c r="AR136" s="933"/>
      <c r="AS136" s="933"/>
      <c r="AT136" s="933"/>
      <c r="AU136" s="933"/>
      <c r="AV136" s="933"/>
      <c r="AW136" s="933"/>
      <c r="AX136" s="933"/>
      <c r="AY136" s="933"/>
      <c r="AZ136" s="933"/>
      <c r="BA136" s="933"/>
      <c r="BB136" s="933"/>
      <c r="BC136" s="933"/>
      <c r="BD136" s="933"/>
      <c r="BE136" s="933"/>
      <c r="BF136" s="933"/>
      <c r="BG136" s="933"/>
      <c r="BH136" s="933"/>
      <c r="BI136" s="933"/>
      <c r="BJ136" s="933"/>
      <c r="BK136" s="933"/>
      <c r="BL136" s="933"/>
      <c r="BM136" s="933"/>
      <c r="BN136" s="933"/>
      <c r="BO136" s="933"/>
      <c r="BP136" s="933"/>
      <c r="BQ136" s="933"/>
      <c r="BR136" s="933"/>
      <c r="BS136" s="933"/>
      <c r="BT136" s="933"/>
    </row>
    <row r="137" spans="1:72" x14ac:dyDescent="0.25">
      <c r="A137" s="933" t="s">
        <v>516</v>
      </c>
      <c r="B137" s="933">
        <v>1251.3499999999999</v>
      </c>
      <c r="C137" s="933">
        <v>1396.52</v>
      </c>
      <c r="D137" s="933">
        <v>1041.45</v>
      </c>
      <c r="E137" s="933">
        <v>1058.6500000000001</v>
      </c>
      <c r="F137" s="933">
        <v>1088.31</v>
      </c>
      <c r="G137" s="933">
        <v>1162.25</v>
      </c>
      <c r="H137" s="933">
        <v>1220.05</v>
      </c>
      <c r="I137" s="933">
        <v>1251.99</v>
      </c>
      <c r="J137" s="933">
        <v>1276.69</v>
      </c>
      <c r="K137" s="933">
        <v>1306.1199999999999</v>
      </c>
      <c r="L137" s="933">
        <v>1334.33</v>
      </c>
      <c r="M137" s="933">
        <v>1358.39</v>
      </c>
      <c r="N137" s="933">
        <v>1379.14</v>
      </c>
      <c r="O137" s="933">
        <v>1402.91</v>
      </c>
      <c r="P137" s="933">
        <v>1418.92</v>
      </c>
      <c r="Q137" s="933">
        <v>1432.73</v>
      </c>
      <c r="R137" s="933">
        <v>1454.32</v>
      </c>
      <c r="S137" s="933">
        <v>1472.13</v>
      </c>
      <c r="T137" s="933">
        <v>1493.23</v>
      </c>
      <c r="U137" s="933">
        <v>1514.98</v>
      </c>
      <c r="V137" s="933">
        <v>1538.45</v>
      </c>
      <c r="W137" s="933">
        <v>1564.3</v>
      </c>
      <c r="X137" s="933">
        <v>1590.55</v>
      </c>
      <c r="Y137" s="933">
        <v>1615.34</v>
      </c>
      <c r="Z137" s="933">
        <v>1640.71</v>
      </c>
      <c r="AA137" s="933">
        <v>1665.62</v>
      </c>
      <c r="AB137" s="933">
        <v>1688.65</v>
      </c>
      <c r="AC137" s="933">
        <v>1712.28</v>
      </c>
      <c r="AD137" s="933">
        <v>1737.37</v>
      </c>
      <c r="AE137" s="972">
        <v>8.0000000000000002E-3</v>
      </c>
      <c r="AF137" s="933"/>
      <c r="AG137" s="933"/>
      <c r="AH137" s="933"/>
      <c r="AI137" s="933"/>
      <c r="AJ137" s="933"/>
      <c r="AK137" s="933"/>
      <c r="AL137" s="933"/>
      <c r="AM137" s="933"/>
      <c r="AN137" s="933"/>
      <c r="AO137" s="933"/>
      <c r="AP137" s="933"/>
      <c r="AQ137" s="933"/>
      <c r="AR137" s="933"/>
      <c r="AS137" s="933"/>
      <c r="AT137" s="933"/>
      <c r="AU137" s="933"/>
      <c r="AV137" s="933"/>
      <c r="AW137" s="933"/>
      <c r="AX137" s="933"/>
      <c r="AY137" s="933"/>
      <c r="AZ137" s="933"/>
      <c r="BA137" s="933"/>
      <c r="BB137" s="933"/>
      <c r="BC137" s="933"/>
      <c r="BD137" s="933"/>
      <c r="BE137" s="933"/>
      <c r="BF137" s="933"/>
      <c r="BG137" s="933"/>
      <c r="BH137" s="933"/>
      <c r="BI137" s="933"/>
      <c r="BJ137" s="933"/>
      <c r="BK137" s="933"/>
      <c r="BL137" s="933"/>
      <c r="BM137" s="933"/>
      <c r="BN137" s="933"/>
      <c r="BO137" s="933"/>
      <c r="BP137" s="933"/>
      <c r="BQ137" s="933"/>
      <c r="BR137" s="933"/>
      <c r="BS137" s="933"/>
      <c r="BT137" s="933"/>
    </row>
    <row r="138" spans="1:72" x14ac:dyDescent="0.25">
      <c r="A138" s="933" t="s">
        <v>629</v>
      </c>
      <c r="B138" s="933">
        <v>0.05</v>
      </c>
      <c r="C138" s="933">
        <v>0.17</v>
      </c>
      <c r="D138" s="933">
        <v>0.04</v>
      </c>
      <c r="E138" s="933">
        <v>0.09</v>
      </c>
      <c r="F138" s="933">
        <v>0.11</v>
      </c>
      <c r="G138" s="933">
        <v>0.13</v>
      </c>
      <c r="H138" s="933">
        <v>0.15</v>
      </c>
      <c r="I138" s="933">
        <v>0.17</v>
      </c>
      <c r="J138" s="933">
        <v>0.21</v>
      </c>
      <c r="K138" s="933">
        <v>2.34</v>
      </c>
      <c r="L138" s="933">
        <v>3.15</v>
      </c>
      <c r="M138" s="933">
        <v>4</v>
      </c>
      <c r="N138" s="933">
        <v>5.31</v>
      </c>
      <c r="O138" s="933">
        <v>7.12</v>
      </c>
      <c r="P138" s="933">
        <v>9.59</v>
      </c>
      <c r="Q138" s="933">
        <v>17.39</v>
      </c>
      <c r="R138" s="933">
        <v>15.56</v>
      </c>
      <c r="S138" s="933">
        <v>14.53</v>
      </c>
      <c r="T138" s="933">
        <v>15.06</v>
      </c>
      <c r="U138" s="933">
        <v>16.98</v>
      </c>
      <c r="V138" s="933">
        <v>18.95</v>
      </c>
      <c r="W138" s="933">
        <v>20.57</v>
      </c>
      <c r="X138" s="933">
        <v>23.66</v>
      </c>
      <c r="Y138" s="933">
        <v>25.05</v>
      </c>
      <c r="Z138" s="933">
        <v>31.91</v>
      </c>
      <c r="AA138" s="933">
        <v>36.74</v>
      </c>
      <c r="AB138" s="933">
        <v>40.74</v>
      </c>
      <c r="AC138" s="933">
        <v>48.35</v>
      </c>
      <c r="AD138" s="933">
        <v>56.42</v>
      </c>
      <c r="AE138" s="972">
        <v>0.24099999999999999</v>
      </c>
      <c r="AF138" s="933"/>
      <c r="AG138" s="933"/>
      <c r="AH138" s="933"/>
      <c r="AI138" s="933"/>
      <c r="AJ138" s="933"/>
      <c r="AK138" s="933"/>
      <c r="AL138" s="933"/>
      <c r="AM138" s="933"/>
      <c r="AN138" s="933"/>
      <c r="AO138" s="933"/>
      <c r="AP138" s="933"/>
      <c r="AQ138" s="933"/>
      <c r="AR138" s="933"/>
      <c r="AS138" s="933"/>
      <c r="AT138" s="933"/>
      <c r="AU138" s="933"/>
      <c r="AV138" s="933"/>
      <c r="AW138" s="933"/>
      <c r="AX138" s="933"/>
      <c r="AY138" s="933"/>
      <c r="AZ138" s="933"/>
      <c r="BA138" s="933"/>
      <c r="BB138" s="933"/>
      <c r="BC138" s="933"/>
      <c r="BD138" s="933"/>
      <c r="BE138" s="933"/>
      <c r="BF138" s="933"/>
      <c r="BG138" s="933"/>
      <c r="BH138" s="933"/>
      <c r="BI138" s="933"/>
      <c r="BJ138" s="933"/>
      <c r="BK138" s="933"/>
      <c r="BL138" s="933"/>
      <c r="BM138" s="933"/>
      <c r="BN138" s="933"/>
      <c r="BO138" s="933"/>
      <c r="BP138" s="933"/>
      <c r="BQ138" s="933"/>
      <c r="BR138" s="933"/>
      <c r="BS138" s="933"/>
      <c r="BT138" s="933"/>
    </row>
    <row r="139" spans="1:72" x14ac:dyDescent="0.25">
      <c r="A139" s="933" t="s">
        <v>518</v>
      </c>
      <c r="B139" s="933">
        <v>1251.3900000000001</v>
      </c>
      <c r="C139" s="933">
        <v>1396.69</v>
      </c>
      <c r="D139" s="933">
        <v>1041.49</v>
      </c>
      <c r="E139" s="933">
        <v>1058.74</v>
      </c>
      <c r="F139" s="933">
        <v>1088.42</v>
      </c>
      <c r="G139" s="933">
        <v>1162.3699999999999</v>
      </c>
      <c r="H139" s="933">
        <v>1220.2</v>
      </c>
      <c r="I139" s="933">
        <v>1252.1600000000001</v>
      </c>
      <c r="J139" s="933">
        <v>1276.9000000000001</v>
      </c>
      <c r="K139" s="933">
        <v>1308.46</v>
      </c>
      <c r="L139" s="933">
        <v>1337.48</v>
      </c>
      <c r="M139" s="933">
        <v>1362.4</v>
      </c>
      <c r="N139" s="933">
        <v>1384.44</v>
      </c>
      <c r="O139" s="933">
        <v>1410.03</v>
      </c>
      <c r="P139" s="933">
        <v>1428.51</v>
      </c>
      <c r="Q139" s="933">
        <v>1450.12</v>
      </c>
      <c r="R139" s="933">
        <v>1469.88</v>
      </c>
      <c r="S139" s="933">
        <v>1486.66</v>
      </c>
      <c r="T139" s="933">
        <v>1508.29</v>
      </c>
      <c r="U139" s="933">
        <v>1531.96</v>
      </c>
      <c r="V139" s="933">
        <v>1557.41</v>
      </c>
      <c r="W139" s="933">
        <v>1584.86</v>
      </c>
      <c r="X139" s="933">
        <v>1614.21</v>
      </c>
      <c r="Y139" s="933">
        <v>1640.39</v>
      </c>
      <c r="Z139" s="933">
        <v>1672.62</v>
      </c>
      <c r="AA139" s="933">
        <v>1702.37</v>
      </c>
      <c r="AB139" s="933">
        <v>1729.39</v>
      </c>
      <c r="AC139" s="933">
        <v>1760.62</v>
      </c>
      <c r="AD139" s="933">
        <v>1793.79</v>
      </c>
      <c r="AE139" s="972">
        <v>8.9999999999999993E-3</v>
      </c>
      <c r="AF139" s="933"/>
      <c r="AG139" s="933"/>
      <c r="AH139" s="933"/>
      <c r="AI139" s="933"/>
      <c r="AJ139" s="933"/>
      <c r="AK139" s="933"/>
      <c r="AL139" s="933"/>
      <c r="AM139" s="933"/>
      <c r="AN139" s="933"/>
      <c r="AO139" s="933"/>
      <c r="AP139" s="933"/>
      <c r="AQ139" s="933"/>
      <c r="AR139" s="933"/>
      <c r="AS139" s="933"/>
      <c r="AT139" s="933"/>
      <c r="AU139" s="933"/>
      <c r="AV139" s="933"/>
      <c r="AW139" s="933"/>
      <c r="AX139" s="933"/>
      <c r="AY139" s="933"/>
      <c r="AZ139" s="933"/>
      <c r="BA139" s="933"/>
      <c r="BB139" s="933"/>
      <c r="BC139" s="933"/>
      <c r="BD139" s="933"/>
      <c r="BE139" s="933"/>
      <c r="BF139" s="933"/>
      <c r="BG139" s="933"/>
      <c r="BH139" s="933"/>
      <c r="BI139" s="933"/>
      <c r="BJ139" s="933"/>
      <c r="BK139" s="933"/>
      <c r="BL139" s="933"/>
      <c r="BM139" s="933"/>
      <c r="BN139" s="933"/>
      <c r="BO139" s="933"/>
      <c r="BP139" s="933"/>
      <c r="BQ139" s="933"/>
      <c r="BR139" s="933"/>
      <c r="BS139" s="933"/>
      <c r="BT139" s="933"/>
    </row>
    <row r="140" spans="1:72" x14ac:dyDescent="0.25">
      <c r="A140" s="933"/>
      <c r="B140" s="933"/>
      <c r="C140" s="933"/>
      <c r="D140" s="933"/>
      <c r="E140" s="933"/>
      <c r="F140" s="933"/>
      <c r="G140" s="933"/>
      <c r="H140" s="933"/>
      <c r="I140" s="933"/>
      <c r="J140" s="933"/>
      <c r="K140" s="933"/>
      <c r="L140" s="933"/>
      <c r="M140" s="933"/>
      <c r="N140" s="933"/>
      <c r="O140" s="933"/>
      <c r="P140" s="933"/>
      <c r="Q140" s="933"/>
      <c r="R140" s="933"/>
      <c r="S140" s="933"/>
      <c r="T140" s="933"/>
      <c r="U140" s="933"/>
      <c r="V140" s="933"/>
      <c r="W140" s="933"/>
      <c r="X140" s="933"/>
      <c r="Y140" s="933"/>
      <c r="Z140" s="933"/>
      <c r="AA140" s="933"/>
      <c r="AB140" s="933"/>
      <c r="AC140" s="933"/>
      <c r="AD140" s="933"/>
      <c r="AE140" s="933"/>
      <c r="AF140" s="933"/>
      <c r="AG140" s="933"/>
      <c r="AH140" s="933"/>
      <c r="AI140" s="933"/>
      <c r="AJ140" s="933"/>
      <c r="AK140" s="933"/>
      <c r="AL140" s="933"/>
      <c r="AM140" s="933"/>
      <c r="AN140" s="933"/>
      <c r="AO140" s="933"/>
      <c r="AP140" s="933"/>
      <c r="AQ140" s="933"/>
      <c r="AR140" s="933"/>
      <c r="AS140" s="933"/>
      <c r="AT140" s="933"/>
      <c r="AU140" s="933"/>
      <c r="AV140" s="933"/>
      <c r="AW140" s="933"/>
      <c r="AX140" s="933"/>
      <c r="AY140" s="933"/>
      <c r="AZ140" s="933"/>
      <c r="BA140" s="933"/>
      <c r="BB140" s="933"/>
      <c r="BC140" s="933"/>
      <c r="BD140" s="933"/>
      <c r="BE140" s="933"/>
      <c r="BF140" s="933"/>
      <c r="BG140" s="933"/>
      <c r="BH140" s="933"/>
      <c r="BI140" s="933"/>
      <c r="BJ140" s="933"/>
      <c r="BK140" s="933"/>
      <c r="BL140" s="933"/>
      <c r="BM140" s="933"/>
      <c r="BN140" s="933"/>
      <c r="BO140" s="933"/>
      <c r="BP140" s="933"/>
      <c r="BQ140" s="933"/>
      <c r="BR140" s="933"/>
      <c r="BS140" s="933"/>
      <c r="BT140" s="933"/>
    </row>
    <row r="141" spans="1:72" x14ac:dyDescent="0.25">
      <c r="A141" s="933"/>
      <c r="B141" s="933"/>
      <c r="C141" s="933"/>
      <c r="D141" s="933"/>
      <c r="E141" s="933"/>
      <c r="F141" s="933"/>
      <c r="G141" s="933"/>
      <c r="H141" s="933"/>
      <c r="I141" s="933"/>
      <c r="J141" s="933"/>
      <c r="K141" s="933"/>
      <c r="L141" s="933"/>
      <c r="M141" s="933"/>
      <c r="N141" s="933"/>
      <c r="O141" s="933"/>
      <c r="P141" s="933"/>
      <c r="Q141" s="933"/>
      <c r="R141" s="933"/>
      <c r="S141" s="933"/>
      <c r="T141" s="933"/>
      <c r="U141" s="933"/>
      <c r="V141" s="933"/>
      <c r="W141" s="933"/>
      <c r="X141" s="933"/>
      <c r="Y141" s="933"/>
      <c r="Z141" s="933"/>
      <c r="AA141" s="933"/>
      <c r="AB141" s="933"/>
      <c r="AC141" s="933"/>
      <c r="AD141" s="933"/>
      <c r="AE141" s="933"/>
      <c r="AF141" s="933"/>
      <c r="AG141" s="933"/>
      <c r="AH141" s="933"/>
      <c r="AI141" s="933"/>
      <c r="AJ141" s="933"/>
      <c r="AK141" s="933"/>
      <c r="AL141" s="933"/>
      <c r="AM141" s="933"/>
      <c r="AN141" s="933"/>
      <c r="AO141" s="933"/>
      <c r="AP141" s="933"/>
      <c r="AQ141" s="933"/>
      <c r="AR141" s="933"/>
      <c r="AS141" s="933"/>
      <c r="AT141" s="933"/>
      <c r="AU141" s="933"/>
      <c r="AV141" s="933"/>
      <c r="AW141" s="933"/>
      <c r="AX141" s="933"/>
      <c r="AY141" s="933"/>
      <c r="AZ141" s="933"/>
      <c r="BA141" s="933"/>
      <c r="BB141" s="933"/>
      <c r="BC141" s="933"/>
      <c r="BD141" s="933"/>
      <c r="BE141" s="933"/>
      <c r="BF141" s="933"/>
      <c r="BG141" s="933"/>
      <c r="BH141" s="933"/>
      <c r="BI141" s="933"/>
      <c r="BJ141" s="933"/>
      <c r="BK141" s="933"/>
      <c r="BL141" s="933"/>
      <c r="BM141" s="933"/>
      <c r="BN141" s="933"/>
      <c r="BO141" s="933"/>
      <c r="BP141" s="933"/>
      <c r="BQ141" s="933"/>
      <c r="BR141" s="933"/>
      <c r="BS141" s="933"/>
      <c r="BT141" s="933"/>
    </row>
    <row r="142" spans="1:72" x14ac:dyDescent="0.25">
      <c r="A142" s="933" t="s">
        <v>726</v>
      </c>
      <c r="B142" s="933"/>
      <c r="C142" s="933"/>
      <c r="D142" s="933"/>
      <c r="E142" s="933"/>
      <c r="F142" s="933"/>
      <c r="G142" s="933"/>
      <c r="H142" s="933"/>
      <c r="I142" s="933"/>
      <c r="J142" s="933"/>
      <c r="K142" s="933"/>
      <c r="L142" s="933"/>
      <c r="M142" s="933"/>
      <c r="N142" s="933"/>
      <c r="O142" s="933"/>
      <c r="P142" s="933"/>
      <c r="Q142" s="933"/>
      <c r="R142" s="933"/>
      <c r="S142" s="933"/>
      <c r="T142" s="933"/>
      <c r="U142" s="933"/>
      <c r="V142" s="933"/>
      <c r="W142" s="933"/>
      <c r="X142" s="933"/>
      <c r="Y142" s="933"/>
      <c r="Z142" s="933"/>
      <c r="AA142" s="933"/>
      <c r="AB142" s="933"/>
      <c r="AC142" s="933"/>
      <c r="AD142" s="933"/>
      <c r="AE142" s="933"/>
      <c r="AF142" s="933"/>
      <c r="AG142" s="933"/>
      <c r="AH142" s="933"/>
      <c r="AI142" s="933"/>
      <c r="AJ142" s="933"/>
      <c r="AK142" s="933"/>
      <c r="AL142" s="933"/>
      <c r="AM142" s="933"/>
      <c r="AN142" s="933"/>
      <c r="AO142" s="933"/>
      <c r="AP142" s="933"/>
      <c r="AQ142" s="933"/>
      <c r="AR142" s="933"/>
      <c r="AS142" s="933"/>
      <c r="AT142" s="933"/>
      <c r="AU142" s="933"/>
      <c r="AV142" s="933"/>
      <c r="AW142" s="933"/>
      <c r="AX142" s="933"/>
      <c r="AY142" s="933"/>
      <c r="AZ142" s="933"/>
      <c r="BA142" s="933"/>
      <c r="BB142" s="933"/>
      <c r="BC142" s="933"/>
      <c r="BD142" s="933"/>
      <c r="BE142" s="933"/>
      <c r="BF142" s="933"/>
      <c r="BG142" s="933"/>
      <c r="BH142" s="933"/>
      <c r="BI142" s="933"/>
      <c r="BJ142" s="933"/>
      <c r="BK142" s="933"/>
      <c r="BL142" s="933"/>
      <c r="BM142" s="933"/>
      <c r="BN142" s="933"/>
      <c r="BO142" s="933"/>
      <c r="BP142" s="933"/>
      <c r="BQ142" s="933"/>
      <c r="BR142" s="933"/>
      <c r="BS142" s="933"/>
      <c r="BT142" s="933"/>
    </row>
    <row r="143" spans="1:72" x14ac:dyDescent="0.25">
      <c r="A143" s="933" t="s">
        <v>473</v>
      </c>
      <c r="B143" s="933"/>
      <c r="C143" s="933"/>
      <c r="D143" s="933"/>
      <c r="E143" s="933"/>
      <c r="F143" s="933"/>
      <c r="G143" s="933"/>
      <c r="H143" s="933"/>
      <c r="I143" s="933"/>
      <c r="J143" s="933"/>
      <c r="K143" s="933"/>
      <c r="L143" s="933"/>
      <c r="M143" s="933"/>
      <c r="N143" s="933"/>
      <c r="O143" s="933"/>
      <c r="P143" s="933"/>
      <c r="Q143" s="933"/>
      <c r="R143" s="933"/>
      <c r="S143" s="933"/>
      <c r="T143" s="933"/>
      <c r="U143" s="933"/>
      <c r="V143" s="933"/>
      <c r="W143" s="933"/>
      <c r="X143" s="933"/>
      <c r="Y143" s="933"/>
      <c r="Z143" s="933"/>
      <c r="AA143" s="933"/>
      <c r="AB143" s="933"/>
      <c r="AC143" s="933"/>
      <c r="AD143" s="933"/>
      <c r="AE143" s="933"/>
      <c r="AF143" s="933"/>
      <c r="AG143" s="933"/>
      <c r="AH143" s="933"/>
      <c r="AI143" s="933"/>
      <c r="AJ143" s="933"/>
      <c r="AK143" s="933"/>
      <c r="AL143" s="933"/>
      <c r="AM143" s="933"/>
      <c r="AN143" s="933"/>
      <c r="AO143" s="933"/>
      <c r="AP143" s="933"/>
      <c r="AQ143" s="933"/>
      <c r="AR143" s="933"/>
      <c r="AS143" s="933"/>
      <c r="AT143" s="933"/>
      <c r="AU143" s="933"/>
      <c r="AV143" s="933"/>
      <c r="AW143" s="933"/>
      <c r="AX143" s="933"/>
      <c r="AY143" s="933"/>
      <c r="AZ143" s="933"/>
      <c r="BA143" s="933"/>
      <c r="BB143" s="933"/>
      <c r="BC143" s="933"/>
      <c r="BD143" s="933"/>
      <c r="BE143" s="933"/>
      <c r="BF143" s="933"/>
      <c r="BG143" s="933"/>
      <c r="BH143" s="933"/>
      <c r="BI143" s="933"/>
      <c r="BJ143" s="933"/>
      <c r="BK143" s="933"/>
      <c r="BL143" s="933"/>
      <c r="BM143" s="933"/>
      <c r="BN143" s="933"/>
      <c r="BO143" s="933"/>
      <c r="BP143" s="933"/>
      <c r="BQ143" s="933"/>
      <c r="BR143" s="933"/>
      <c r="BS143" s="933"/>
      <c r="BT143" s="933"/>
    </row>
    <row r="144" spans="1:72" x14ac:dyDescent="0.25">
      <c r="A144" s="933" t="s">
        <v>609</v>
      </c>
      <c r="B144" s="933">
        <v>25.67</v>
      </c>
      <c r="C144" s="933">
        <v>29.35</v>
      </c>
      <c r="D144" s="933">
        <v>25.28</v>
      </c>
      <c r="E144" s="933">
        <v>24.73</v>
      </c>
      <c r="F144" s="933">
        <v>25.15</v>
      </c>
      <c r="G144" s="933">
        <v>26.73</v>
      </c>
      <c r="H144" s="933">
        <v>28.51</v>
      </c>
      <c r="I144" s="933">
        <v>30.06</v>
      </c>
      <c r="J144" s="933">
        <v>31.23</v>
      </c>
      <c r="K144" s="933">
        <v>32.520000000000003</v>
      </c>
      <c r="L144" s="933">
        <v>33.75</v>
      </c>
      <c r="M144" s="933">
        <v>35.06</v>
      </c>
      <c r="N144" s="933">
        <v>36.020000000000003</v>
      </c>
      <c r="O144" s="933">
        <v>37.020000000000003</v>
      </c>
      <c r="P144" s="933">
        <v>38.1</v>
      </c>
      <c r="Q144" s="933">
        <v>39.200000000000003</v>
      </c>
      <c r="R144" s="933">
        <v>40.409999999999997</v>
      </c>
      <c r="S144" s="933">
        <v>41.61</v>
      </c>
      <c r="T144" s="933">
        <v>42.82</v>
      </c>
      <c r="U144" s="933">
        <v>43.92</v>
      </c>
      <c r="V144" s="933">
        <v>45.24</v>
      </c>
      <c r="W144" s="933">
        <v>46.58</v>
      </c>
      <c r="X144" s="933">
        <v>48.12</v>
      </c>
      <c r="Y144" s="933">
        <v>49.52</v>
      </c>
      <c r="Z144" s="933">
        <v>51.18</v>
      </c>
      <c r="AA144" s="933">
        <v>52.85</v>
      </c>
      <c r="AB144" s="933">
        <v>54.62</v>
      </c>
      <c r="AC144" s="933">
        <v>56.39</v>
      </c>
      <c r="AD144" s="933">
        <v>58.23</v>
      </c>
      <c r="AE144" s="972">
        <v>2.5999999999999999E-2</v>
      </c>
      <c r="AF144" s="933"/>
      <c r="AG144" s="933"/>
      <c r="AH144" s="933"/>
      <c r="AI144" s="933"/>
      <c r="AJ144" s="933"/>
      <c r="AK144" s="933"/>
      <c r="AL144" s="933"/>
      <c r="AM144" s="933"/>
      <c r="AN144" s="933"/>
      <c r="AO144" s="933"/>
      <c r="AP144" s="933"/>
      <c r="AQ144" s="933"/>
      <c r="AR144" s="933"/>
      <c r="AS144" s="933"/>
      <c r="AT144" s="933"/>
      <c r="AU144" s="933"/>
      <c r="AV144" s="933"/>
      <c r="AW144" s="933"/>
      <c r="AX144" s="933"/>
      <c r="AY144" s="933"/>
      <c r="AZ144" s="933"/>
      <c r="BA144" s="933"/>
      <c r="BB144" s="933"/>
      <c r="BC144" s="933"/>
      <c r="BD144" s="933"/>
      <c r="BE144" s="933"/>
      <c r="BF144" s="933"/>
      <c r="BG144" s="933"/>
      <c r="BH144" s="933"/>
      <c r="BI144" s="933"/>
      <c r="BJ144" s="933"/>
      <c r="BK144" s="933"/>
      <c r="BL144" s="933"/>
      <c r="BM144" s="933"/>
      <c r="BN144" s="933"/>
      <c r="BO144" s="933"/>
      <c r="BP144" s="933"/>
      <c r="BQ144" s="933"/>
      <c r="BR144" s="933"/>
      <c r="BS144" s="933"/>
      <c r="BT144" s="933"/>
    </row>
    <row r="145" spans="1:72" x14ac:dyDescent="0.25">
      <c r="A145" s="933" t="s">
        <v>610</v>
      </c>
      <c r="B145" s="933">
        <v>19.86</v>
      </c>
      <c r="C145" s="933">
        <v>24.47</v>
      </c>
      <c r="D145" s="933">
        <v>18.260000000000002</v>
      </c>
      <c r="E145" s="933">
        <v>18.100000000000001</v>
      </c>
      <c r="F145" s="933">
        <v>18.489999999999998</v>
      </c>
      <c r="G145" s="933">
        <v>19.940000000000001</v>
      </c>
      <c r="H145" s="933">
        <v>21.4</v>
      </c>
      <c r="I145" s="933">
        <v>22.55</v>
      </c>
      <c r="J145" s="933">
        <v>23.49</v>
      </c>
      <c r="K145" s="933">
        <v>24.96</v>
      </c>
      <c r="L145" s="933">
        <v>26.17</v>
      </c>
      <c r="M145" s="933">
        <v>27.44</v>
      </c>
      <c r="N145" s="933">
        <v>28.46</v>
      </c>
      <c r="O145" s="933">
        <v>29.45</v>
      </c>
      <c r="P145" s="933">
        <v>30.25</v>
      </c>
      <c r="Q145" s="933">
        <v>31.17</v>
      </c>
      <c r="R145" s="933">
        <v>32.25</v>
      </c>
      <c r="S145" s="933">
        <v>33.17</v>
      </c>
      <c r="T145" s="933">
        <v>34.24</v>
      </c>
      <c r="U145" s="933">
        <v>35.33</v>
      </c>
      <c r="V145" s="933">
        <v>36.380000000000003</v>
      </c>
      <c r="W145" s="933">
        <v>37.630000000000003</v>
      </c>
      <c r="X145" s="933">
        <v>39.049999999999997</v>
      </c>
      <c r="Y145" s="933">
        <v>40.159999999999997</v>
      </c>
      <c r="Z145" s="933">
        <v>41.73</v>
      </c>
      <c r="AA145" s="933">
        <v>43.3</v>
      </c>
      <c r="AB145" s="933">
        <v>44.82</v>
      </c>
      <c r="AC145" s="933">
        <v>46.47</v>
      </c>
      <c r="AD145" s="933">
        <v>48.16</v>
      </c>
      <c r="AE145" s="972">
        <v>2.5000000000000001E-2</v>
      </c>
      <c r="AF145" s="933"/>
      <c r="AG145" s="933"/>
      <c r="AH145" s="933"/>
      <c r="AI145" s="933"/>
      <c r="AJ145" s="933"/>
      <c r="AK145" s="933"/>
      <c r="AL145" s="933"/>
      <c r="AM145" s="933"/>
      <c r="AN145" s="933"/>
      <c r="AO145" s="933"/>
      <c r="AP145" s="933"/>
      <c r="AQ145" s="933"/>
      <c r="AR145" s="933"/>
      <c r="AS145" s="933"/>
      <c r="AT145" s="933"/>
      <c r="AU145" s="933"/>
      <c r="AV145" s="933"/>
      <c r="AW145" s="933"/>
      <c r="AX145" s="933"/>
      <c r="AY145" s="933"/>
      <c r="AZ145" s="933"/>
      <c r="BA145" s="933"/>
      <c r="BB145" s="933"/>
      <c r="BC145" s="933"/>
      <c r="BD145" s="933"/>
      <c r="BE145" s="933"/>
      <c r="BF145" s="933"/>
      <c r="BG145" s="933"/>
      <c r="BH145" s="933"/>
      <c r="BI145" s="933"/>
      <c r="BJ145" s="933"/>
      <c r="BK145" s="933"/>
      <c r="BL145" s="933"/>
      <c r="BM145" s="933"/>
      <c r="BN145" s="933"/>
      <c r="BO145" s="933"/>
      <c r="BP145" s="933"/>
      <c r="BQ145" s="933"/>
      <c r="BR145" s="933"/>
      <c r="BS145" s="933"/>
      <c r="BT145" s="933"/>
    </row>
    <row r="146" spans="1:72" x14ac:dyDescent="0.25">
      <c r="A146" s="933" t="s">
        <v>510</v>
      </c>
      <c r="B146" s="933">
        <v>12.66</v>
      </c>
      <c r="C146" s="933">
        <v>13.48</v>
      </c>
      <c r="D146" s="933">
        <v>11.57</v>
      </c>
      <c r="E146" s="933">
        <v>11.22</v>
      </c>
      <c r="F146" s="933">
        <v>12.29</v>
      </c>
      <c r="G146" s="933">
        <v>12.56</v>
      </c>
      <c r="H146" s="933">
        <v>12.36</v>
      </c>
      <c r="I146" s="933">
        <v>12.51</v>
      </c>
      <c r="J146" s="933">
        <v>12.88</v>
      </c>
      <c r="K146" s="933">
        <v>13.22</v>
      </c>
      <c r="L146" s="933">
        <v>13.5</v>
      </c>
      <c r="M146" s="933">
        <v>13.83</v>
      </c>
      <c r="N146" s="933">
        <v>14.18</v>
      </c>
      <c r="O146" s="933">
        <v>14.61</v>
      </c>
      <c r="P146" s="933">
        <v>15.06</v>
      </c>
      <c r="Q146" s="933">
        <v>15.64</v>
      </c>
      <c r="R146" s="933">
        <v>16.010000000000002</v>
      </c>
      <c r="S146" s="933">
        <v>16.22</v>
      </c>
      <c r="T146" s="933">
        <v>16.68</v>
      </c>
      <c r="U146" s="933">
        <v>17.260000000000002</v>
      </c>
      <c r="V146" s="933">
        <v>17.91</v>
      </c>
      <c r="W146" s="933">
        <v>18.649999999999999</v>
      </c>
      <c r="X146" s="933">
        <v>19.440000000000001</v>
      </c>
      <c r="Y146" s="933">
        <v>20.29</v>
      </c>
      <c r="Z146" s="933">
        <v>21.26</v>
      </c>
      <c r="AA146" s="933">
        <v>21.98</v>
      </c>
      <c r="AB146" s="933">
        <v>22.61</v>
      </c>
      <c r="AC146" s="933">
        <v>23.44</v>
      </c>
      <c r="AD146" s="933">
        <v>24.2</v>
      </c>
      <c r="AE146" s="972">
        <v>2.1999999999999999E-2</v>
      </c>
      <c r="AF146" s="933"/>
      <c r="AG146" s="933"/>
      <c r="AH146" s="933"/>
      <c r="AI146" s="933"/>
      <c r="AJ146" s="933"/>
      <c r="AK146" s="933"/>
      <c r="AL146" s="933"/>
      <c r="AM146" s="933"/>
      <c r="AN146" s="933"/>
      <c r="AO146" s="933"/>
      <c r="AP146" s="933"/>
      <c r="AQ146" s="933"/>
      <c r="AR146" s="933"/>
      <c r="AS146" s="933"/>
      <c r="AT146" s="933"/>
      <c r="AU146" s="933"/>
      <c r="AV146" s="933"/>
      <c r="AW146" s="933"/>
      <c r="AX146" s="933"/>
      <c r="AY146" s="933"/>
      <c r="AZ146" s="933"/>
      <c r="BA146" s="933"/>
      <c r="BB146" s="933"/>
      <c r="BC146" s="933"/>
      <c r="BD146" s="933"/>
      <c r="BE146" s="933"/>
      <c r="BF146" s="933"/>
      <c r="BG146" s="933"/>
      <c r="BH146" s="933"/>
      <c r="BI146" s="933"/>
      <c r="BJ146" s="933"/>
      <c r="BK146" s="933"/>
      <c r="BL146" s="933"/>
      <c r="BM146" s="933"/>
      <c r="BN146" s="933"/>
      <c r="BO146" s="933"/>
      <c r="BP146" s="933"/>
      <c r="BQ146" s="933"/>
      <c r="BR146" s="933"/>
      <c r="BS146" s="933"/>
      <c r="BT146" s="933"/>
    </row>
    <row r="147" spans="1:72" x14ac:dyDescent="0.25">
      <c r="A147" s="933" t="s">
        <v>479</v>
      </c>
      <c r="B147" s="933">
        <v>31.12</v>
      </c>
      <c r="C147" s="933">
        <v>33.29</v>
      </c>
      <c r="D147" s="933">
        <v>32.83</v>
      </c>
      <c r="E147" s="933">
        <v>31.88</v>
      </c>
      <c r="F147" s="933">
        <v>31.21</v>
      </c>
      <c r="G147" s="933">
        <v>32.9</v>
      </c>
      <c r="H147" s="933">
        <v>33.9</v>
      </c>
      <c r="I147" s="933">
        <v>34.5</v>
      </c>
      <c r="J147" s="933">
        <v>35.020000000000003</v>
      </c>
      <c r="K147" s="933">
        <v>35.89</v>
      </c>
      <c r="L147" s="933">
        <v>36.74</v>
      </c>
      <c r="M147" s="933">
        <v>37.39</v>
      </c>
      <c r="N147" s="933">
        <v>37.97</v>
      </c>
      <c r="O147" s="933">
        <v>38.92</v>
      </c>
      <c r="P147" s="933">
        <v>39.950000000000003</v>
      </c>
      <c r="Q147" s="933">
        <v>40.92</v>
      </c>
      <c r="R147" s="933">
        <v>41.95</v>
      </c>
      <c r="S147" s="933">
        <v>42.94</v>
      </c>
      <c r="T147" s="933">
        <v>43.78</v>
      </c>
      <c r="U147" s="933">
        <v>44.88</v>
      </c>
      <c r="V147" s="933">
        <v>46.07</v>
      </c>
      <c r="W147" s="933">
        <v>47.3</v>
      </c>
      <c r="X147" s="933">
        <v>48.93</v>
      </c>
      <c r="Y147" s="933">
        <v>50.5</v>
      </c>
      <c r="Z147" s="933">
        <v>52.16</v>
      </c>
      <c r="AA147" s="933">
        <v>53.81</v>
      </c>
      <c r="AB147" s="933">
        <v>55.2</v>
      </c>
      <c r="AC147" s="933">
        <v>56.77</v>
      </c>
      <c r="AD147" s="933">
        <v>58.33</v>
      </c>
      <c r="AE147" s="972">
        <v>2.1000000000000001E-2</v>
      </c>
      <c r="AF147" s="933"/>
      <c r="AG147" s="933"/>
      <c r="AH147" s="933"/>
      <c r="AI147" s="933"/>
      <c r="AJ147" s="933"/>
      <c r="AK147" s="933"/>
      <c r="AL147" s="933"/>
      <c r="AM147" s="933"/>
      <c r="AN147" s="933"/>
      <c r="AO147" s="933"/>
      <c r="AP147" s="933"/>
      <c r="AQ147" s="933"/>
      <c r="AR147" s="933"/>
      <c r="AS147" s="933"/>
      <c r="AT147" s="933"/>
      <c r="AU147" s="933"/>
      <c r="AV147" s="933"/>
      <c r="AW147" s="933"/>
      <c r="AX147" s="933"/>
      <c r="AY147" s="933"/>
      <c r="AZ147" s="933"/>
      <c r="BA147" s="933"/>
      <c r="BB147" s="933"/>
      <c r="BC147" s="933"/>
      <c r="BD147" s="933"/>
      <c r="BE147" s="933"/>
      <c r="BF147" s="933"/>
      <c r="BG147" s="933"/>
      <c r="BH147" s="933"/>
      <c r="BI147" s="933"/>
      <c r="BJ147" s="933"/>
      <c r="BK147" s="933"/>
      <c r="BL147" s="933"/>
      <c r="BM147" s="933"/>
      <c r="BN147" s="933"/>
      <c r="BO147" s="933"/>
      <c r="BP147" s="933"/>
      <c r="BQ147" s="933"/>
      <c r="BR147" s="933"/>
      <c r="BS147" s="933"/>
      <c r="BT147" s="933"/>
    </row>
    <row r="148" spans="1:72" x14ac:dyDescent="0.25">
      <c r="A148" s="933"/>
      <c r="B148" s="933"/>
      <c r="C148" s="933"/>
      <c r="D148" s="933"/>
      <c r="E148" s="933"/>
      <c r="F148" s="933"/>
      <c r="G148" s="933"/>
      <c r="H148" s="933"/>
      <c r="I148" s="933"/>
      <c r="J148" s="933"/>
      <c r="K148" s="933"/>
      <c r="L148" s="933"/>
      <c r="M148" s="933"/>
      <c r="N148" s="933"/>
      <c r="O148" s="933"/>
      <c r="P148" s="933"/>
      <c r="Q148" s="933"/>
      <c r="R148" s="933"/>
      <c r="S148" s="933"/>
      <c r="T148" s="933"/>
      <c r="U148" s="933"/>
      <c r="V148" s="933"/>
      <c r="W148" s="933"/>
      <c r="X148" s="933"/>
      <c r="Y148" s="933"/>
      <c r="Z148" s="933"/>
      <c r="AA148" s="933"/>
      <c r="AB148" s="933"/>
      <c r="AC148" s="933"/>
      <c r="AD148" s="933"/>
      <c r="AE148" s="933"/>
      <c r="AF148" s="933"/>
      <c r="AG148" s="933"/>
      <c r="AH148" s="933"/>
      <c r="AI148" s="933"/>
      <c r="AJ148" s="933"/>
      <c r="AK148" s="933"/>
      <c r="AL148" s="933"/>
      <c r="AM148" s="933"/>
      <c r="AN148" s="933"/>
      <c r="AO148" s="933"/>
      <c r="AP148" s="933"/>
      <c r="AQ148" s="933"/>
      <c r="AR148" s="933"/>
      <c r="AS148" s="933"/>
      <c r="AT148" s="933"/>
      <c r="AU148" s="933"/>
      <c r="AV148" s="933"/>
      <c r="AW148" s="933"/>
      <c r="AX148" s="933"/>
      <c r="AY148" s="933"/>
      <c r="AZ148" s="933"/>
      <c r="BA148" s="933"/>
      <c r="BB148" s="933"/>
      <c r="BC148" s="933"/>
      <c r="BD148" s="933"/>
      <c r="BE148" s="933"/>
      <c r="BF148" s="933"/>
      <c r="BG148" s="933"/>
      <c r="BH148" s="933"/>
      <c r="BI148" s="933"/>
      <c r="BJ148" s="933"/>
      <c r="BK148" s="933"/>
      <c r="BL148" s="933"/>
      <c r="BM148" s="933"/>
      <c r="BN148" s="933"/>
      <c r="BO148" s="933"/>
      <c r="BP148" s="933"/>
      <c r="BQ148" s="933"/>
      <c r="BR148" s="933"/>
      <c r="BS148" s="933"/>
      <c r="BT148" s="933"/>
    </row>
    <row r="149" spans="1:72" x14ac:dyDescent="0.25">
      <c r="A149" s="933" t="s">
        <v>480</v>
      </c>
      <c r="B149" s="933"/>
      <c r="C149" s="933"/>
      <c r="D149" s="933"/>
      <c r="E149" s="933"/>
      <c r="F149" s="933"/>
      <c r="G149" s="933"/>
      <c r="H149" s="933"/>
      <c r="I149" s="933"/>
      <c r="J149" s="933"/>
      <c r="K149" s="933"/>
      <c r="L149" s="933"/>
      <c r="M149" s="933"/>
      <c r="N149" s="933"/>
      <c r="O149" s="933"/>
      <c r="P149" s="933"/>
      <c r="Q149" s="933"/>
      <c r="R149" s="933"/>
      <c r="S149" s="933"/>
      <c r="T149" s="933"/>
      <c r="U149" s="933"/>
      <c r="V149" s="933"/>
      <c r="W149" s="933"/>
      <c r="X149" s="933"/>
      <c r="Y149" s="933"/>
      <c r="Z149" s="933"/>
      <c r="AA149" s="933"/>
      <c r="AB149" s="933"/>
      <c r="AC149" s="933"/>
      <c r="AD149" s="933"/>
      <c r="AE149" s="933"/>
      <c r="AF149" s="933"/>
      <c r="AG149" s="933"/>
      <c r="AH149" s="933"/>
      <c r="AI149" s="933"/>
      <c r="AJ149" s="933"/>
      <c r="AK149" s="933"/>
      <c r="AL149" s="933"/>
      <c r="AM149" s="933"/>
      <c r="AN149" s="933"/>
      <c r="AO149" s="933"/>
      <c r="AP149" s="933"/>
      <c r="AQ149" s="933"/>
      <c r="AR149" s="933"/>
      <c r="AS149" s="933"/>
      <c r="AT149" s="933"/>
      <c r="AU149" s="933"/>
      <c r="AV149" s="933"/>
      <c r="AW149" s="933"/>
      <c r="AX149" s="933"/>
      <c r="AY149" s="933"/>
      <c r="AZ149" s="933"/>
      <c r="BA149" s="933"/>
      <c r="BB149" s="933"/>
      <c r="BC149" s="933"/>
      <c r="BD149" s="933"/>
      <c r="BE149" s="933"/>
      <c r="BF149" s="933"/>
      <c r="BG149" s="933"/>
      <c r="BH149" s="933"/>
      <c r="BI149" s="933"/>
      <c r="BJ149" s="933"/>
      <c r="BK149" s="933"/>
      <c r="BL149" s="933"/>
      <c r="BM149" s="933"/>
      <c r="BN149" s="933"/>
      <c r="BO149" s="933"/>
      <c r="BP149" s="933"/>
      <c r="BQ149" s="933"/>
      <c r="BR149" s="933"/>
      <c r="BS149" s="933"/>
      <c r="BT149" s="933"/>
    </row>
    <row r="150" spans="1:72" x14ac:dyDescent="0.25">
      <c r="A150" s="933" t="s">
        <v>609</v>
      </c>
      <c r="B150" s="933">
        <v>20.2</v>
      </c>
      <c r="C150" s="933">
        <v>26.15</v>
      </c>
      <c r="D150" s="933">
        <v>20.12</v>
      </c>
      <c r="E150" s="933">
        <v>21.4</v>
      </c>
      <c r="F150" s="933">
        <v>21.77</v>
      </c>
      <c r="G150" s="933">
        <v>23.3</v>
      </c>
      <c r="H150" s="933">
        <v>25.02</v>
      </c>
      <c r="I150" s="933">
        <v>26.51</v>
      </c>
      <c r="J150" s="933">
        <v>27.61</v>
      </c>
      <c r="K150" s="933">
        <v>28.83</v>
      </c>
      <c r="L150" s="933">
        <v>29.98</v>
      </c>
      <c r="M150" s="933">
        <v>31.22</v>
      </c>
      <c r="N150" s="933">
        <v>32.11</v>
      </c>
      <c r="O150" s="933">
        <v>33.020000000000003</v>
      </c>
      <c r="P150" s="933">
        <v>34.01</v>
      </c>
      <c r="Q150" s="933">
        <v>35.020000000000003</v>
      </c>
      <c r="R150" s="933">
        <v>36.130000000000003</v>
      </c>
      <c r="S150" s="933">
        <v>37.24</v>
      </c>
      <c r="T150" s="933">
        <v>38.35</v>
      </c>
      <c r="U150" s="933">
        <v>39.36</v>
      </c>
      <c r="V150" s="933">
        <v>40.57</v>
      </c>
      <c r="W150" s="933">
        <v>41.81</v>
      </c>
      <c r="X150" s="933">
        <v>43.24</v>
      </c>
      <c r="Y150" s="933">
        <v>44.53</v>
      </c>
      <c r="Z150" s="933">
        <v>46.07</v>
      </c>
      <c r="AA150" s="933">
        <v>47.62</v>
      </c>
      <c r="AB150" s="933">
        <v>49.27</v>
      </c>
      <c r="AC150" s="933">
        <v>50.92</v>
      </c>
      <c r="AD150" s="933">
        <v>52.64</v>
      </c>
      <c r="AE150" s="972">
        <v>2.5999999999999999E-2</v>
      </c>
      <c r="AF150" s="933"/>
      <c r="AG150" s="933"/>
      <c r="AH150" s="933"/>
      <c r="AI150" s="933"/>
      <c r="AJ150" s="933"/>
      <c r="AK150" s="933"/>
      <c r="AL150" s="933"/>
      <c r="AM150" s="933"/>
      <c r="AN150" s="933"/>
      <c r="AO150" s="933"/>
      <c r="AP150" s="933"/>
      <c r="AQ150" s="933"/>
      <c r="AR150" s="933"/>
      <c r="AS150" s="933"/>
      <c r="AT150" s="933"/>
      <c r="AU150" s="933"/>
      <c r="AV150" s="933"/>
      <c r="AW150" s="933"/>
      <c r="AX150" s="933"/>
      <c r="AY150" s="933"/>
      <c r="AZ150" s="933"/>
      <c r="BA150" s="933"/>
      <c r="BB150" s="933"/>
      <c r="BC150" s="933"/>
      <c r="BD150" s="933"/>
      <c r="BE150" s="933"/>
      <c r="BF150" s="933"/>
      <c r="BG150" s="933"/>
      <c r="BH150" s="933"/>
      <c r="BI150" s="933"/>
      <c r="BJ150" s="933"/>
      <c r="BK150" s="933"/>
      <c r="BL150" s="933"/>
      <c r="BM150" s="933"/>
      <c r="BN150" s="933"/>
      <c r="BO150" s="933"/>
      <c r="BP150" s="933"/>
      <c r="BQ150" s="933"/>
      <c r="BR150" s="933"/>
      <c r="BS150" s="933"/>
      <c r="BT150" s="933"/>
    </row>
    <row r="151" spans="1:72" x14ac:dyDescent="0.25">
      <c r="A151" s="933" t="s">
        <v>610</v>
      </c>
      <c r="B151" s="933">
        <v>17.100000000000001</v>
      </c>
      <c r="C151" s="933">
        <v>21.5</v>
      </c>
      <c r="D151" s="933">
        <v>16.04</v>
      </c>
      <c r="E151" s="933">
        <v>15.27</v>
      </c>
      <c r="F151" s="933">
        <v>15.91</v>
      </c>
      <c r="G151" s="933">
        <v>17.34</v>
      </c>
      <c r="H151" s="933">
        <v>18.739999999999998</v>
      </c>
      <c r="I151" s="933">
        <v>19.850000000000001</v>
      </c>
      <c r="J151" s="933">
        <v>20.86</v>
      </c>
      <c r="K151" s="933">
        <v>22.18</v>
      </c>
      <c r="L151" s="933">
        <v>23.33</v>
      </c>
      <c r="M151" s="933">
        <v>24.52</v>
      </c>
      <c r="N151" s="933">
        <v>25.47</v>
      </c>
      <c r="O151" s="933">
        <v>26.39</v>
      </c>
      <c r="P151" s="933">
        <v>27.18</v>
      </c>
      <c r="Q151" s="933">
        <v>28.11</v>
      </c>
      <c r="R151" s="933">
        <v>29.04</v>
      </c>
      <c r="S151" s="933">
        <v>29.83</v>
      </c>
      <c r="T151" s="933">
        <v>30.83</v>
      </c>
      <c r="U151" s="933">
        <v>31.82</v>
      </c>
      <c r="V151" s="933">
        <v>32.83</v>
      </c>
      <c r="W151" s="933">
        <v>34.01</v>
      </c>
      <c r="X151" s="933">
        <v>35.340000000000003</v>
      </c>
      <c r="Y151" s="933">
        <v>36.380000000000003</v>
      </c>
      <c r="Z151" s="933">
        <v>37.86</v>
      </c>
      <c r="AA151" s="933">
        <v>39.340000000000003</v>
      </c>
      <c r="AB151" s="933">
        <v>40.74</v>
      </c>
      <c r="AC151" s="933">
        <v>42.29</v>
      </c>
      <c r="AD151" s="933">
        <v>43.92</v>
      </c>
      <c r="AE151" s="972">
        <v>2.7E-2</v>
      </c>
      <c r="AF151" s="933"/>
      <c r="AG151" s="933"/>
      <c r="AH151" s="933"/>
      <c r="AI151" s="933"/>
      <c r="AJ151" s="933"/>
      <c r="AK151" s="933"/>
      <c r="AL151" s="933"/>
      <c r="AM151" s="933"/>
      <c r="AN151" s="933"/>
      <c r="AO151" s="933"/>
      <c r="AP151" s="933"/>
      <c r="AQ151" s="933"/>
      <c r="AR151" s="933"/>
      <c r="AS151" s="933"/>
      <c r="AT151" s="933"/>
      <c r="AU151" s="933"/>
      <c r="AV151" s="933"/>
      <c r="AW151" s="933"/>
      <c r="AX151" s="933"/>
      <c r="AY151" s="933"/>
      <c r="AZ151" s="933"/>
      <c r="BA151" s="933"/>
      <c r="BB151" s="933"/>
      <c r="BC151" s="933"/>
      <c r="BD151" s="933"/>
      <c r="BE151" s="933"/>
      <c r="BF151" s="933"/>
      <c r="BG151" s="933"/>
      <c r="BH151" s="933"/>
      <c r="BI151" s="933"/>
      <c r="BJ151" s="933"/>
      <c r="BK151" s="933"/>
      <c r="BL151" s="933"/>
      <c r="BM151" s="933"/>
      <c r="BN151" s="933"/>
      <c r="BO151" s="933"/>
      <c r="BP151" s="933"/>
      <c r="BQ151" s="933"/>
      <c r="BR151" s="933"/>
      <c r="BS151" s="933"/>
      <c r="BT151" s="933"/>
    </row>
    <row r="152" spans="1:72" x14ac:dyDescent="0.25">
      <c r="A152" s="933" t="s">
        <v>723</v>
      </c>
      <c r="B152" s="933">
        <v>8.2100000000000009</v>
      </c>
      <c r="C152" s="933">
        <v>15.52</v>
      </c>
      <c r="D152" s="933">
        <v>9.41</v>
      </c>
      <c r="E152" s="933">
        <v>9.74</v>
      </c>
      <c r="F152" s="933">
        <v>10.050000000000001</v>
      </c>
      <c r="G152" s="933">
        <v>11.48</v>
      </c>
      <c r="H152" s="933">
        <v>12.9</v>
      </c>
      <c r="I152" s="933">
        <v>13.98</v>
      </c>
      <c r="J152" s="933">
        <v>14.63</v>
      </c>
      <c r="K152" s="933">
        <v>15.52</v>
      </c>
      <c r="L152" s="933">
        <v>16.37</v>
      </c>
      <c r="M152" s="933">
        <v>17.29</v>
      </c>
      <c r="N152" s="933">
        <v>18.29</v>
      </c>
      <c r="O152" s="933">
        <v>18.899999999999999</v>
      </c>
      <c r="P152" s="933">
        <v>19.57</v>
      </c>
      <c r="Q152" s="933">
        <v>20.27</v>
      </c>
      <c r="R152" s="933">
        <v>21.01</v>
      </c>
      <c r="S152" s="933">
        <v>21.73</v>
      </c>
      <c r="T152" s="933">
        <v>22.45</v>
      </c>
      <c r="U152" s="933">
        <v>23.04</v>
      </c>
      <c r="V152" s="933">
        <v>23.8</v>
      </c>
      <c r="W152" s="933">
        <v>24.66</v>
      </c>
      <c r="X152" s="933">
        <v>25.52</v>
      </c>
      <c r="Y152" s="933">
        <v>26.47</v>
      </c>
      <c r="Z152" s="933">
        <v>27.6</v>
      </c>
      <c r="AA152" s="933">
        <v>28.58</v>
      </c>
      <c r="AB152" s="933">
        <v>29.4</v>
      </c>
      <c r="AC152" s="933">
        <v>30.75</v>
      </c>
      <c r="AD152" s="933">
        <v>31.66</v>
      </c>
      <c r="AE152" s="972">
        <v>2.7E-2</v>
      </c>
      <c r="AF152" s="933"/>
      <c r="AG152" s="933"/>
      <c r="AH152" s="933"/>
      <c r="AI152" s="933"/>
      <c r="AJ152" s="933"/>
      <c r="AK152" s="933"/>
      <c r="AL152" s="933"/>
      <c r="AM152" s="933"/>
      <c r="AN152" s="933"/>
      <c r="AO152" s="933"/>
      <c r="AP152" s="933"/>
      <c r="AQ152" s="933"/>
      <c r="AR152" s="933"/>
      <c r="AS152" s="933"/>
      <c r="AT152" s="933"/>
      <c r="AU152" s="933"/>
      <c r="AV152" s="933"/>
      <c r="AW152" s="933"/>
      <c r="AX152" s="933"/>
      <c r="AY152" s="933"/>
      <c r="AZ152" s="933"/>
      <c r="BA152" s="933"/>
      <c r="BB152" s="933"/>
      <c r="BC152" s="933"/>
      <c r="BD152" s="933"/>
      <c r="BE152" s="933"/>
      <c r="BF152" s="933"/>
      <c r="BG152" s="933"/>
      <c r="BH152" s="933"/>
      <c r="BI152" s="933"/>
      <c r="BJ152" s="933"/>
      <c r="BK152" s="933"/>
      <c r="BL152" s="933"/>
      <c r="BM152" s="933"/>
      <c r="BN152" s="933"/>
      <c r="BO152" s="933"/>
      <c r="BP152" s="933"/>
      <c r="BQ152" s="933"/>
      <c r="BR152" s="933"/>
      <c r="BS152" s="933"/>
      <c r="BT152" s="933"/>
    </row>
    <row r="153" spans="1:72" x14ac:dyDescent="0.25">
      <c r="A153" s="933" t="s">
        <v>510</v>
      </c>
      <c r="B153" s="933">
        <v>10.96</v>
      </c>
      <c r="C153" s="933">
        <v>11.94</v>
      </c>
      <c r="D153" s="933">
        <v>9.18</v>
      </c>
      <c r="E153" s="933">
        <v>8.93</v>
      </c>
      <c r="F153" s="933">
        <v>10.15</v>
      </c>
      <c r="G153" s="933">
        <v>10.65</v>
      </c>
      <c r="H153" s="933">
        <v>10.68</v>
      </c>
      <c r="I153" s="933">
        <v>10.8</v>
      </c>
      <c r="J153" s="933">
        <v>11.14</v>
      </c>
      <c r="K153" s="933">
        <v>11.44</v>
      </c>
      <c r="L153" s="933">
        <v>11.67</v>
      </c>
      <c r="M153" s="933">
        <v>11.96</v>
      </c>
      <c r="N153" s="933">
        <v>12.27</v>
      </c>
      <c r="O153" s="933">
        <v>12.65</v>
      </c>
      <c r="P153" s="933">
        <v>13.05</v>
      </c>
      <c r="Q153" s="933">
        <v>13.58</v>
      </c>
      <c r="R153" s="933">
        <v>13.92</v>
      </c>
      <c r="S153" s="933">
        <v>14.13</v>
      </c>
      <c r="T153" s="933">
        <v>14.53</v>
      </c>
      <c r="U153" s="933">
        <v>15.05</v>
      </c>
      <c r="V153" s="933">
        <v>15.62</v>
      </c>
      <c r="W153" s="933">
        <v>16.3</v>
      </c>
      <c r="X153" s="933">
        <v>17.010000000000002</v>
      </c>
      <c r="Y153" s="933">
        <v>17.78</v>
      </c>
      <c r="Z153" s="933">
        <v>18.690000000000001</v>
      </c>
      <c r="AA153" s="933">
        <v>19.329999999999998</v>
      </c>
      <c r="AB153" s="933">
        <v>19.86</v>
      </c>
      <c r="AC153" s="933">
        <v>20.61</v>
      </c>
      <c r="AD153" s="933">
        <v>21.27</v>
      </c>
      <c r="AE153" s="972">
        <v>2.1999999999999999E-2</v>
      </c>
      <c r="AF153" s="933"/>
      <c r="AG153" s="933"/>
      <c r="AH153" s="933"/>
      <c r="AI153" s="933"/>
      <c r="AJ153" s="933"/>
      <c r="AK153" s="933"/>
      <c r="AL153" s="933"/>
      <c r="AM153" s="933"/>
      <c r="AN153" s="933"/>
      <c r="AO153" s="933"/>
      <c r="AP153" s="933"/>
      <c r="AQ153" s="933"/>
      <c r="AR153" s="933"/>
      <c r="AS153" s="933"/>
      <c r="AT153" s="933"/>
      <c r="AU153" s="933"/>
      <c r="AV153" s="933"/>
      <c r="AW153" s="933"/>
      <c r="AX153" s="933"/>
      <c r="AY153" s="933"/>
      <c r="AZ153" s="933"/>
      <c r="BA153" s="933"/>
      <c r="BB153" s="933"/>
      <c r="BC153" s="933"/>
      <c r="BD153" s="933"/>
      <c r="BE153" s="933"/>
      <c r="BF153" s="933"/>
      <c r="BG153" s="933"/>
      <c r="BH153" s="933"/>
      <c r="BI153" s="933"/>
      <c r="BJ153" s="933"/>
      <c r="BK153" s="933"/>
      <c r="BL153" s="933"/>
      <c r="BM153" s="933"/>
      <c r="BN153" s="933"/>
      <c r="BO153" s="933"/>
      <c r="BP153" s="933"/>
      <c r="BQ153" s="933"/>
      <c r="BR153" s="933"/>
      <c r="BS153" s="933"/>
      <c r="BT153" s="933"/>
    </row>
    <row r="154" spans="1:72" x14ac:dyDescent="0.25">
      <c r="A154" s="933" t="s">
        <v>479</v>
      </c>
      <c r="B154" s="933">
        <v>28.18</v>
      </c>
      <c r="C154" s="933">
        <v>30.47</v>
      </c>
      <c r="D154" s="933">
        <v>29.38</v>
      </c>
      <c r="E154" s="933">
        <v>28.19</v>
      </c>
      <c r="F154" s="933">
        <v>26.85</v>
      </c>
      <c r="G154" s="933">
        <v>28.28</v>
      </c>
      <c r="H154" s="933">
        <v>28.88</v>
      </c>
      <c r="I154" s="933">
        <v>29.09</v>
      </c>
      <c r="J154" s="933">
        <v>29.58</v>
      </c>
      <c r="K154" s="933">
        <v>30.41</v>
      </c>
      <c r="L154" s="933">
        <v>31.16</v>
      </c>
      <c r="M154" s="933">
        <v>31.75</v>
      </c>
      <c r="N154" s="933">
        <v>32.270000000000003</v>
      </c>
      <c r="O154" s="933">
        <v>33.15</v>
      </c>
      <c r="P154" s="933">
        <v>34.090000000000003</v>
      </c>
      <c r="Q154" s="933">
        <v>34.97</v>
      </c>
      <c r="R154" s="933">
        <v>35.99</v>
      </c>
      <c r="S154" s="933">
        <v>36.94</v>
      </c>
      <c r="T154" s="933">
        <v>37.619999999999997</v>
      </c>
      <c r="U154" s="933">
        <v>38.61</v>
      </c>
      <c r="V154" s="933">
        <v>39.68</v>
      </c>
      <c r="W154" s="933">
        <v>40.82</v>
      </c>
      <c r="X154" s="933">
        <v>42.33</v>
      </c>
      <c r="Y154" s="933">
        <v>43.75</v>
      </c>
      <c r="Z154" s="933">
        <v>45.32</v>
      </c>
      <c r="AA154" s="933">
        <v>46.89</v>
      </c>
      <c r="AB154" s="933">
        <v>48.18</v>
      </c>
      <c r="AC154" s="933">
        <v>49.63</v>
      </c>
      <c r="AD154" s="933">
        <v>51.04</v>
      </c>
      <c r="AE154" s="972">
        <v>1.9E-2</v>
      </c>
      <c r="AF154" s="933"/>
      <c r="AG154" s="933"/>
      <c r="AH154" s="933"/>
      <c r="AI154" s="933"/>
      <c r="AJ154" s="933"/>
      <c r="AK154" s="933"/>
      <c r="AL154" s="933"/>
      <c r="AM154" s="933"/>
      <c r="AN154" s="933"/>
      <c r="AO154" s="933"/>
      <c r="AP154" s="933"/>
      <c r="AQ154" s="933"/>
      <c r="AR154" s="933"/>
      <c r="AS154" s="933"/>
      <c r="AT154" s="933"/>
      <c r="AU154" s="933"/>
      <c r="AV154" s="933"/>
      <c r="AW154" s="933"/>
      <c r="AX154" s="933"/>
      <c r="AY154" s="933"/>
      <c r="AZ154" s="933"/>
      <c r="BA154" s="933"/>
      <c r="BB154" s="933"/>
      <c r="BC154" s="933"/>
      <c r="BD154" s="933"/>
      <c r="BE154" s="933"/>
      <c r="BF154" s="933"/>
      <c r="BG154" s="933"/>
      <c r="BH154" s="933"/>
      <c r="BI154" s="933"/>
      <c r="BJ154" s="933"/>
      <c r="BK154" s="933"/>
      <c r="BL154" s="933"/>
      <c r="BM154" s="933"/>
      <c r="BN154" s="933"/>
      <c r="BO154" s="933"/>
      <c r="BP154" s="933"/>
      <c r="BQ154" s="933"/>
      <c r="BR154" s="933"/>
      <c r="BS154" s="933"/>
      <c r="BT154" s="933"/>
    </row>
    <row r="155" spans="1:72" x14ac:dyDescent="0.25">
      <c r="A155" s="933"/>
      <c r="B155" s="933"/>
      <c r="C155" s="933"/>
      <c r="D155" s="933"/>
      <c r="E155" s="933"/>
      <c r="F155" s="933"/>
      <c r="G155" s="933"/>
      <c r="H155" s="933"/>
      <c r="I155" s="933"/>
      <c r="J155" s="933"/>
      <c r="K155" s="933"/>
      <c r="L155" s="933"/>
      <c r="M155" s="933"/>
      <c r="N155" s="933"/>
      <c r="O155" s="933"/>
      <c r="P155" s="933"/>
      <c r="Q155" s="933"/>
      <c r="R155" s="933"/>
      <c r="S155" s="933"/>
      <c r="T155" s="933"/>
      <c r="U155" s="933"/>
      <c r="V155" s="933"/>
      <c r="W155" s="933"/>
      <c r="X155" s="933"/>
      <c r="Y155" s="933"/>
      <c r="Z155" s="933"/>
      <c r="AA155" s="933"/>
      <c r="AB155" s="933"/>
      <c r="AC155" s="933"/>
      <c r="AD155" s="933"/>
      <c r="AE155" s="933"/>
      <c r="AF155" s="933"/>
      <c r="AG155" s="933"/>
      <c r="AH155" s="933"/>
      <c r="AI155" s="933"/>
      <c r="AJ155" s="933"/>
      <c r="AK155" s="933"/>
      <c r="AL155" s="933"/>
      <c r="AM155" s="933"/>
      <c r="AN155" s="933"/>
      <c r="AO155" s="933"/>
      <c r="AP155" s="933"/>
      <c r="AQ155" s="933"/>
      <c r="AR155" s="933"/>
      <c r="AS155" s="933"/>
      <c r="AT155" s="933"/>
      <c r="AU155" s="933"/>
      <c r="AV155" s="933"/>
      <c r="AW155" s="933"/>
      <c r="AX155" s="933"/>
      <c r="AY155" s="933"/>
      <c r="AZ155" s="933"/>
      <c r="BA155" s="933"/>
      <c r="BB155" s="933"/>
      <c r="BC155" s="933"/>
      <c r="BD155" s="933"/>
      <c r="BE155" s="933"/>
      <c r="BF155" s="933"/>
      <c r="BG155" s="933"/>
      <c r="BH155" s="933"/>
      <c r="BI155" s="933"/>
      <c r="BJ155" s="933"/>
      <c r="BK155" s="933"/>
      <c r="BL155" s="933"/>
      <c r="BM155" s="933"/>
      <c r="BN155" s="933"/>
      <c r="BO155" s="933"/>
      <c r="BP155" s="933"/>
      <c r="BQ155" s="933"/>
      <c r="BR155" s="933"/>
      <c r="BS155" s="933"/>
      <c r="BT155" s="933"/>
    </row>
    <row r="156" spans="1:72" x14ac:dyDescent="0.25">
      <c r="A156" s="933" t="s">
        <v>612</v>
      </c>
      <c r="B156" s="933"/>
      <c r="C156" s="933"/>
      <c r="D156" s="933"/>
      <c r="E156" s="933"/>
      <c r="F156" s="933"/>
      <c r="G156" s="933"/>
      <c r="H156" s="933"/>
      <c r="I156" s="933"/>
      <c r="J156" s="933"/>
      <c r="K156" s="933"/>
      <c r="L156" s="933"/>
      <c r="M156" s="933"/>
      <c r="N156" s="933"/>
      <c r="O156" s="933"/>
      <c r="P156" s="933"/>
      <c r="Q156" s="933"/>
      <c r="R156" s="933"/>
      <c r="S156" s="933"/>
      <c r="T156" s="933"/>
      <c r="U156" s="933"/>
      <c r="V156" s="933"/>
      <c r="W156" s="933"/>
      <c r="X156" s="933"/>
      <c r="Y156" s="933"/>
      <c r="Z156" s="933"/>
      <c r="AA156" s="933"/>
      <c r="AB156" s="933"/>
      <c r="AC156" s="933"/>
      <c r="AD156" s="933"/>
      <c r="AE156" s="933"/>
      <c r="AF156" s="933"/>
      <c r="AG156" s="933"/>
      <c r="AH156" s="933"/>
      <c r="AI156" s="933"/>
      <c r="AJ156" s="933"/>
      <c r="AK156" s="933"/>
      <c r="AL156" s="933"/>
      <c r="AM156" s="933"/>
      <c r="AN156" s="933"/>
      <c r="AO156" s="933"/>
      <c r="AP156" s="933"/>
      <c r="AQ156" s="933"/>
      <c r="AR156" s="933"/>
      <c r="AS156" s="933"/>
      <c r="AT156" s="933"/>
      <c r="AU156" s="933"/>
      <c r="AV156" s="933"/>
      <c r="AW156" s="933"/>
      <c r="AX156" s="933"/>
      <c r="AY156" s="933"/>
      <c r="AZ156" s="933"/>
      <c r="BA156" s="933"/>
      <c r="BB156" s="933"/>
      <c r="BC156" s="933"/>
      <c r="BD156" s="933"/>
      <c r="BE156" s="933"/>
      <c r="BF156" s="933"/>
      <c r="BG156" s="933"/>
      <c r="BH156" s="933"/>
      <c r="BI156" s="933"/>
      <c r="BJ156" s="933"/>
      <c r="BK156" s="933"/>
      <c r="BL156" s="933"/>
      <c r="BM156" s="933"/>
      <c r="BN156" s="933"/>
      <c r="BO156" s="933"/>
      <c r="BP156" s="933"/>
      <c r="BQ156" s="933"/>
      <c r="BR156" s="933"/>
      <c r="BS156" s="933"/>
      <c r="BT156" s="933"/>
    </row>
    <row r="157" spans="1:72" x14ac:dyDescent="0.25">
      <c r="A157" s="933" t="s">
        <v>609</v>
      </c>
      <c r="B157" s="933">
        <v>21.53</v>
      </c>
      <c r="C157" s="933">
        <v>24.2</v>
      </c>
      <c r="D157" s="933">
        <v>18.920000000000002</v>
      </c>
      <c r="E157" s="933">
        <v>18.920000000000002</v>
      </c>
      <c r="F157" s="933">
        <v>19.260000000000002</v>
      </c>
      <c r="G157" s="933">
        <v>20.76</v>
      </c>
      <c r="H157" s="933">
        <v>22.51</v>
      </c>
      <c r="I157" s="933">
        <v>24</v>
      </c>
      <c r="J157" s="933">
        <v>25.06</v>
      </c>
      <c r="K157" s="933">
        <v>26.38</v>
      </c>
      <c r="L157" s="933">
        <v>27.45</v>
      </c>
      <c r="M157" s="933">
        <v>28.6</v>
      </c>
      <c r="N157" s="933">
        <v>29.51</v>
      </c>
      <c r="O157" s="933">
        <v>30.38</v>
      </c>
      <c r="P157" s="933">
        <v>31.31</v>
      </c>
      <c r="Q157" s="933">
        <v>32.270000000000003</v>
      </c>
      <c r="R157" s="933">
        <v>33.340000000000003</v>
      </c>
      <c r="S157" s="933">
        <v>34.39</v>
      </c>
      <c r="T157" s="933">
        <v>35.450000000000003</v>
      </c>
      <c r="U157" s="933">
        <v>36.4</v>
      </c>
      <c r="V157" s="933">
        <v>37.549999999999997</v>
      </c>
      <c r="W157" s="933">
        <v>38.729999999999997</v>
      </c>
      <c r="X157" s="933">
        <v>40.1</v>
      </c>
      <c r="Y157" s="933">
        <v>41.33</v>
      </c>
      <c r="Z157" s="933">
        <v>42.81</v>
      </c>
      <c r="AA157" s="933">
        <v>44.29</v>
      </c>
      <c r="AB157" s="933">
        <v>45.9</v>
      </c>
      <c r="AC157" s="933">
        <v>47.5</v>
      </c>
      <c r="AD157" s="933">
        <v>49.15</v>
      </c>
      <c r="AE157" s="972">
        <v>2.7E-2</v>
      </c>
      <c r="AF157" s="933"/>
      <c r="AG157" s="933"/>
      <c r="AH157" s="933"/>
      <c r="AI157" s="933"/>
      <c r="AJ157" s="933"/>
      <c r="AK157" s="933"/>
      <c r="AL157" s="933"/>
      <c r="AM157" s="933"/>
      <c r="AN157" s="933"/>
      <c r="AO157" s="933"/>
      <c r="AP157" s="933"/>
      <c r="AQ157" s="933"/>
      <c r="AR157" s="933"/>
      <c r="AS157" s="933"/>
      <c r="AT157" s="933"/>
      <c r="AU157" s="933"/>
      <c r="AV157" s="933"/>
      <c r="AW157" s="933"/>
      <c r="AX157" s="933"/>
      <c r="AY157" s="933"/>
      <c r="AZ157" s="933"/>
      <c r="BA157" s="933"/>
      <c r="BB157" s="933"/>
      <c r="BC157" s="933"/>
      <c r="BD157" s="933"/>
      <c r="BE157" s="933"/>
      <c r="BF157" s="933"/>
      <c r="BG157" s="933"/>
      <c r="BH157" s="933"/>
      <c r="BI157" s="933"/>
      <c r="BJ157" s="933"/>
      <c r="BK157" s="933"/>
      <c r="BL157" s="933"/>
      <c r="BM157" s="933"/>
      <c r="BN157" s="933"/>
      <c r="BO157" s="933"/>
      <c r="BP157" s="933"/>
      <c r="BQ157" s="933"/>
      <c r="BR157" s="933"/>
      <c r="BS157" s="933"/>
      <c r="BT157" s="933"/>
    </row>
    <row r="158" spans="1:72" x14ac:dyDescent="0.25">
      <c r="A158" s="933" t="s">
        <v>610</v>
      </c>
      <c r="B158" s="933">
        <v>17.68</v>
      </c>
      <c r="C158" s="933">
        <v>22.31</v>
      </c>
      <c r="D158" s="933">
        <v>16.649999999999999</v>
      </c>
      <c r="E158" s="933">
        <v>14.82</v>
      </c>
      <c r="F158" s="933">
        <v>16.05</v>
      </c>
      <c r="G158" s="933">
        <v>17.52</v>
      </c>
      <c r="H158" s="933">
        <v>18.95</v>
      </c>
      <c r="I158" s="933">
        <v>20.07</v>
      </c>
      <c r="J158" s="933">
        <v>21.18</v>
      </c>
      <c r="K158" s="933">
        <v>22.46</v>
      </c>
      <c r="L158" s="933">
        <v>23.62</v>
      </c>
      <c r="M158" s="933">
        <v>24.81</v>
      </c>
      <c r="N158" s="933">
        <v>25.76</v>
      </c>
      <c r="O158" s="933">
        <v>26.68</v>
      </c>
      <c r="P158" s="933">
        <v>27.5</v>
      </c>
      <c r="Q158" s="933">
        <v>28.52</v>
      </c>
      <c r="R158" s="933">
        <v>29.39</v>
      </c>
      <c r="S158" s="933">
        <v>30.15</v>
      </c>
      <c r="T158" s="933">
        <v>31.18</v>
      </c>
      <c r="U158" s="933">
        <v>32.159999999999997</v>
      </c>
      <c r="V158" s="933">
        <v>33.21</v>
      </c>
      <c r="W158" s="933">
        <v>34.409999999999997</v>
      </c>
      <c r="X158" s="933">
        <v>35.770000000000003</v>
      </c>
      <c r="Y158" s="933">
        <v>36.83</v>
      </c>
      <c r="Z158" s="933">
        <v>38.33</v>
      </c>
      <c r="AA158" s="933">
        <v>39.83</v>
      </c>
      <c r="AB158" s="933">
        <v>41.25</v>
      </c>
      <c r="AC158" s="933">
        <v>42.82</v>
      </c>
      <c r="AD158" s="933">
        <v>44.51</v>
      </c>
      <c r="AE158" s="972">
        <v>2.5999999999999999E-2</v>
      </c>
      <c r="AF158" s="933"/>
      <c r="AG158" s="933"/>
      <c r="AH158" s="933"/>
      <c r="AI158" s="933"/>
      <c r="AJ158" s="933"/>
      <c r="AK158" s="933"/>
      <c r="AL158" s="933"/>
      <c r="AM158" s="933"/>
      <c r="AN158" s="933"/>
      <c r="AO158" s="933"/>
      <c r="AP158" s="933"/>
      <c r="AQ158" s="933"/>
      <c r="AR158" s="933"/>
      <c r="AS158" s="933"/>
      <c r="AT158" s="933"/>
      <c r="AU158" s="933"/>
      <c r="AV158" s="933"/>
      <c r="AW158" s="933"/>
      <c r="AX158" s="933"/>
      <c r="AY158" s="933"/>
      <c r="AZ158" s="933"/>
      <c r="BA158" s="933"/>
      <c r="BB158" s="933"/>
      <c r="BC158" s="933"/>
      <c r="BD158" s="933"/>
      <c r="BE158" s="933"/>
      <c r="BF158" s="933"/>
      <c r="BG158" s="933"/>
      <c r="BH158" s="933"/>
      <c r="BI158" s="933"/>
      <c r="BJ158" s="933"/>
      <c r="BK158" s="933"/>
      <c r="BL158" s="933"/>
      <c r="BM158" s="933"/>
      <c r="BN158" s="933"/>
      <c r="BO158" s="933"/>
      <c r="BP158" s="933"/>
      <c r="BQ158" s="933"/>
      <c r="BR158" s="933"/>
      <c r="BS158" s="933"/>
      <c r="BT158" s="933"/>
    </row>
    <row r="159" spans="1:72" x14ac:dyDescent="0.25">
      <c r="A159" s="933" t="s">
        <v>611</v>
      </c>
      <c r="B159" s="933">
        <v>8.65</v>
      </c>
      <c r="C159" s="933">
        <v>16.309999999999999</v>
      </c>
      <c r="D159" s="933">
        <v>9.89</v>
      </c>
      <c r="E159" s="933">
        <v>13.52</v>
      </c>
      <c r="F159" s="933">
        <v>13.82</v>
      </c>
      <c r="G159" s="933">
        <v>15.16</v>
      </c>
      <c r="H159" s="933">
        <v>16.489999999999998</v>
      </c>
      <c r="I159" s="933">
        <v>17.62</v>
      </c>
      <c r="J159" s="933">
        <v>18.350000000000001</v>
      </c>
      <c r="K159" s="933">
        <v>19.239999999999998</v>
      </c>
      <c r="L159" s="933">
        <v>20.059999999999999</v>
      </c>
      <c r="M159" s="933">
        <v>20.97</v>
      </c>
      <c r="N159" s="933">
        <v>21.68</v>
      </c>
      <c r="O159" s="933">
        <v>22.24</v>
      </c>
      <c r="P159" s="933">
        <v>23</v>
      </c>
      <c r="Q159" s="933">
        <v>23.74</v>
      </c>
      <c r="R159" s="933">
        <v>24.52</v>
      </c>
      <c r="S159" s="933">
        <v>25.31</v>
      </c>
      <c r="T159" s="933">
        <v>26.1</v>
      </c>
      <c r="U159" s="933">
        <v>26.74</v>
      </c>
      <c r="V159" s="933">
        <v>27.57</v>
      </c>
      <c r="W159" s="933">
        <v>28.51</v>
      </c>
      <c r="X159" s="933">
        <v>29.51</v>
      </c>
      <c r="Y159" s="933">
        <v>30.6</v>
      </c>
      <c r="Z159" s="933">
        <v>31.8</v>
      </c>
      <c r="AA159" s="933">
        <v>32.92</v>
      </c>
      <c r="AB159" s="933">
        <v>34.03</v>
      </c>
      <c r="AC159" s="933">
        <v>35.29</v>
      </c>
      <c r="AD159" s="933">
        <v>36.5</v>
      </c>
      <c r="AE159" s="972">
        <v>0.03</v>
      </c>
      <c r="AF159" s="933"/>
      <c r="AG159" s="933"/>
      <c r="AH159" s="933"/>
      <c r="AI159" s="933"/>
      <c r="AJ159" s="933"/>
      <c r="AK159" s="933"/>
      <c r="AL159" s="933"/>
      <c r="AM159" s="933"/>
      <c r="AN159" s="933"/>
      <c r="AO159" s="933"/>
      <c r="AP159" s="933"/>
      <c r="AQ159" s="933"/>
      <c r="AR159" s="933"/>
      <c r="AS159" s="933"/>
      <c r="AT159" s="933"/>
      <c r="AU159" s="933"/>
      <c r="AV159" s="933"/>
      <c r="AW159" s="933"/>
      <c r="AX159" s="933"/>
      <c r="AY159" s="933"/>
      <c r="AZ159" s="933"/>
      <c r="BA159" s="933"/>
      <c r="BB159" s="933"/>
      <c r="BC159" s="933"/>
      <c r="BD159" s="933"/>
      <c r="BE159" s="933"/>
      <c r="BF159" s="933"/>
      <c r="BG159" s="933"/>
      <c r="BH159" s="933"/>
      <c r="BI159" s="933"/>
      <c r="BJ159" s="933"/>
      <c r="BK159" s="933"/>
      <c r="BL159" s="933"/>
      <c r="BM159" s="933"/>
      <c r="BN159" s="933"/>
      <c r="BO159" s="933"/>
      <c r="BP159" s="933"/>
      <c r="BQ159" s="933"/>
      <c r="BR159" s="933"/>
      <c r="BS159" s="933"/>
      <c r="BT159" s="933"/>
    </row>
    <row r="160" spans="1:72" x14ac:dyDescent="0.25">
      <c r="A160" s="933" t="s">
        <v>613</v>
      </c>
      <c r="B160" s="933">
        <v>7.41</v>
      </c>
      <c r="C160" s="933">
        <v>9.11</v>
      </c>
      <c r="D160" s="933">
        <v>4.26</v>
      </c>
      <c r="E160" s="933">
        <v>5.0199999999999996</v>
      </c>
      <c r="F160" s="933">
        <v>6.23</v>
      </c>
      <c r="G160" s="933">
        <v>6.76</v>
      </c>
      <c r="H160" s="933">
        <v>6.82</v>
      </c>
      <c r="I160" s="933">
        <v>6.89</v>
      </c>
      <c r="J160" s="933">
        <v>7.18</v>
      </c>
      <c r="K160" s="933">
        <v>7.39</v>
      </c>
      <c r="L160" s="933">
        <v>7.52</v>
      </c>
      <c r="M160" s="933">
        <v>7.71</v>
      </c>
      <c r="N160" s="933">
        <v>7.91</v>
      </c>
      <c r="O160" s="933">
        <v>8.19</v>
      </c>
      <c r="P160" s="933">
        <v>8.4700000000000006</v>
      </c>
      <c r="Q160" s="933">
        <v>8.8800000000000008</v>
      </c>
      <c r="R160" s="933">
        <v>9.14</v>
      </c>
      <c r="S160" s="933">
        <v>9.26</v>
      </c>
      <c r="T160" s="933">
        <v>9.52</v>
      </c>
      <c r="U160" s="933">
        <v>9.9</v>
      </c>
      <c r="V160" s="933">
        <v>10.31</v>
      </c>
      <c r="W160" s="933">
        <v>10.85</v>
      </c>
      <c r="X160" s="933">
        <v>11.41</v>
      </c>
      <c r="Y160" s="933">
        <v>12.04</v>
      </c>
      <c r="Z160" s="933">
        <v>12.79</v>
      </c>
      <c r="AA160" s="933">
        <v>13.25</v>
      </c>
      <c r="AB160" s="933">
        <v>13.56</v>
      </c>
      <c r="AC160" s="933">
        <v>14.17</v>
      </c>
      <c r="AD160" s="933">
        <v>14.67</v>
      </c>
      <c r="AE160" s="972">
        <v>1.7999999999999999E-2</v>
      </c>
      <c r="AF160" s="933"/>
      <c r="AG160" s="933"/>
      <c r="AH160" s="933"/>
      <c r="AI160" s="933"/>
      <c r="AJ160" s="933"/>
      <c r="AK160" s="933"/>
      <c r="AL160" s="933"/>
      <c r="AM160" s="933"/>
      <c r="AN160" s="933"/>
      <c r="AO160" s="933"/>
      <c r="AP160" s="933"/>
      <c r="AQ160" s="933"/>
      <c r="AR160" s="933"/>
      <c r="AS160" s="933"/>
      <c r="AT160" s="933"/>
      <c r="AU160" s="933"/>
      <c r="AV160" s="933"/>
      <c r="AW160" s="933"/>
      <c r="AX160" s="933"/>
      <c r="AY160" s="933"/>
      <c r="AZ160" s="933"/>
      <c r="BA160" s="933"/>
      <c r="BB160" s="933"/>
      <c r="BC160" s="933"/>
      <c r="BD160" s="933"/>
      <c r="BE160" s="933"/>
      <c r="BF160" s="933"/>
      <c r="BG160" s="933"/>
      <c r="BH160" s="933"/>
      <c r="BI160" s="933"/>
      <c r="BJ160" s="933"/>
      <c r="BK160" s="933"/>
      <c r="BL160" s="933"/>
      <c r="BM160" s="933"/>
      <c r="BN160" s="933"/>
      <c r="BO160" s="933"/>
      <c r="BP160" s="933"/>
      <c r="BQ160" s="933"/>
      <c r="BR160" s="933"/>
      <c r="BS160" s="933"/>
      <c r="BT160" s="933"/>
    </row>
    <row r="161" spans="1:72" x14ac:dyDescent="0.25">
      <c r="A161" s="933" t="s">
        <v>614</v>
      </c>
      <c r="B161" s="933">
        <v>3.61</v>
      </c>
      <c r="C161" s="933">
        <v>4.49</v>
      </c>
      <c r="D161" s="933">
        <v>4.79</v>
      </c>
      <c r="E161" s="933">
        <v>4.9400000000000004</v>
      </c>
      <c r="F161" s="933">
        <v>5.07</v>
      </c>
      <c r="G161" s="933">
        <v>5.31</v>
      </c>
      <c r="H161" s="933">
        <v>5.44</v>
      </c>
      <c r="I161" s="933">
        <v>5.56</v>
      </c>
      <c r="J161" s="933">
        <v>5.66</v>
      </c>
      <c r="K161" s="933">
        <v>5.77</v>
      </c>
      <c r="L161" s="933">
        <v>5.97</v>
      </c>
      <c r="M161" s="933">
        <v>6.14</v>
      </c>
      <c r="N161" s="933">
        <v>6.34</v>
      </c>
      <c r="O161" s="933">
        <v>6.5</v>
      </c>
      <c r="P161" s="933">
        <v>6.68</v>
      </c>
      <c r="Q161" s="933">
        <v>6.84</v>
      </c>
      <c r="R161" s="933">
        <v>6.98</v>
      </c>
      <c r="S161" s="933">
        <v>7.07</v>
      </c>
      <c r="T161" s="933">
        <v>7.11</v>
      </c>
      <c r="U161" s="933">
        <v>7.15</v>
      </c>
      <c r="V161" s="933">
        <v>7.27</v>
      </c>
      <c r="W161" s="933">
        <v>7.43</v>
      </c>
      <c r="X161" s="933">
        <v>7.55</v>
      </c>
      <c r="Y161" s="933">
        <v>7.72</v>
      </c>
      <c r="Z161" s="933">
        <v>7.86</v>
      </c>
      <c r="AA161" s="933">
        <v>8.02</v>
      </c>
      <c r="AB161" s="933">
        <v>8.18</v>
      </c>
      <c r="AC161" s="933">
        <v>8.33</v>
      </c>
      <c r="AD161" s="933">
        <v>8.5</v>
      </c>
      <c r="AE161" s="972">
        <v>2.4E-2</v>
      </c>
      <c r="AF161" s="933"/>
      <c r="AG161" s="933"/>
      <c r="AH161" s="933"/>
      <c r="AI161" s="933"/>
      <c r="AJ161" s="933"/>
      <c r="AK161" s="933"/>
      <c r="AL161" s="933"/>
      <c r="AM161" s="933"/>
      <c r="AN161" s="933"/>
      <c r="AO161" s="933"/>
      <c r="AP161" s="933"/>
      <c r="AQ161" s="933"/>
      <c r="AR161" s="933"/>
      <c r="AS161" s="933"/>
      <c r="AT161" s="933"/>
      <c r="AU161" s="933"/>
      <c r="AV161" s="933"/>
      <c r="AW161" s="933"/>
      <c r="AX161" s="933"/>
      <c r="AY161" s="933"/>
      <c r="AZ161" s="933"/>
      <c r="BA161" s="933"/>
      <c r="BB161" s="933"/>
      <c r="BC161" s="933"/>
      <c r="BD161" s="933"/>
      <c r="BE161" s="933"/>
      <c r="BF161" s="933"/>
      <c r="BG161" s="933"/>
      <c r="BH161" s="933"/>
      <c r="BI161" s="933"/>
      <c r="BJ161" s="933"/>
      <c r="BK161" s="933"/>
      <c r="BL161" s="933"/>
      <c r="BM161" s="933"/>
      <c r="BN161" s="933"/>
      <c r="BO161" s="933"/>
      <c r="BP161" s="933"/>
      <c r="BQ161" s="933"/>
      <c r="BR161" s="933"/>
      <c r="BS161" s="933"/>
      <c r="BT161" s="933"/>
    </row>
    <row r="162" spans="1:72" x14ac:dyDescent="0.25">
      <c r="A162" s="933" t="s">
        <v>615</v>
      </c>
      <c r="B162" s="933">
        <v>2.4300000000000002</v>
      </c>
      <c r="C162" s="933">
        <v>2.84</v>
      </c>
      <c r="D162" s="933">
        <v>2.83</v>
      </c>
      <c r="E162" s="933">
        <v>2.77</v>
      </c>
      <c r="F162" s="933">
        <v>2.81</v>
      </c>
      <c r="G162" s="933">
        <v>2.85</v>
      </c>
      <c r="H162" s="933">
        <v>2.86</v>
      </c>
      <c r="I162" s="933">
        <v>2.93</v>
      </c>
      <c r="J162" s="933">
        <v>3</v>
      </c>
      <c r="K162" s="933">
        <v>3.04</v>
      </c>
      <c r="L162" s="933">
        <v>3.11</v>
      </c>
      <c r="M162" s="933">
        <v>3.16</v>
      </c>
      <c r="N162" s="933">
        <v>3.2</v>
      </c>
      <c r="O162" s="933">
        <v>3.26</v>
      </c>
      <c r="P162" s="933">
        <v>3.31</v>
      </c>
      <c r="Q162" s="933">
        <v>3.38</v>
      </c>
      <c r="R162" s="933">
        <v>3.43</v>
      </c>
      <c r="S162" s="933">
        <v>3.5</v>
      </c>
      <c r="T162" s="933">
        <v>3.56</v>
      </c>
      <c r="U162" s="933">
        <v>3.65</v>
      </c>
      <c r="V162" s="933">
        <v>3.72</v>
      </c>
      <c r="W162" s="933">
        <v>3.82</v>
      </c>
      <c r="X162" s="933">
        <v>3.91</v>
      </c>
      <c r="Y162" s="933">
        <v>4.01</v>
      </c>
      <c r="Z162" s="933">
        <v>4.12</v>
      </c>
      <c r="AA162" s="933">
        <v>4.21</v>
      </c>
      <c r="AB162" s="933">
        <v>4.33</v>
      </c>
      <c r="AC162" s="933">
        <v>4.4400000000000004</v>
      </c>
      <c r="AD162" s="933">
        <v>4.55</v>
      </c>
      <c r="AE162" s="972">
        <v>1.7999999999999999E-2</v>
      </c>
      <c r="AF162" s="933"/>
      <c r="AG162" s="933"/>
      <c r="AH162" s="933"/>
      <c r="AI162" s="933"/>
      <c r="AJ162" s="933"/>
      <c r="AK162" s="933"/>
      <c r="AL162" s="933"/>
      <c r="AM162" s="933"/>
      <c r="AN162" s="933"/>
      <c r="AO162" s="933"/>
      <c r="AP162" s="933"/>
      <c r="AQ162" s="933"/>
      <c r="AR162" s="933"/>
      <c r="AS162" s="933"/>
      <c r="AT162" s="933"/>
      <c r="AU162" s="933"/>
      <c r="AV162" s="933"/>
      <c r="AW162" s="933"/>
      <c r="AX162" s="933"/>
      <c r="AY162" s="933"/>
      <c r="AZ162" s="933"/>
      <c r="BA162" s="933"/>
      <c r="BB162" s="933"/>
      <c r="BC162" s="933"/>
      <c r="BD162" s="933"/>
      <c r="BE162" s="933"/>
      <c r="BF162" s="933"/>
      <c r="BG162" s="933"/>
      <c r="BH162" s="933"/>
      <c r="BI162" s="933"/>
      <c r="BJ162" s="933"/>
      <c r="BK162" s="933"/>
      <c r="BL162" s="933"/>
      <c r="BM162" s="933"/>
      <c r="BN162" s="933"/>
      <c r="BO162" s="933"/>
      <c r="BP162" s="933"/>
      <c r="BQ162" s="933"/>
      <c r="BR162" s="933"/>
      <c r="BS162" s="933"/>
      <c r="BT162" s="933"/>
    </row>
    <row r="163" spans="1:72" x14ac:dyDescent="0.25">
      <c r="A163" s="933" t="s">
        <v>616</v>
      </c>
      <c r="B163" s="933" t="s">
        <v>788</v>
      </c>
      <c r="C163" s="933" t="s">
        <v>788</v>
      </c>
      <c r="D163" s="933" t="s">
        <v>788</v>
      </c>
      <c r="E163" s="933" t="s">
        <v>788</v>
      </c>
      <c r="F163" s="933">
        <v>1.32</v>
      </c>
      <c r="G163" s="933">
        <v>1.1000000000000001</v>
      </c>
      <c r="H163" s="933">
        <v>1.1200000000000001</v>
      </c>
      <c r="I163" s="933">
        <v>1.55</v>
      </c>
      <c r="J163" s="933">
        <v>1.58</v>
      </c>
      <c r="K163" s="933">
        <v>1.65</v>
      </c>
      <c r="L163" s="933">
        <v>1.72</v>
      </c>
      <c r="M163" s="933">
        <v>1.74</v>
      </c>
      <c r="N163" s="933">
        <v>1.76</v>
      </c>
      <c r="O163" s="933">
        <v>1.79</v>
      </c>
      <c r="P163" s="933">
        <v>1.86</v>
      </c>
      <c r="Q163" s="933">
        <v>1.91</v>
      </c>
      <c r="R163" s="933">
        <v>1.98</v>
      </c>
      <c r="S163" s="933">
        <v>1.99</v>
      </c>
      <c r="T163" s="933">
        <v>2.02</v>
      </c>
      <c r="U163" s="933">
        <v>2.04</v>
      </c>
      <c r="V163" s="933">
        <v>2.0699999999999998</v>
      </c>
      <c r="W163" s="933">
        <v>2.1</v>
      </c>
      <c r="X163" s="933">
        <v>2.13</v>
      </c>
      <c r="Y163" s="933">
        <v>2.1800000000000002</v>
      </c>
      <c r="Z163" s="933">
        <v>2.2200000000000002</v>
      </c>
      <c r="AA163" s="933">
        <v>2.2799999999999998</v>
      </c>
      <c r="AB163" s="933">
        <v>2.35</v>
      </c>
      <c r="AC163" s="933">
        <v>2.44</v>
      </c>
      <c r="AD163" s="933">
        <v>2.5299999999999998</v>
      </c>
      <c r="AE163" s="933" t="s">
        <v>788</v>
      </c>
      <c r="AF163" s="933"/>
      <c r="AG163" s="933"/>
      <c r="AH163" s="933"/>
      <c r="AI163" s="933"/>
      <c r="AJ163" s="933"/>
      <c r="AK163" s="933"/>
      <c r="AL163" s="933"/>
      <c r="AM163" s="933"/>
      <c r="AN163" s="933"/>
      <c r="AO163" s="933"/>
      <c r="AP163" s="933"/>
      <c r="AQ163" s="933"/>
      <c r="AR163" s="933"/>
      <c r="AS163" s="933"/>
      <c r="AT163" s="933"/>
      <c r="AU163" s="933"/>
      <c r="AV163" s="933"/>
      <c r="AW163" s="933"/>
      <c r="AX163" s="933"/>
      <c r="AY163" s="933"/>
      <c r="AZ163" s="933"/>
      <c r="BA163" s="933"/>
      <c r="BB163" s="933"/>
      <c r="BC163" s="933"/>
      <c r="BD163" s="933"/>
      <c r="BE163" s="933"/>
      <c r="BF163" s="933"/>
      <c r="BG163" s="933"/>
      <c r="BH163" s="933"/>
      <c r="BI163" s="933"/>
      <c r="BJ163" s="933"/>
      <c r="BK163" s="933"/>
      <c r="BL163" s="933"/>
      <c r="BM163" s="933"/>
      <c r="BN163" s="933"/>
      <c r="BO163" s="933"/>
      <c r="BP163" s="933"/>
      <c r="BQ163" s="933"/>
      <c r="BR163" s="933"/>
      <c r="BS163" s="933"/>
      <c r="BT163" s="933"/>
    </row>
    <row r="164" spans="1:72" x14ac:dyDescent="0.25">
      <c r="A164" s="933" t="s">
        <v>479</v>
      </c>
      <c r="B164" s="933">
        <v>18.600000000000001</v>
      </c>
      <c r="C164" s="933">
        <v>20.21</v>
      </c>
      <c r="D164" s="933">
        <v>20.350000000000001</v>
      </c>
      <c r="E164" s="933">
        <v>19.73</v>
      </c>
      <c r="F164" s="933">
        <v>17.86</v>
      </c>
      <c r="G164" s="933">
        <v>18.77</v>
      </c>
      <c r="H164" s="933">
        <v>18.98</v>
      </c>
      <c r="I164" s="933">
        <v>19.010000000000002</v>
      </c>
      <c r="J164" s="933">
        <v>19.36</v>
      </c>
      <c r="K164" s="933">
        <v>19.989999999999998</v>
      </c>
      <c r="L164" s="933">
        <v>20.51</v>
      </c>
      <c r="M164" s="933">
        <v>20.91</v>
      </c>
      <c r="N164" s="933">
        <v>21.27</v>
      </c>
      <c r="O164" s="933">
        <v>21.9</v>
      </c>
      <c r="P164" s="933">
        <v>22.56</v>
      </c>
      <c r="Q164" s="933">
        <v>23.2</v>
      </c>
      <c r="R164" s="933">
        <v>23.95</v>
      </c>
      <c r="S164" s="933">
        <v>24.64</v>
      </c>
      <c r="T164" s="933">
        <v>25.11</v>
      </c>
      <c r="U164" s="933">
        <v>25.79</v>
      </c>
      <c r="V164" s="933">
        <v>26.57</v>
      </c>
      <c r="W164" s="933">
        <v>27.41</v>
      </c>
      <c r="X164" s="933">
        <v>28.5</v>
      </c>
      <c r="Y164" s="933">
        <v>29.55</v>
      </c>
      <c r="Z164" s="933">
        <v>30.67</v>
      </c>
      <c r="AA164" s="933">
        <v>31.8</v>
      </c>
      <c r="AB164" s="933">
        <v>32.71</v>
      </c>
      <c r="AC164" s="933">
        <v>33.76</v>
      </c>
      <c r="AD164" s="933">
        <v>34.799999999999997</v>
      </c>
      <c r="AE164" s="972">
        <v>0.02</v>
      </c>
      <c r="AF164" s="933"/>
      <c r="AG164" s="933"/>
      <c r="AH164" s="933"/>
      <c r="AI164" s="933"/>
      <c r="AJ164" s="933"/>
      <c r="AK164" s="933"/>
      <c r="AL164" s="933"/>
      <c r="AM164" s="933"/>
      <c r="AN164" s="933"/>
      <c r="AO164" s="933"/>
      <c r="AP164" s="933"/>
      <c r="AQ164" s="933"/>
      <c r="AR164" s="933"/>
      <c r="AS164" s="933"/>
      <c r="AT164" s="933"/>
      <c r="AU164" s="933"/>
      <c r="AV164" s="933"/>
      <c r="AW164" s="933"/>
      <c r="AX164" s="933"/>
      <c r="AY164" s="933"/>
      <c r="AZ164" s="933"/>
      <c r="BA164" s="933"/>
      <c r="BB164" s="933"/>
      <c r="BC164" s="933"/>
      <c r="BD164" s="933"/>
      <c r="BE164" s="933"/>
      <c r="BF164" s="933"/>
      <c r="BG164" s="933"/>
      <c r="BH164" s="933"/>
      <c r="BI164" s="933"/>
      <c r="BJ164" s="933"/>
      <c r="BK164" s="933"/>
      <c r="BL164" s="933"/>
      <c r="BM164" s="933"/>
      <c r="BN164" s="933"/>
      <c r="BO164" s="933"/>
      <c r="BP164" s="933"/>
      <c r="BQ164" s="933"/>
      <c r="BR164" s="933"/>
      <c r="BS164" s="933"/>
      <c r="BT164" s="933"/>
    </row>
    <row r="165" spans="1:72" x14ac:dyDescent="0.25">
      <c r="A165" s="933"/>
      <c r="B165" s="933"/>
      <c r="C165" s="933"/>
      <c r="D165" s="933"/>
      <c r="E165" s="933"/>
      <c r="F165" s="933"/>
      <c r="G165" s="933"/>
      <c r="H165" s="933"/>
      <c r="I165" s="933"/>
      <c r="J165" s="933"/>
      <c r="K165" s="933"/>
      <c r="L165" s="933"/>
      <c r="M165" s="933"/>
      <c r="N165" s="933"/>
      <c r="O165" s="933"/>
      <c r="P165" s="933"/>
      <c r="Q165" s="933"/>
      <c r="R165" s="933"/>
      <c r="S165" s="933"/>
      <c r="T165" s="933"/>
      <c r="U165" s="933"/>
      <c r="V165" s="933"/>
      <c r="W165" s="933"/>
      <c r="X165" s="933"/>
      <c r="Y165" s="933"/>
      <c r="Z165" s="933"/>
      <c r="AA165" s="933"/>
      <c r="AB165" s="933"/>
      <c r="AC165" s="933"/>
      <c r="AD165" s="933"/>
      <c r="AE165" s="933"/>
      <c r="AF165" s="933"/>
      <c r="AG165" s="933"/>
      <c r="AH165" s="933"/>
      <c r="AI165" s="933"/>
      <c r="AJ165" s="933"/>
      <c r="AK165" s="933"/>
      <c r="AL165" s="933"/>
      <c r="AM165" s="933"/>
      <c r="AN165" s="933"/>
      <c r="AO165" s="933"/>
      <c r="AP165" s="933"/>
      <c r="AQ165" s="933"/>
      <c r="AR165" s="933"/>
      <c r="AS165" s="933"/>
      <c r="AT165" s="933"/>
      <c r="AU165" s="933"/>
      <c r="AV165" s="933"/>
      <c r="AW165" s="933"/>
      <c r="AX165" s="933"/>
      <c r="AY165" s="933"/>
      <c r="AZ165" s="933"/>
      <c r="BA165" s="933"/>
      <c r="BB165" s="933"/>
      <c r="BC165" s="933"/>
      <c r="BD165" s="933"/>
      <c r="BE165" s="933"/>
      <c r="BF165" s="933"/>
      <c r="BG165" s="933"/>
      <c r="BH165" s="933"/>
      <c r="BI165" s="933"/>
      <c r="BJ165" s="933"/>
      <c r="BK165" s="933"/>
      <c r="BL165" s="933"/>
      <c r="BM165" s="933"/>
      <c r="BN165" s="933"/>
      <c r="BO165" s="933"/>
      <c r="BP165" s="933"/>
      <c r="BQ165" s="933"/>
      <c r="BR165" s="933"/>
      <c r="BS165" s="933"/>
      <c r="BT165" s="933"/>
    </row>
    <row r="166" spans="1:72" x14ac:dyDescent="0.25">
      <c r="A166" s="933" t="s">
        <v>487</v>
      </c>
      <c r="B166" s="933"/>
      <c r="C166" s="933"/>
      <c r="D166" s="933"/>
      <c r="E166" s="933"/>
      <c r="F166" s="933"/>
      <c r="G166" s="933"/>
      <c r="H166" s="933"/>
      <c r="I166" s="933"/>
      <c r="J166" s="933"/>
      <c r="K166" s="933"/>
      <c r="L166" s="933"/>
      <c r="M166" s="933"/>
      <c r="N166" s="933"/>
      <c r="O166" s="933"/>
      <c r="P166" s="933"/>
      <c r="Q166" s="933"/>
      <c r="R166" s="933"/>
      <c r="S166" s="933"/>
      <c r="T166" s="933"/>
      <c r="U166" s="933"/>
      <c r="V166" s="933"/>
      <c r="W166" s="933"/>
      <c r="X166" s="933"/>
      <c r="Y166" s="933"/>
      <c r="Z166" s="933"/>
      <c r="AA166" s="933"/>
      <c r="AB166" s="933"/>
      <c r="AC166" s="933"/>
      <c r="AD166" s="933"/>
      <c r="AE166" s="933"/>
      <c r="AF166" s="933"/>
      <c r="AG166" s="933"/>
      <c r="AH166" s="933"/>
      <c r="AI166" s="933"/>
      <c r="AJ166" s="933"/>
      <c r="AK166" s="933"/>
      <c r="AL166" s="933"/>
      <c r="AM166" s="933"/>
      <c r="AN166" s="933"/>
      <c r="AO166" s="933"/>
      <c r="AP166" s="933"/>
      <c r="AQ166" s="933"/>
      <c r="AR166" s="933"/>
      <c r="AS166" s="933"/>
      <c r="AT166" s="933"/>
      <c r="AU166" s="933"/>
      <c r="AV166" s="933"/>
      <c r="AW166" s="933"/>
      <c r="AX166" s="933"/>
      <c r="AY166" s="933"/>
      <c r="AZ166" s="933"/>
      <c r="BA166" s="933"/>
      <c r="BB166" s="933"/>
      <c r="BC166" s="933"/>
      <c r="BD166" s="933"/>
      <c r="BE166" s="933"/>
      <c r="BF166" s="933"/>
      <c r="BG166" s="933"/>
      <c r="BH166" s="933"/>
      <c r="BI166" s="933"/>
      <c r="BJ166" s="933"/>
      <c r="BK166" s="933"/>
      <c r="BL166" s="933"/>
      <c r="BM166" s="933"/>
      <c r="BN166" s="933"/>
      <c r="BO166" s="933"/>
      <c r="BP166" s="933"/>
      <c r="BQ166" s="933"/>
      <c r="BR166" s="933"/>
      <c r="BS166" s="933"/>
      <c r="BT166" s="933"/>
    </row>
    <row r="167" spans="1:72" x14ac:dyDescent="0.25">
      <c r="A167" s="933" t="s">
        <v>617</v>
      </c>
      <c r="B167" s="933">
        <v>23.31</v>
      </c>
      <c r="C167" s="933">
        <v>29.93</v>
      </c>
      <c r="D167" s="933">
        <v>25.58</v>
      </c>
      <c r="E167" s="933">
        <v>24.61</v>
      </c>
      <c r="F167" s="933">
        <v>25.02</v>
      </c>
      <c r="G167" s="933">
        <v>26.61</v>
      </c>
      <c r="H167" s="933">
        <v>28.36</v>
      </c>
      <c r="I167" s="933">
        <v>29.9</v>
      </c>
      <c r="J167" s="933">
        <v>31.07</v>
      </c>
      <c r="K167" s="933">
        <v>32.36</v>
      </c>
      <c r="L167" s="933">
        <v>33.58</v>
      </c>
      <c r="M167" s="933">
        <v>34.89</v>
      </c>
      <c r="N167" s="933">
        <v>35.840000000000003</v>
      </c>
      <c r="O167" s="933">
        <v>36.82</v>
      </c>
      <c r="P167" s="933">
        <v>37.89</v>
      </c>
      <c r="Q167" s="933">
        <v>38.979999999999997</v>
      </c>
      <c r="R167" s="933">
        <v>40.17</v>
      </c>
      <c r="S167" s="933">
        <v>41.36</v>
      </c>
      <c r="T167" s="933">
        <v>42.56</v>
      </c>
      <c r="U167" s="933">
        <v>43.64</v>
      </c>
      <c r="V167" s="933">
        <v>44.94</v>
      </c>
      <c r="W167" s="933">
        <v>46.27</v>
      </c>
      <c r="X167" s="933">
        <v>47.79</v>
      </c>
      <c r="Y167" s="933">
        <v>49.17</v>
      </c>
      <c r="Z167" s="933">
        <v>50.81</v>
      </c>
      <c r="AA167" s="933">
        <v>52.46</v>
      </c>
      <c r="AB167" s="933">
        <v>54.21</v>
      </c>
      <c r="AC167" s="933">
        <v>55.95</v>
      </c>
      <c r="AD167" s="933">
        <v>57.77</v>
      </c>
      <c r="AE167" s="972">
        <v>2.5000000000000001E-2</v>
      </c>
      <c r="AF167" s="933"/>
      <c r="AG167" s="933"/>
      <c r="AH167" s="933"/>
      <c r="AI167" s="933"/>
      <c r="AJ167" s="933"/>
      <c r="AK167" s="933"/>
      <c r="AL167" s="933"/>
      <c r="AM167" s="933"/>
      <c r="AN167" s="933"/>
      <c r="AO167" s="933"/>
      <c r="AP167" s="933"/>
      <c r="AQ167" s="933"/>
      <c r="AR167" s="933"/>
      <c r="AS167" s="933"/>
      <c r="AT167" s="933"/>
      <c r="AU167" s="933"/>
      <c r="AV167" s="933"/>
      <c r="AW167" s="933"/>
      <c r="AX167" s="933"/>
      <c r="AY167" s="933"/>
      <c r="AZ167" s="933"/>
      <c r="BA167" s="933"/>
      <c r="BB167" s="933"/>
      <c r="BC167" s="933"/>
      <c r="BD167" s="933"/>
      <c r="BE167" s="933"/>
      <c r="BF167" s="933"/>
      <c r="BG167" s="933"/>
      <c r="BH167" s="933"/>
      <c r="BI167" s="933"/>
      <c r="BJ167" s="933"/>
      <c r="BK167" s="933"/>
      <c r="BL167" s="933"/>
      <c r="BM167" s="933"/>
      <c r="BN167" s="933"/>
      <c r="BO167" s="933"/>
      <c r="BP167" s="933"/>
      <c r="BQ167" s="933"/>
      <c r="BR167" s="933"/>
      <c r="BS167" s="933"/>
      <c r="BT167" s="933"/>
    </row>
    <row r="168" spans="1:72" x14ac:dyDescent="0.25">
      <c r="A168" s="933" t="s">
        <v>618</v>
      </c>
      <c r="B168" s="933">
        <v>26.83</v>
      </c>
      <c r="C168" s="933">
        <v>26.93</v>
      </c>
      <c r="D168" s="933">
        <v>23.64</v>
      </c>
      <c r="E168" s="933">
        <v>21.26</v>
      </c>
      <c r="F168" s="933">
        <v>21.89</v>
      </c>
      <c r="G168" s="933">
        <v>23.43</v>
      </c>
      <c r="H168" s="933">
        <v>26.07</v>
      </c>
      <c r="I168" s="933">
        <v>27.64</v>
      </c>
      <c r="J168" s="933">
        <v>28.47</v>
      </c>
      <c r="K168" s="933">
        <v>28.45</v>
      </c>
      <c r="L168" s="933">
        <v>29.92</v>
      </c>
      <c r="M168" s="933">
        <v>31.23</v>
      </c>
      <c r="N168" s="933">
        <v>31.97</v>
      </c>
      <c r="O168" s="933">
        <v>32.94</v>
      </c>
      <c r="P168" s="933">
        <v>34.090000000000003</v>
      </c>
      <c r="Q168" s="933">
        <v>35.479999999999997</v>
      </c>
      <c r="R168" s="933">
        <v>36.880000000000003</v>
      </c>
      <c r="S168" s="933">
        <v>37.979999999999997</v>
      </c>
      <c r="T168" s="933">
        <v>39.17</v>
      </c>
      <c r="U168" s="933">
        <v>40.479999999999997</v>
      </c>
      <c r="V168" s="933">
        <v>41.72</v>
      </c>
      <c r="W168" s="933">
        <v>43.4</v>
      </c>
      <c r="X168" s="933">
        <v>44.96</v>
      </c>
      <c r="Y168" s="933">
        <v>46.25</v>
      </c>
      <c r="Z168" s="933">
        <v>47.62</v>
      </c>
      <c r="AA168" s="933">
        <v>49.36</v>
      </c>
      <c r="AB168" s="933">
        <v>50.75</v>
      </c>
      <c r="AC168" s="933">
        <v>52.29</v>
      </c>
      <c r="AD168" s="933">
        <v>54.17</v>
      </c>
      <c r="AE168" s="972">
        <v>2.5999999999999999E-2</v>
      </c>
      <c r="AF168" s="933"/>
      <c r="AG168" s="933"/>
      <c r="AH168" s="933"/>
      <c r="AI168" s="933"/>
      <c r="AJ168" s="933"/>
      <c r="AK168" s="933"/>
      <c r="AL168" s="933"/>
      <c r="AM168" s="933"/>
      <c r="AN168" s="933"/>
      <c r="AO168" s="933"/>
      <c r="AP168" s="933"/>
      <c r="AQ168" s="933"/>
      <c r="AR168" s="933"/>
      <c r="AS168" s="933"/>
      <c r="AT168" s="933"/>
      <c r="AU168" s="933"/>
      <c r="AV168" s="933"/>
      <c r="AW168" s="933"/>
      <c r="AX168" s="933"/>
      <c r="AY168" s="933"/>
      <c r="AZ168" s="933"/>
      <c r="BA168" s="933"/>
      <c r="BB168" s="933"/>
      <c r="BC168" s="933"/>
      <c r="BD168" s="933"/>
      <c r="BE168" s="933"/>
      <c r="BF168" s="933"/>
      <c r="BG168" s="933"/>
      <c r="BH168" s="933"/>
      <c r="BI168" s="933"/>
      <c r="BJ168" s="933"/>
      <c r="BK168" s="933"/>
      <c r="BL168" s="933"/>
      <c r="BM168" s="933"/>
      <c r="BN168" s="933"/>
      <c r="BO168" s="933"/>
      <c r="BP168" s="933"/>
      <c r="BQ168" s="933"/>
      <c r="BR168" s="933"/>
      <c r="BS168" s="933"/>
      <c r="BT168" s="933"/>
    </row>
    <row r="169" spans="1:72" x14ac:dyDescent="0.25">
      <c r="A169" s="933" t="s">
        <v>619</v>
      </c>
      <c r="B169" s="933">
        <v>23.15</v>
      </c>
      <c r="C169" s="933">
        <v>26.76</v>
      </c>
      <c r="D169" s="933">
        <v>19.43</v>
      </c>
      <c r="E169" s="933">
        <v>21.17</v>
      </c>
      <c r="F169" s="933">
        <v>21.79</v>
      </c>
      <c r="G169" s="933">
        <v>23.32</v>
      </c>
      <c r="H169" s="933">
        <v>25.87</v>
      </c>
      <c r="I169" s="933">
        <v>27.33</v>
      </c>
      <c r="J169" s="933">
        <v>28.27</v>
      </c>
      <c r="K169" s="933">
        <v>29.42</v>
      </c>
      <c r="L169" s="933">
        <v>30.58</v>
      </c>
      <c r="M169" s="933">
        <v>31.65</v>
      </c>
      <c r="N169" s="933">
        <v>32.6</v>
      </c>
      <c r="O169" s="933">
        <v>33.72</v>
      </c>
      <c r="P169" s="933">
        <v>34.72</v>
      </c>
      <c r="Q169" s="933">
        <v>35.94</v>
      </c>
      <c r="R169" s="933">
        <v>37.020000000000003</v>
      </c>
      <c r="S169" s="933">
        <v>37.96</v>
      </c>
      <c r="T169" s="933">
        <v>39.18</v>
      </c>
      <c r="U169" s="933">
        <v>40.44</v>
      </c>
      <c r="V169" s="933">
        <v>41.69</v>
      </c>
      <c r="W169" s="933">
        <v>43.21</v>
      </c>
      <c r="X169" s="933">
        <v>44.7</v>
      </c>
      <c r="Y169" s="933">
        <v>45.91</v>
      </c>
      <c r="Z169" s="933">
        <v>47.47</v>
      </c>
      <c r="AA169" s="933">
        <v>49.16</v>
      </c>
      <c r="AB169" s="933">
        <v>50.66</v>
      </c>
      <c r="AC169" s="933">
        <v>52.36</v>
      </c>
      <c r="AD169" s="933">
        <v>54.33</v>
      </c>
      <c r="AE169" s="972">
        <v>2.7E-2</v>
      </c>
      <c r="AF169" s="933"/>
      <c r="AG169" s="933"/>
      <c r="AH169" s="933"/>
      <c r="AI169" s="933"/>
      <c r="AJ169" s="933"/>
      <c r="AK169" s="933"/>
      <c r="AL169" s="933"/>
      <c r="AM169" s="933"/>
      <c r="AN169" s="933"/>
      <c r="AO169" s="933"/>
      <c r="AP169" s="933"/>
      <c r="AQ169" s="933"/>
      <c r="AR169" s="933"/>
      <c r="AS169" s="933"/>
      <c r="AT169" s="933"/>
      <c r="AU169" s="933"/>
      <c r="AV169" s="933"/>
      <c r="AW169" s="933"/>
      <c r="AX169" s="933"/>
      <c r="AY169" s="933"/>
      <c r="AZ169" s="933"/>
      <c r="BA169" s="933"/>
      <c r="BB169" s="933"/>
      <c r="BC169" s="933"/>
      <c r="BD169" s="933"/>
      <c r="BE169" s="933"/>
      <c r="BF169" s="933"/>
      <c r="BG169" s="933"/>
      <c r="BH169" s="933"/>
      <c r="BI169" s="933"/>
      <c r="BJ169" s="933"/>
      <c r="BK169" s="933"/>
      <c r="BL169" s="933"/>
      <c r="BM169" s="933"/>
      <c r="BN169" s="933"/>
      <c r="BO169" s="933"/>
      <c r="BP169" s="933"/>
      <c r="BQ169" s="933"/>
      <c r="BR169" s="933"/>
      <c r="BS169" s="933"/>
      <c r="BT169" s="933"/>
    </row>
    <row r="170" spans="1:72" x14ac:dyDescent="0.25">
      <c r="A170" s="933" t="s">
        <v>620</v>
      </c>
      <c r="B170" s="933">
        <v>15.42</v>
      </c>
      <c r="C170" s="933">
        <v>22.71</v>
      </c>
      <c r="D170" s="933">
        <v>12.92</v>
      </c>
      <c r="E170" s="933">
        <v>15.23</v>
      </c>
      <c r="F170" s="933">
        <v>15.82</v>
      </c>
      <c r="G170" s="933">
        <v>17.510000000000002</v>
      </c>
      <c r="H170" s="933">
        <v>19.05</v>
      </c>
      <c r="I170" s="933">
        <v>20.23</v>
      </c>
      <c r="J170" s="933">
        <v>21.21</v>
      </c>
      <c r="K170" s="933">
        <v>22.42</v>
      </c>
      <c r="L170" s="933">
        <v>23.58</v>
      </c>
      <c r="M170" s="933">
        <v>24.67</v>
      </c>
      <c r="N170" s="933">
        <v>25.58</v>
      </c>
      <c r="O170" s="933">
        <v>26.51</v>
      </c>
      <c r="P170" s="933">
        <v>27.27</v>
      </c>
      <c r="Q170" s="933">
        <v>28.18</v>
      </c>
      <c r="R170" s="933">
        <v>29.2</v>
      </c>
      <c r="S170" s="933">
        <v>30.07</v>
      </c>
      <c r="T170" s="933">
        <v>31.1</v>
      </c>
      <c r="U170" s="933">
        <v>32.130000000000003</v>
      </c>
      <c r="V170" s="933">
        <v>33.21</v>
      </c>
      <c r="W170" s="933">
        <v>34.54</v>
      </c>
      <c r="X170" s="933">
        <v>35.83</v>
      </c>
      <c r="Y170" s="933">
        <v>36.99</v>
      </c>
      <c r="Z170" s="933">
        <v>38.42</v>
      </c>
      <c r="AA170" s="933">
        <v>39.92</v>
      </c>
      <c r="AB170" s="933">
        <v>41.32</v>
      </c>
      <c r="AC170" s="933">
        <v>42.87</v>
      </c>
      <c r="AD170" s="933">
        <v>44.51</v>
      </c>
      <c r="AE170" s="972">
        <v>2.5000000000000001E-2</v>
      </c>
      <c r="AF170" s="933"/>
      <c r="AG170" s="933"/>
      <c r="AH170" s="933"/>
      <c r="AI170" s="933"/>
      <c r="AJ170" s="933"/>
      <c r="AK170" s="933"/>
      <c r="AL170" s="933"/>
      <c r="AM170" s="933"/>
      <c r="AN170" s="933"/>
      <c r="AO170" s="933"/>
      <c r="AP170" s="933"/>
      <c r="AQ170" s="933"/>
      <c r="AR170" s="933"/>
      <c r="AS170" s="933"/>
      <c r="AT170" s="933"/>
      <c r="AU170" s="933"/>
      <c r="AV170" s="933"/>
      <c r="AW170" s="933"/>
      <c r="AX170" s="933"/>
      <c r="AY170" s="933"/>
      <c r="AZ170" s="933"/>
      <c r="BA170" s="933"/>
      <c r="BB170" s="933"/>
      <c r="BC170" s="933"/>
      <c r="BD170" s="933"/>
      <c r="BE170" s="933"/>
      <c r="BF170" s="933"/>
      <c r="BG170" s="933"/>
      <c r="BH170" s="933"/>
      <c r="BI170" s="933"/>
      <c r="BJ170" s="933"/>
      <c r="BK170" s="933"/>
      <c r="BL170" s="933"/>
      <c r="BM170" s="933"/>
      <c r="BN170" s="933"/>
      <c r="BO170" s="933"/>
      <c r="BP170" s="933"/>
      <c r="BQ170" s="933"/>
      <c r="BR170" s="933"/>
      <c r="BS170" s="933"/>
      <c r="BT170" s="933"/>
    </row>
    <row r="171" spans="1:72" x14ac:dyDescent="0.25">
      <c r="A171" s="933" t="s">
        <v>724</v>
      </c>
      <c r="B171" s="933">
        <v>21.08</v>
      </c>
      <c r="C171" s="933">
        <v>27.65</v>
      </c>
      <c r="D171" s="933">
        <v>18.04</v>
      </c>
      <c r="E171" s="933">
        <v>19.7</v>
      </c>
      <c r="F171" s="933">
        <v>20.149999999999999</v>
      </c>
      <c r="G171" s="933">
        <v>21.71</v>
      </c>
      <c r="H171" s="933">
        <v>23.2</v>
      </c>
      <c r="I171" s="933">
        <v>24.38</v>
      </c>
      <c r="J171" s="933">
        <v>25.56</v>
      </c>
      <c r="K171" s="933">
        <v>26.86</v>
      </c>
      <c r="L171" s="933">
        <v>28.03</v>
      </c>
      <c r="M171" s="933">
        <v>29.31</v>
      </c>
      <c r="N171" s="933">
        <v>30.31</v>
      </c>
      <c r="O171" s="933">
        <v>31.28</v>
      </c>
      <c r="P171" s="933">
        <v>32.19</v>
      </c>
      <c r="Q171" s="933">
        <v>33.32</v>
      </c>
      <c r="R171" s="933">
        <v>34.22</v>
      </c>
      <c r="S171" s="933">
        <v>35.03</v>
      </c>
      <c r="T171" s="933">
        <v>36.130000000000003</v>
      </c>
      <c r="U171" s="933">
        <v>37.17</v>
      </c>
      <c r="V171" s="933">
        <v>38.32</v>
      </c>
      <c r="W171" s="933">
        <v>39.61</v>
      </c>
      <c r="X171" s="933">
        <v>41.05</v>
      </c>
      <c r="Y171" s="933">
        <v>42.2</v>
      </c>
      <c r="Z171" s="933">
        <v>43.79</v>
      </c>
      <c r="AA171" s="933">
        <v>45.41</v>
      </c>
      <c r="AB171" s="933">
        <v>46.88</v>
      </c>
      <c r="AC171" s="933">
        <v>48.53</v>
      </c>
      <c r="AD171" s="933">
        <v>50.35</v>
      </c>
      <c r="AE171" s="972">
        <v>2.1999999999999999E-2</v>
      </c>
      <c r="AF171" s="933"/>
      <c r="AG171" s="933"/>
      <c r="AH171" s="933"/>
      <c r="AI171" s="933"/>
      <c r="AJ171" s="933"/>
      <c r="AK171" s="933"/>
      <c r="AL171" s="933"/>
      <c r="AM171" s="933"/>
      <c r="AN171" s="933"/>
      <c r="AO171" s="933"/>
      <c r="AP171" s="933"/>
      <c r="AQ171" s="933"/>
      <c r="AR171" s="933"/>
      <c r="AS171" s="933"/>
      <c r="AT171" s="933"/>
      <c r="AU171" s="933"/>
      <c r="AV171" s="933"/>
      <c r="AW171" s="933"/>
      <c r="AX171" s="933"/>
      <c r="AY171" s="933"/>
      <c r="AZ171" s="933"/>
      <c r="BA171" s="933"/>
      <c r="BB171" s="933"/>
      <c r="BC171" s="933"/>
      <c r="BD171" s="933"/>
      <c r="BE171" s="933"/>
      <c r="BF171" s="933"/>
      <c r="BG171" s="933"/>
      <c r="BH171" s="933"/>
      <c r="BI171" s="933"/>
      <c r="BJ171" s="933"/>
      <c r="BK171" s="933"/>
      <c r="BL171" s="933"/>
      <c r="BM171" s="933"/>
      <c r="BN171" s="933"/>
      <c r="BO171" s="933"/>
      <c r="BP171" s="933"/>
      <c r="BQ171" s="933"/>
      <c r="BR171" s="933"/>
      <c r="BS171" s="933"/>
      <c r="BT171" s="933"/>
    </row>
    <row r="172" spans="1:72" x14ac:dyDescent="0.25">
      <c r="A172" s="933" t="s">
        <v>611</v>
      </c>
      <c r="B172" s="933">
        <v>8.99</v>
      </c>
      <c r="C172" s="933">
        <v>14.49</v>
      </c>
      <c r="D172" s="933">
        <v>9</v>
      </c>
      <c r="E172" s="933">
        <v>10.51</v>
      </c>
      <c r="F172" s="933">
        <v>10.77</v>
      </c>
      <c r="G172" s="933">
        <v>12.17</v>
      </c>
      <c r="H172" s="933">
        <v>13.4</v>
      </c>
      <c r="I172" s="933">
        <v>14.45</v>
      </c>
      <c r="J172" s="933">
        <v>15.13</v>
      </c>
      <c r="K172" s="933">
        <v>15.77</v>
      </c>
      <c r="L172" s="933">
        <v>16.670000000000002</v>
      </c>
      <c r="M172" s="933">
        <v>17.43</v>
      </c>
      <c r="N172" s="933">
        <v>17.940000000000001</v>
      </c>
      <c r="O172" s="933">
        <v>18.32</v>
      </c>
      <c r="P172" s="933">
        <v>19</v>
      </c>
      <c r="Q172" s="933">
        <v>19.57</v>
      </c>
      <c r="R172" s="933">
        <v>20.260000000000002</v>
      </c>
      <c r="S172" s="933">
        <v>20.94</v>
      </c>
      <c r="T172" s="933">
        <v>21.63</v>
      </c>
      <c r="U172" s="933">
        <v>22.13</v>
      </c>
      <c r="V172" s="933">
        <v>23.02</v>
      </c>
      <c r="W172" s="933">
        <v>23.85</v>
      </c>
      <c r="X172" s="933">
        <v>24.8</v>
      </c>
      <c r="Y172" s="933">
        <v>25.81</v>
      </c>
      <c r="Z172" s="933">
        <v>26.88</v>
      </c>
      <c r="AA172" s="933">
        <v>27.91</v>
      </c>
      <c r="AB172" s="933">
        <v>28.9</v>
      </c>
      <c r="AC172" s="933">
        <v>30.02</v>
      </c>
      <c r="AD172" s="933">
        <v>31.26</v>
      </c>
      <c r="AE172" s="972">
        <v>2.9000000000000001E-2</v>
      </c>
      <c r="AF172" s="933"/>
      <c r="AG172" s="933"/>
      <c r="AH172" s="933"/>
      <c r="AI172" s="933"/>
      <c r="AJ172" s="933"/>
      <c r="AK172" s="933"/>
      <c r="AL172" s="933"/>
      <c r="AM172" s="933"/>
      <c r="AN172" s="933"/>
      <c r="AO172" s="933"/>
      <c r="AP172" s="933"/>
      <c r="AQ172" s="933"/>
      <c r="AR172" s="933"/>
      <c r="AS172" s="933"/>
      <c r="AT172" s="933"/>
      <c r="AU172" s="933"/>
      <c r="AV172" s="933"/>
      <c r="AW172" s="933"/>
      <c r="AX172" s="933"/>
      <c r="AY172" s="933"/>
      <c r="AZ172" s="933"/>
      <c r="BA172" s="933"/>
      <c r="BB172" s="933"/>
      <c r="BC172" s="933"/>
      <c r="BD172" s="933"/>
      <c r="BE172" s="933"/>
      <c r="BF172" s="933"/>
      <c r="BG172" s="933"/>
      <c r="BH172" s="933"/>
      <c r="BI172" s="933"/>
      <c r="BJ172" s="933"/>
      <c r="BK172" s="933"/>
      <c r="BL172" s="933"/>
      <c r="BM172" s="933"/>
      <c r="BN172" s="933"/>
      <c r="BO172" s="933"/>
      <c r="BP172" s="933"/>
      <c r="BQ172" s="933"/>
      <c r="BR172" s="933"/>
      <c r="BS172" s="933"/>
      <c r="BT172" s="933"/>
    </row>
    <row r="173" spans="1:72" x14ac:dyDescent="0.25">
      <c r="A173" s="933" t="s">
        <v>622</v>
      </c>
      <c r="B173" s="933">
        <v>13.54</v>
      </c>
      <c r="C173" s="933">
        <v>15.96</v>
      </c>
      <c r="D173" s="933">
        <v>11.54</v>
      </c>
      <c r="E173" s="933">
        <v>12.36</v>
      </c>
      <c r="F173" s="933">
        <v>13.66</v>
      </c>
      <c r="G173" s="933">
        <v>14.28</v>
      </c>
      <c r="H173" s="933">
        <v>14.39</v>
      </c>
      <c r="I173" s="933">
        <v>14.52</v>
      </c>
      <c r="J173" s="933">
        <v>14.9</v>
      </c>
      <c r="K173" s="933">
        <v>15.21</v>
      </c>
      <c r="L173" s="933">
        <v>15.46</v>
      </c>
      <c r="M173" s="933">
        <v>15.74</v>
      </c>
      <c r="N173" s="933">
        <v>16.04</v>
      </c>
      <c r="O173" s="933">
        <v>16.43</v>
      </c>
      <c r="P173" s="933">
        <v>16.8</v>
      </c>
      <c r="Q173" s="933">
        <v>17.32</v>
      </c>
      <c r="R173" s="933">
        <v>17.64</v>
      </c>
      <c r="S173" s="933">
        <v>17.829999999999998</v>
      </c>
      <c r="T173" s="933">
        <v>18.23</v>
      </c>
      <c r="U173" s="933">
        <v>18.760000000000002</v>
      </c>
      <c r="V173" s="933">
        <v>19.309999999999999</v>
      </c>
      <c r="W173" s="933">
        <v>19.98</v>
      </c>
      <c r="X173" s="933">
        <v>20.67</v>
      </c>
      <c r="Y173" s="933">
        <v>21.42</v>
      </c>
      <c r="Z173" s="933">
        <v>22.31</v>
      </c>
      <c r="AA173" s="933">
        <v>22.94</v>
      </c>
      <c r="AB173" s="933">
        <v>23.44</v>
      </c>
      <c r="AC173" s="933">
        <v>24.19</v>
      </c>
      <c r="AD173" s="933">
        <v>24.84</v>
      </c>
      <c r="AE173" s="972">
        <v>1.7000000000000001E-2</v>
      </c>
      <c r="AF173" s="933"/>
      <c r="AG173" s="933"/>
      <c r="AH173" s="933"/>
      <c r="AI173" s="933"/>
      <c r="AJ173" s="933"/>
      <c r="AK173" s="933"/>
      <c r="AL173" s="933"/>
      <c r="AM173" s="933"/>
      <c r="AN173" s="933"/>
      <c r="AO173" s="933"/>
      <c r="AP173" s="933"/>
      <c r="AQ173" s="933"/>
      <c r="AR173" s="933"/>
      <c r="AS173" s="933"/>
      <c r="AT173" s="933"/>
      <c r="AU173" s="933"/>
      <c r="AV173" s="933"/>
      <c r="AW173" s="933"/>
      <c r="AX173" s="933"/>
      <c r="AY173" s="933"/>
      <c r="AZ173" s="933"/>
      <c r="BA173" s="933"/>
      <c r="BB173" s="933"/>
      <c r="BC173" s="933"/>
      <c r="BD173" s="933"/>
      <c r="BE173" s="933"/>
      <c r="BF173" s="933"/>
      <c r="BG173" s="933"/>
      <c r="BH173" s="933"/>
      <c r="BI173" s="933"/>
      <c r="BJ173" s="933"/>
      <c r="BK173" s="933"/>
      <c r="BL173" s="933"/>
      <c r="BM173" s="933"/>
      <c r="BN173" s="933"/>
      <c r="BO173" s="933"/>
      <c r="BP173" s="933"/>
      <c r="BQ173" s="933"/>
      <c r="BR173" s="933"/>
      <c r="BS173" s="933"/>
      <c r="BT173" s="933"/>
    </row>
    <row r="174" spans="1:72" x14ac:dyDescent="0.25">
      <c r="A174" s="933" t="s">
        <v>479</v>
      </c>
      <c r="B174" s="933">
        <v>31.32</v>
      </c>
      <c r="C174" s="933">
        <v>33.729999999999997</v>
      </c>
      <c r="D174" s="933">
        <v>32.79</v>
      </c>
      <c r="E174" s="933">
        <v>31.2</v>
      </c>
      <c r="F174" s="933">
        <v>28.83</v>
      </c>
      <c r="G174" s="933">
        <v>31.39</v>
      </c>
      <c r="H174" s="933">
        <v>32.01</v>
      </c>
      <c r="I174" s="933">
        <v>31.85</v>
      </c>
      <c r="J174" s="933">
        <v>32.08</v>
      </c>
      <c r="K174" s="933">
        <v>32.909999999999997</v>
      </c>
      <c r="L174" s="933">
        <v>33.549999999999997</v>
      </c>
      <c r="M174" s="933">
        <v>33.97</v>
      </c>
      <c r="N174" s="933">
        <v>34.26</v>
      </c>
      <c r="O174" s="933">
        <v>34.89</v>
      </c>
      <c r="P174" s="933">
        <v>35.61</v>
      </c>
      <c r="Q174" s="933">
        <v>36.26</v>
      </c>
      <c r="R174" s="933">
        <v>37.11</v>
      </c>
      <c r="S174" s="933">
        <v>38.1</v>
      </c>
      <c r="T174" s="933">
        <v>38.86</v>
      </c>
      <c r="U174" s="933">
        <v>40</v>
      </c>
      <c r="V174" s="933">
        <v>41.47</v>
      </c>
      <c r="W174" s="933">
        <v>43.05</v>
      </c>
      <c r="X174" s="933">
        <v>45.05</v>
      </c>
      <c r="Y174" s="933">
        <v>46.8</v>
      </c>
      <c r="Z174" s="933">
        <v>48.78</v>
      </c>
      <c r="AA174" s="933">
        <v>50.72</v>
      </c>
      <c r="AB174" s="933">
        <v>52.33</v>
      </c>
      <c r="AC174" s="933">
        <v>54.13</v>
      </c>
      <c r="AD174" s="933">
        <v>55.89</v>
      </c>
      <c r="AE174" s="972">
        <v>1.9E-2</v>
      </c>
      <c r="AF174" s="933"/>
      <c r="AG174" s="933"/>
      <c r="AH174" s="933"/>
      <c r="AI174" s="933"/>
      <c r="AJ174" s="933"/>
      <c r="AK174" s="933"/>
      <c r="AL174" s="933"/>
      <c r="AM174" s="933"/>
      <c r="AN174" s="933"/>
      <c r="AO174" s="933"/>
      <c r="AP174" s="933"/>
      <c r="AQ174" s="933"/>
      <c r="AR174" s="933"/>
      <c r="AS174" s="933"/>
      <c r="AT174" s="933"/>
      <c r="AU174" s="933"/>
      <c r="AV174" s="933"/>
      <c r="AW174" s="933"/>
      <c r="AX174" s="933"/>
      <c r="AY174" s="933"/>
      <c r="AZ174" s="933"/>
      <c r="BA174" s="933"/>
      <c r="BB174" s="933"/>
      <c r="BC174" s="933"/>
      <c r="BD174" s="933"/>
      <c r="BE174" s="933"/>
      <c r="BF174" s="933"/>
      <c r="BG174" s="933"/>
      <c r="BH174" s="933"/>
      <c r="BI174" s="933"/>
      <c r="BJ174" s="933"/>
      <c r="BK174" s="933"/>
      <c r="BL174" s="933"/>
      <c r="BM174" s="933"/>
      <c r="BN174" s="933"/>
      <c r="BO174" s="933"/>
      <c r="BP174" s="933"/>
      <c r="BQ174" s="933"/>
      <c r="BR174" s="933"/>
      <c r="BS174" s="933"/>
      <c r="BT174" s="933"/>
    </row>
    <row r="175" spans="1:72" x14ac:dyDescent="0.25">
      <c r="A175" s="933"/>
      <c r="B175" s="933"/>
      <c r="C175" s="933"/>
      <c r="D175" s="933"/>
      <c r="E175" s="933"/>
      <c r="F175" s="933"/>
      <c r="G175" s="933"/>
      <c r="H175" s="933"/>
      <c r="I175" s="933"/>
      <c r="J175" s="933"/>
      <c r="K175" s="933"/>
      <c r="L175" s="933"/>
      <c r="M175" s="933"/>
      <c r="N175" s="933"/>
      <c r="O175" s="933"/>
      <c r="P175" s="933"/>
      <c r="Q175" s="933"/>
      <c r="R175" s="933"/>
      <c r="S175" s="933"/>
      <c r="T175" s="933"/>
      <c r="U175" s="933"/>
      <c r="V175" s="933"/>
      <c r="W175" s="933"/>
      <c r="X175" s="933"/>
      <c r="Y175" s="933"/>
      <c r="Z175" s="933"/>
      <c r="AA175" s="933"/>
      <c r="AB175" s="933"/>
      <c r="AC175" s="933"/>
      <c r="AD175" s="933"/>
      <c r="AE175" s="933"/>
      <c r="AF175" s="933"/>
      <c r="AG175" s="933"/>
      <c r="AH175" s="933"/>
      <c r="AI175" s="933"/>
      <c r="AJ175" s="933"/>
      <c r="AK175" s="933"/>
      <c r="AL175" s="933"/>
      <c r="AM175" s="933"/>
      <c r="AN175" s="933"/>
      <c r="AO175" s="933"/>
      <c r="AP175" s="933"/>
      <c r="AQ175" s="933"/>
      <c r="AR175" s="933"/>
      <c r="AS175" s="933"/>
      <c r="AT175" s="933"/>
      <c r="AU175" s="933"/>
      <c r="AV175" s="933"/>
      <c r="AW175" s="933"/>
      <c r="AX175" s="933"/>
      <c r="AY175" s="933"/>
      <c r="AZ175" s="933"/>
      <c r="BA175" s="933"/>
      <c r="BB175" s="933"/>
      <c r="BC175" s="933"/>
      <c r="BD175" s="933"/>
      <c r="BE175" s="933"/>
      <c r="BF175" s="933"/>
      <c r="BG175" s="933"/>
      <c r="BH175" s="933"/>
      <c r="BI175" s="933"/>
      <c r="BJ175" s="933"/>
      <c r="BK175" s="933"/>
      <c r="BL175" s="933"/>
      <c r="BM175" s="933"/>
      <c r="BN175" s="933"/>
      <c r="BO175" s="933"/>
      <c r="BP175" s="933"/>
      <c r="BQ175" s="933"/>
      <c r="BR175" s="933"/>
      <c r="BS175" s="933"/>
      <c r="BT175" s="933"/>
    </row>
    <row r="176" spans="1:72" x14ac:dyDescent="0.25">
      <c r="A176" s="933" t="s">
        <v>623</v>
      </c>
      <c r="B176" s="933"/>
      <c r="C176" s="933"/>
      <c r="D176" s="933"/>
      <c r="E176" s="933"/>
      <c r="F176" s="933"/>
      <c r="G176" s="933"/>
      <c r="H176" s="933"/>
      <c r="I176" s="933"/>
      <c r="J176" s="933"/>
      <c r="K176" s="933"/>
      <c r="L176" s="933"/>
      <c r="M176" s="933"/>
      <c r="N176" s="933"/>
      <c r="O176" s="933"/>
      <c r="P176" s="933"/>
      <c r="Q176" s="933"/>
      <c r="R176" s="933"/>
      <c r="S176" s="933"/>
      <c r="T176" s="933"/>
      <c r="U176" s="933"/>
      <c r="V176" s="933"/>
      <c r="W176" s="933"/>
      <c r="X176" s="933"/>
      <c r="Y176" s="933"/>
      <c r="Z176" s="933"/>
      <c r="AA176" s="933"/>
      <c r="AB176" s="933"/>
      <c r="AC176" s="933"/>
      <c r="AD176" s="933"/>
      <c r="AE176" s="933"/>
      <c r="AF176" s="933"/>
      <c r="AG176" s="933"/>
      <c r="AH176" s="933"/>
      <c r="AI176" s="933"/>
      <c r="AJ176" s="933"/>
      <c r="AK176" s="933"/>
      <c r="AL176" s="933"/>
      <c r="AM176" s="933"/>
      <c r="AN176" s="933"/>
      <c r="AO176" s="933"/>
      <c r="AP176" s="933"/>
      <c r="AQ176" s="933"/>
      <c r="AR176" s="933"/>
      <c r="AS176" s="933"/>
      <c r="AT176" s="933"/>
      <c r="AU176" s="933"/>
      <c r="AV176" s="933"/>
      <c r="AW176" s="933"/>
      <c r="AX176" s="933"/>
      <c r="AY176" s="933"/>
      <c r="AZ176" s="933"/>
      <c r="BA176" s="933"/>
      <c r="BB176" s="933"/>
      <c r="BC176" s="933"/>
      <c r="BD176" s="933"/>
      <c r="BE176" s="933"/>
      <c r="BF176" s="933"/>
      <c r="BG176" s="933"/>
      <c r="BH176" s="933"/>
      <c r="BI176" s="933"/>
      <c r="BJ176" s="933"/>
      <c r="BK176" s="933"/>
      <c r="BL176" s="933"/>
      <c r="BM176" s="933"/>
      <c r="BN176" s="933"/>
      <c r="BO176" s="933"/>
      <c r="BP176" s="933"/>
      <c r="BQ176" s="933"/>
      <c r="BR176" s="933"/>
      <c r="BS176" s="933"/>
      <c r="BT176" s="933"/>
    </row>
    <row r="177" spans="1:72" x14ac:dyDescent="0.25">
      <c r="A177" s="933" t="s">
        <v>610</v>
      </c>
      <c r="B177" s="933">
        <v>15.41</v>
      </c>
      <c r="C177" s="933">
        <v>19.37</v>
      </c>
      <c r="D177" s="933">
        <v>14.46</v>
      </c>
      <c r="E177" s="933">
        <v>14.33</v>
      </c>
      <c r="F177" s="933">
        <v>14.68</v>
      </c>
      <c r="G177" s="933">
        <v>16.09</v>
      </c>
      <c r="H177" s="933">
        <v>17.46</v>
      </c>
      <c r="I177" s="933">
        <v>18.510000000000002</v>
      </c>
      <c r="J177" s="933">
        <v>19.350000000000001</v>
      </c>
      <c r="K177" s="933">
        <v>20.67</v>
      </c>
      <c r="L177" s="933">
        <v>21.81</v>
      </c>
      <c r="M177" s="933">
        <v>22.96</v>
      </c>
      <c r="N177" s="933">
        <v>23.88</v>
      </c>
      <c r="O177" s="933">
        <v>24.75</v>
      </c>
      <c r="P177" s="933">
        <v>25.46</v>
      </c>
      <c r="Q177" s="933">
        <v>26.24</v>
      </c>
      <c r="R177" s="933">
        <v>27.22</v>
      </c>
      <c r="S177" s="933">
        <v>28.03</v>
      </c>
      <c r="T177" s="933">
        <v>28.98</v>
      </c>
      <c r="U177" s="933">
        <v>29.93</v>
      </c>
      <c r="V177" s="933">
        <v>30.88</v>
      </c>
      <c r="W177" s="933">
        <v>32</v>
      </c>
      <c r="X177" s="933">
        <v>33.28</v>
      </c>
      <c r="Y177" s="933">
        <v>34.28</v>
      </c>
      <c r="Z177" s="933">
        <v>35.71</v>
      </c>
      <c r="AA177" s="933">
        <v>37.130000000000003</v>
      </c>
      <c r="AB177" s="933">
        <v>38.46</v>
      </c>
      <c r="AC177" s="933">
        <v>39.950000000000003</v>
      </c>
      <c r="AD177" s="933">
        <v>41.52</v>
      </c>
      <c r="AE177" s="972">
        <v>2.9000000000000001E-2</v>
      </c>
      <c r="AF177" s="933"/>
      <c r="AG177" s="933"/>
      <c r="AH177" s="933"/>
      <c r="AI177" s="933"/>
      <c r="AJ177" s="933"/>
      <c r="AK177" s="933"/>
      <c r="AL177" s="933"/>
      <c r="AM177" s="933"/>
      <c r="AN177" s="933"/>
      <c r="AO177" s="933"/>
      <c r="AP177" s="933"/>
      <c r="AQ177" s="933"/>
      <c r="AR177" s="933"/>
      <c r="AS177" s="933"/>
      <c r="AT177" s="933"/>
      <c r="AU177" s="933"/>
      <c r="AV177" s="933"/>
      <c r="AW177" s="933"/>
      <c r="AX177" s="933"/>
      <c r="AY177" s="933"/>
      <c r="AZ177" s="933"/>
      <c r="BA177" s="933"/>
      <c r="BB177" s="933"/>
      <c r="BC177" s="933"/>
      <c r="BD177" s="933"/>
      <c r="BE177" s="933"/>
      <c r="BF177" s="933"/>
      <c r="BG177" s="933"/>
      <c r="BH177" s="933"/>
      <c r="BI177" s="933"/>
      <c r="BJ177" s="933"/>
      <c r="BK177" s="933"/>
      <c r="BL177" s="933"/>
      <c r="BM177" s="933"/>
      <c r="BN177" s="933"/>
      <c r="BO177" s="933"/>
      <c r="BP177" s="933"/>
      <c r="BQ177" s="933"/>
      <c r="BR177" s="933"/>
      <c r="BS177" s="933"/>
      <c r="BT177" s="933"/>
    </row>
    <row r="178" spans="1:72" x14ac:dyDescent="0.25">
      <c r="A178" s="933" t="s">
        <v>611</v>
      </c>
      <c r="B178" s="933">
        <v>8.84</v>
      </c>
      <c r="C178" s="933">
        <v>14.56</v>
      </c>
      <c r="D178" s="933">
        <v>8.92</v>
      </c>
      <c r="E178" s="933">
        <v>12.37</v>
      </c>
      <c r="F178" s="933">
        <v>12.7</v>
      </c>
      <c r="G178" s="933">
        <v>14.13</v>
      </c>
      <c r="H178" s="933">
        <v>15.48</v>
      </c>
      <c r="I178" s="933">
        <v>16.55</v>
      </c>
      <c r="J178" s="933">
        <v>17.3</v>
      </c>
      <c r="K178" s="933">
        <v>18.07</v>
      </c>
      <c r="L178" s="933">
        <v>19.010000000000002</v>
      </c>
      <c r="M178" s="933">
        <v>19.88</v>
      </c>
      <c r="N178" s="933">
        <v>20.54</v>
      </c>
      <c r="O178" s="933">
        <v>21.05</v>
      </c>
      <c r="P178" s="933">
        <v>21.8</v>
      </c>
      <c r="Q178" s="933">
        <v>22.48</v>
      </c>
      <c r="R178" s="933">
        <v>23.26</v>
      </c>
      <c r="S178" s="933">
        <v>24.05</v>
      </c>
      <c r="T178" s="933">
        <v>24.83</v>
      </c>
      <c r="U178" s="933">
        <v>25.46</v>
      </c>
      <c r="V178" s="933">
        <v>26.42</v>
      </c>
      <c r="W178" s="933">
        <v>27.37</v>
      </c>
      <c r="X178" s="933">
        <v>28.4</v>
      </c>
      <c r="Y178" s="933">
        <v>29.5</v>
      </c>
      <c r="Z178" s="933">
        <v>30.7</v>
      </c>
      <c r="AA178" s="933">
        <v>31.85</v>
      </c>
      <c r="AB178" s="933">
        <v>32.92</v>
      </c>
      <c r="AC178" s="933">
        <v>34.19</v>
      </c>
      <c r="AD178" s="933">
        <v>35.49</v>
      </c>
      <c r="AE178" s="972">
        <v>3.4000000000000002E-2</v>
      </c>
      <c r="AF178" s="933"/>
      <c r="AG178" s="933"/>
      <c r="AH178" s="933"/>
      <c r="AI178" s="933"/>
      <c r="AJ178" s="933"/>
      <c r="AK178" s="933"/>
      <c r="AL178" s="933"/>
      <c r="AM178" s="933"/>
      <c r="AN178" s="933"/>
      <c r="AO178" s="933"/>
      <c r="AP178" s="933"/>
      <c r="AQ178" s="933"/>
      <c r="AR178" s="933"/>
      <c r="AS178" s="933"/>
      <c r="AT178" s="933"/>
      <c r="AU178" s="933"/>
      <c r="AV178" s="933"/>
      <c r="AW178" s="933"/>
      <c r="AX178" s="933"/>
      <c r="AY178" s="933"/>
      <c r="AZ178" s="933"/>
      <c r="BA178" s="933"/>
      <c r="BB178" s="933"/>
      <c r="BC178" s="933"/>
      <c r="BD178" s="933"/>
      <c r="BE178" s="933"/>
      <c r="BF178" s="933"/>
      <c r="BG178" s="933"/>
      <c r="BH178" s="933"/>
      <c r="BI178" s="933"/>
      <c r="BJ178" s="933"/>
      <c r="BK178" s="933"/>
      <c r="BL178" s="933"/>
      <c r="BM178" s="933"/>
      <c r="BN178" s="933"/>
      <c r="BO178" s="933"/>
      <c r="BP178" s="933"/>
      <c r="BQ178" s="933"/>
      <c r="BR178" s="933"/>
      <c r="BS178" s="933"/>
      <c r="BT178" s="933"/>
    </row>
    <row r="179" spans="1:72" x14ac:dyDescent="0.25">
      <c r="A179" s="933" t="s">
        <v>510</v>
      </c>
      <c r="B179" s="933">
        <v>7.1</v>
      </c>
      <c r="C179" s="933">
        <v>9.09</v>
      </c>
      <c r="D179" s="933">
        <v>4.2</v>
      </c>
      <c r="E179" s="933">
        <v>4.99</v>
      </c>
      <c r="F179" s="933">
        <v>6.07</v>
      </c>
      <c r="G179" s="933">
        <v>6.53</v>
      </c>
      <c r="H179" s="933">
        <v>6.4</v>
      </c>
      <c r="I179" s="933">
        <v>6.47</v>
      </c>
      <c r="J179" s="933">
        <v>6.77</v>
      </c>
      <c r="K179" s="933">
        <v>6.99</v>
      </c>
      <c r="L179" s="933">
        <v>7.13</v>
      </c>
      <c r="M179" s="933">
        <v>7.32</v>
      </c>
      <c r="N179" s="933">
        <v>7.53</v>
      </c>
      <c r="O179" s="933">
        <v>7.85</v>
      </c>
      <c r="P179" s="933">
        <v>8.1300000000000008</v>
      </c>
      <c r="Q179" s="933">
        <v>8.5399999999999991</v>
      </c>
      <c r="R179" s="933">
        <v>8.7799999999999994</v>
      </c>
      <c r="S179" s="933">
        <v>8.91</v>
      </c>
      <c r="T179" s="933">
        <v>9.17</v>
      </c>
      <c r="U179" s="933">
        <v>9.57</v>
      </c>
      <c r="V179" s="933">
        <v>9.9700000000000006</v>
      </c>
      <c r="W179" s="933">
        <v>10.51</v>
      </c>
      <c r="X179" s="933">
        <v>11.09</v>
      </c>
      <c r="Y179" s="933">
        <v>11.66</v>
      </c>
      <c r="Z179" s="933">
        <v>12.38</v>
      </c>
      <c r="AA179" s="933">
        <v>12.84</v>
      </c>
      <c r="AB179" s="933">
        <v>13.16</v>
      </c>
      <c r="AC179" s="933">
        <v>13.75</v>
      </c>
      <c r="AD179" s="933">
        <v>14.22</v>
      </c>
      <c r="AE179" s="972">
        <v>1.7000000000000001E-2</v>
      </c>
      <c r="AF179" s="933"/>
      <c r="AG179" s="933"/>
      <c r="AH179" s="933"/>
      <c r="AI179" s="933"/>
      <c r="AJ179" s="933"/>
      <c r="AK179" s="933"/>
      <c r="AL179" s="933"/>
      <c r="AM179" s="933"/>
      <c r="AN179" s="933"/>
      <c r="AO179" s="933"/>
      <c r="AP179" s="933"/>
      <c r="AQ179" s="933"/>
      <c r="AR179" s="933"/>
      <c r="AS179" s="933"/>
      <c r="AT179" s="933"/>
      <c r="AU179" s="933"/>
      <c r="AV179" s="933"/>
      <c r="AW179" s="933"/>
      <c r="AX179" s="933"/>
      <c r="AY179" s="933"/>
      <c r="AZ179" s="933"/>
      <c r="BA179" s="933"/>
      <c r="BB179" s="933"/>
      <c r="BC179" s="933"/>
      <c r="BD179" s="933"/>
      <c r="BE179" s="933"/>
      <c r="BF179" s="933"/>
      <c r="BG179" s="933"/>
      <c r="BH179" s="933"/>
      <c r="BI179" s="933"/>
      <c r="BJ179" s="933"/>
      <c r="BK179" s="933"/>
      <c r="BL179" s="933"/>
      <c r="BM179" s="933"/>
      <c r="BN179" s="933"/>
      <c r="BO179" s="933"/>
      <c r="BP179" s="933"/>
      <c r="BQ179" s="933"/>
      <c r="BR179" s="933"/>
      <c r="BS179" s="933"/>
      <c r="BT179" s="933"/>
    </row>
    <row r="180" spans="1:72" x14ac:dyDescent="0.25">
      <c r="A180" s="933" t="s">
        <v>624</v>
      </c>
      <c r="B180" s="933">
        <v>1.76</v>
      </c>
      <c r="C180" s="933">
        <v>2.0499999999999998</v>
      </c>
      <c r="D180" s="933">
        <v>2.1800000000000002</v>
      </c>
      <c r="E180" s="933">
        <v>2.0499999999999998</v>
      </c>
      <c r="F180" s="933">
        <v>2.0699999999999998</v>
      </c>
      <c r="G180" s="933">
        <v>2.1</v>
      </c>
      <c r="H180" s="933">
        <v>2.15</v>
      </c>
      <c r="I180" s="933">
        <v>2.19</v>
      </c>
      <c r="J180" s="933">
        <v>2.2400000000000002</v>
      </c>
      <c r="K180" s="933">
        <v>2.2599999999999998</v>
      </c>
      <c r="L180" s="933">
        <v>2.31</v>
      </c>
      <c r="M180" s="933">
        <v>2.34</v>
      </c>
      <c r="N180" s="933">
        <v>2.38</v>
      </c>
      <c r="O180" s="933">
        <v>2.42</v>
      </c>
      <c r="P180" s="933">
        <v>2.4700000000000002</v>
      </c>
      <c r="Q180" s="933">
        <v>2.54</v>
      </c>
      <c r="R180" s="933">
        <v>2.59</v>
      </c>
      <c r="S180" s="933">
        <v>2.65</v>
      </c>
      <c r="T180" s="933">
        <v>2.69</v>
      </c>
      <c r="U180" s="933">
        <v>2.77</v>
      </c>
      <c r="V180" s="933">
        <v>2.82</v>
      </c>
      <c r="W180" s="933">
        <v>2.9</v>
      </c>
      <c r="X180" s="933">
        <v>2.98</v>
      </c>
      <c r="Y180" s="933">
        <v>3.06</v>
      </c>
      <c r="Z180" s="933">
        <v>3.15</v>
      </c>
      <c r="AA180" s="933">
        <v>3.23</v>
      </c>
      <c r="AB180" s="933">
        <v>3.32</v>
      </c>
      <c r="AC180" s="933">
        <v>3.41</v>
      </c>
      <c r="AD180" s="933">
        <v>3.51</v>
      </c>
      <c r="AE180" s="972">
        <v>0.02</v>
      </c>
      <c r="AF180" s="933"/>
      <c r="AG180" s="933"/>
      <c r="AH180" s="933"/>
      <c r="AI180" s="933"/>
      <c r="AJ180" s="933"/>
      <c r="AK180" s="933"/>
      <c r="AL180" s="933"/>
      <c r="AM180" s="933"/>
      <c r="AN180" s="933"/>
      <c r="AO180" s="933"/>
      <c r="AP180" s="933"/>
      <c r="AQ180" s="933"/>
      <c r="AR180" s="933"/>
      <c r="AS180" s="933"/>
      <c r="AT180" s="933"/>
      <c r="AU180" s="933"/>
      <c r="AV180" s="933"/>
      <c r="AW180" s="933"/>
      <c r="AX180" s="933"/>
      <c r="AY180" s="933"/>
      <c r="AZ180" s="933"/>
      <c r="BA180" s="933"/>
      <c r="BB180" s="933"/>
      <c r="BC180" s="933"/>
      <c r="BD180" s="933"/>
      <c r="BE180" s="933"/>
      <c r="BF180" s="933"/>
      <c r="BG180" s="933"/>
      <c r="BH180" s="933"/>
      <c r="BI180" s="933"/>
      <c r="BJ180" s="933"/>
      <c r="BK180" s="933"/>
      <c r="BL180" s="933"/>
      <c r="BM180" s="933"/>
      <c r="BN180" s="933"/>
      <c r="BO180" s="933"/>
      <c r="BP180" s="933"/>
      <c r="BQ180" s="933"/>
      <c r="BR180" s="933"/>
      <c r="BS180" s="933"/>
      <c r="BT180" s="933"/>
    </row>
    <row r="181" spans="1:72" x14ac:dyDescent="0.25">
      <c r="A181" s="933"/>
      <c r="B181" s="933"/>
      <c r="C181" s="933"/>
      <c r="D181" s="933"/>
      <c r="E181" s="933"/>
      <c r="F181" s="933"/>
      <c r="G181" s="933"/>
      <c r="H181" s="933"/>
      <c r="I181" s="933"/>
      <c r="J181" s="933"/>
      <c r="K181" s="933"/>
      <c r="L181" s="933"/>
      <c r="M181" s="933"/>
      <c r="N181" s="933"/>
      <c r="O181" s="933"/>
      <c r="P181" s="933"/>
      <c r="Q181" s="933"/>
      <c r="R181" s="933"/>
      <c r="S181" s="933"/>
      <c r="T181" s="933"/>
      <c r="U181" s="933"/>
      <c r="V181" s="933"/>
      <c r="W181" s="933"/>
      <c r="X181" s="933"/>
      <c r="Y181" s="933"/>
      <c r="Z181" s="933"/>
      <c r="AA181" s="933"/>
      <c r="AB181" s="933"/>
      <c r="AC181" s="933"/>
      <c r="AD181" s="933"/>
      <c r="AE181" s="933"/>
      <c r="AF181" s="933"/>
      <c r="AG181" s="933"/>
      <c r="AH181" s="933"/>
      <c r="AI181" s="933"/>
      <c r="AJ181" s="933"/>
      <c r="AK181" s="933"/>
      <c r="AL181" s="933"/>
      <c r="AM181" s="933"/>
      <c r="AN181" s="933"/>
      <c r="AO181" s="933"/>
      <c r="AP181" s="933"/>
      <c r="AQ181" s="933"/>
      <c r="AR181" s="933"/>
      <c r="AS181" s="933"/>
      <c r="AT181" s="933"/>
      <c r="AU181" s="933"/>
      <c r="AV181" s="933"/>
      <c r="AW181" s="933"/>
      <c r="AX181" s="933"/>
      <c r="AY181" s="933"/>
      <c r="AZ181" s="933"/>
      <c r="BA181" s="933"/>
      <c r="BB181" s="933"/>
      <c r="BC181" s="933"/>
      <c r="BD181" s="933"/>
      <c r="BE181" s="933"/>
      <c r="BF181" s="933"/>
      <c r="BG181" s="933"/>
      <c r="BH181" s="933"/>
      <c r="BI181" s="933"/>
      <c r="BJ181" s="933"/>
      <c r="BK181" s="933"/>
      <c r="BL181" s="933"/>
      <c r="BM181" s="933"/>
      <c r="BN181" s="933"/>
      <c r="BO181" s="933"/>
      <c r="BP181" s="933"/>
      <c r="BQ181" s="933"/>
      <c r="BR181" s="933"/>
      <c r="BS181" s="933"/>
      <c r="BT181" s="933"/>
    </row>
    <row r="182" spans="1:72" x14ac:dyDescent="0.25">
      <c r="A182" s="933" t="s">
        <v>625</v>
      </c>
      <c r="B182" s="933"/>
      <c r="C182" s="933"/>
      <c r="D182" s="933"/>
      <c r="E182" s="933"/>
      <c r="F182" s="933"/>
      <c r="G182" s="933"/>
      <c r="H182" s="933"/>
      <c r="I182" s="933"/>
      <c r="J182" s="933"/>
      <c r="K182" s="933"/>
      <c r="L182" s="933"/>
      <c r="M182" s="933"/>
      <c r="N182" s="933"/>
      <c r="O182" s="933"/>
      <c r="P182" s="933"/>
      <c r="Q182" s="933"/>
      <c r="R182" s="933"/>
      <c r="S182" s="933"/>
      <c r="T182" s="933"/>
      <c r="U182" s="933"/>
      <c r="V182" s="933"/>
      <c r="W182" s="933"/>
      <c r="X182" s="933"/>
      <c r="Y182" s="933"/>
      <c r="Z182" s="933"/>
      <c r="AA182" s="933"/>
      <c r="AB182" s="933"/>
      <c r="AC182" s="933"/>
      <c r="AD182" s="933"/>
      <c r="AE182" s="933"/>
      <c r="AF182" s="933"/>
      <c r="AG182" s="933"/>
      <c r="AH182" s="933"/>
      <c r="AI182" s="933"/>
      <c r="AJ182" s="933"/>
      <c r="AK182" s="933"/>
      <c r="AL182" s="933"/>
      <c r="AM182" s="933"/>
      <c r="AN182" s="933"/>
      <c r="AO182" s="933"/>
      <c r="AP182" s="933"/>
      <c r="AQ182" s="933"/>
      <c r="AR182" s="933"/>
      <c r="AS182" s="933"/>
      <c r="AT182" s="933"/>
      <c r="AU182" s="933"/>
      <c r="AV182" s="933"/>
      <c r="AW182" s="933"/>
      <c r="AX182" s="933"/>
      <c r="AY182" s="933"/>
      <c r="AZ182" s="933"/>
      <c r="BA182" s="933"/>
      <c r="BB182" s="933"/>
      <c r="BC182" s="933"/>
      <c r="BD182" s="933"/>
      <c r="BE182" s="933"/>
      <c r="BF182" s="933"/>
      <c r="BG182" s="933"/>
      <c r="BH182" s="933"/>
      <c r="BI182" s="933"/>
      <c r="BJ182" s="933"/>
      <c r="BK182" s="933"/>
      <c r="BL182" s="933"/>
      <c r="BM182" s="933"/>
      <c r="BN182" s="933"/>
      <c r="BO182" s="933"/>
      <c r="BP182" s="933"/>
      <c r="BQ182" s="933"/>
      <c r="BR182" s="933"/>
      <c r="BS182" s="933"/>
      <c r="BT182" s="933"/>
    </row>
    <row r="183" spans="1:72" x14ac:dyDescent="0.25">
      <c r="A183" s="933" t="s">
        <v>609</v>
      </c>
      <c r="B183" s="933">
        <v>18.53</v>
      </c>
      <c r="C183" s="933">
        <v>20.190000000000001</v>
      </c>
      <c r="D183" s="933">
        <v>18.64</v>
      </c>
      <c r="E183" s="933">
        <v>17.36</v>
      </c>
      <c r="F183" s="933">
        <v>17.61</v>
      </c>
      <c r="G183" s="933">
        <v>18.920000000000002</v>
      </c>
      <c r="H183" s="933">
        <v>20.43</v>
      </c>
      <c r="I183" s="933">
        <v>21.72</v>
      </c>
      <c r="J183" s="933">
        <v>22.62</v>
      </c>
      <c r="K183" s="933">
        <v>23.64</v>
      </c>
      <c r="L183" s="933">
        <v>24.56</v>
      </c>
      <c r="M183" s="933">
        <v>25.55</v>
      </c>
      <c r="N183" s="933">
        <v>26.28</v>
      </c>
      <c r="O183" s="933">
        <v>27.06</v>
      </c>
      <c r="P183" s="933">
        <v>27.91</v>
      </c>
      <c r="Q183" s="933">
        <v>28.78</v>
      </c>
      <c r="R183" s="933">
        <v>29.75</v>
      </c>
      <c r="S183" s="933">
        <v>30.7</v>
      </c>
      <c r="T183" s="933">
        <v>31.68</v>
      </c>
      <c r="U183" s="933">
        <v>32.54</v>
      </c>
      <c r="V183" s="933">
        <v>33.6</v>
      </c>
      <c r="W183" s="933">
        <v>34.69</v>
      </c>
      <c r="X183" s="933">
        <v>35.950000000000003</v>
      </c>
      <c r="Y183" s="933">
        <v>37.049999999999997</v>
      </c>
      <c r="Z183" s="933">
        <v>38.44</v>
      </c>
      <c r="AA183" s="933">
        <v>39.83</v>
      </c>
      <c r="AB183" s="933">
        <v>41.29</v>
      </c>
      <c r="AC183" s="933">
        <v>42.77</v>
      </c>
      <c r="AD183" s="933">
        <v>44.32</v>
      </c>
      <c r="AE183" s="972">
        <v>0.03</v>
      </c>
      <c r="AF183" s="933"/>
      <c r="AG183" s="933"/>
      <c r="AH183" s="933"/>
      <c r="AI183" s="933"/>
      <c r="AJ183" s="933"/>
      <c r="AK183" s="933"/>
      <c r="AL183" s="933"/>
      <c r="AM183" s="933"/>
      <c r="AN183" s="933"/>
      <c r="AO183" s="933"/>
      <c r="AP183" s="933"/>
      <c r="AQ183" s="933"/>
      <c r="AR183" s="933"/>
      <c r="AS183" s="933"/>
      <c r="AT183" s="933"/>
      <c r="AU183" s="933"/>
      <c r="AV183" s="933"/>
      <c r="AW183" s="933"/>
      <c r="AX183" s="933"/>
      <c r="AY183" s="933"/>
      <c r="AZ183" s="933"/>
      <c r="BA183" s="933"/>
      <c r="BB183" s="933"/>
      <c r="BC183" s="933"/>
      <c r="BD183" s="933"/>
      <c r="BE183" s="933"/>
      <c r="BF183" s="933"/>
      <c r="BG183" s="933"/>
      <c r="BH183" s="933"/>
      <c r="BI183" s="933"/>
      <c r="BJ183" s="933"/>
      <c r="BK183" s="933"/>
      <c r="BL183" s="933"/>
      <c r="BM183" s="933"/>
      <c r="BN183" s="933"/>
      <c r="BO183" s="933"/>
      <c r="BP183" s="933"/>
      <c r="BQ183" s="933"/>
      <c r="BR183" s="933"/>
      <c r="BS183" s="933"/>
      <c r="BT183" s="933"/>
    </row>
    <row r="184" spans="1:72" x14ac:dyDescent="0.25">
      <c r="A184" s="933" t="s">
        <v>618</v>
      </c>
      <c r="B184" s="933">
        <v>26.83</v>
      </c>
      <c r="C184" s="933">
        <v>26.93</v>
      </c>
      <c r="D184" s="933">
        <v>23.64</v>
      </c>
      <c r="E184" s="933">
        <v>21.26</v>
      </c>
      <c r="F184" s="933">
        <v>21.89</v>
      </c>
      <c r="G184" s="933">
        <v>23.43</v>
      </c>
      <c r="H184" s="933">
        <v>26.07</v>
      </c>
      <c r="I184" s="933">
        <v>27.64</v>
      </c>
      <c r="J184" s="933">
        <v>28.47</v>
      </c>
      <c r="K184" s="933">
        <v>28.45</v>
      </c>
      <c r="L184" s="933">
        <v>29.92</v>
      </c>
      <c r="M184" s="933">
        <v>31.23</v>
      </c>
      <c r="N184" s="933">
        <v>31.97</v>
      </c>
      <c r="O184" s="933">
        <v>32.94</v>
      </c>
      <c r="P184" s="933">
        <v>34.090000000000003</v>
      </c>
      <c r="Q184" s="933">
        <v>35.479999999999997</v>
      </c>
      <c r="R184" s="933">
        <v>36.880000000000003</v>
      </c>
      <c r="S184" s="933">
        <v>37.979999999999997</v>
      </c>
      <c r="T184" s="933">
        <v>39.17</v>
      </c>
      <c r="U184" s="933">
        <v>40.479999999999997</v>
      </c>
      <c r="V184" s="933">
        <v>41.72</v>
      </c>
      <c r="W184" s="933">
        <v>43.4</v>
      </c>
      <c r="X184" s="933">
        <v>44.96</v>
      </c>
      <c r="Y184" s="933">
        <v>46.25</v>
      </c>
      <c r="Z184" s="933">
        <v>47.62</v>
      </c>
      <c r="AA184" s="933">
        <v>49.36</v>
      </c>
      <c r="AB184" s="933">
        <v>50.75</v>
      </c>
      <c r="AC184" s="933">
        <v>52.29</v>
      </c>
      <c r="AD184" s="933">
        <v>54.17</v>
      </c>
      <c r="AE184" s="972">
        <v>2.5999999999999999E-2</v>
      </c>
      <c r="AF184" s="933"/>
      <c r="AG184" s="933"/>
      <c r="AH184" s="933"/>
      <c r="AI184" s="933"/>
      <c r="AJ184" s="933"/>
      <c r="AK184" s="933"/>
      <c r="AL184" s="933"/>
      <c r="AM184" s="933"/>
      <c r="AN184" s="933"/>
      <c r="AO184" s="933"/>
      <c r="AP184" s="933"/>
      <c r="AQ184" s="933"/>
      <c r="AR184" s="933"/>
      <c r="AS184" s="933"/>
      <c r="AT184" s="933"/>
      <c r="AU184" s="933"/>
      <c r="AV184" s="933"/>
      <c r="AW184" s="933"/>
      <c r="AX184" s="933"/>
      <c r="AY184" s="933"/>
      <c r="AZ184" s="933"/>
      <c r="BA184" s="933"/>
      <c r="BB184" s="933"/>
      <c r="BC184" s="933"/>
      <c r="BD184" s="933"/>
      <c r="BE184" s="933"/>
      <c r="BF184" s="933"/>
      <c r="BG184" s="933"/>
      <c r="BH184" s="933"/>
      <c r="BI184" s="933"/>
      <c r="BJ184" s="933"/>
      <c r="BK184" s="933"/>
      <c r="BL184" s="933"/>
      <c r="BM184" s="933"/>
      <c r="BN184" s="933"/>
      <c r="BO184" s="933"/>
      <c r="BP184" s="933"/>
      <c r="BQ184" s="933"/>
      <c r="BR184" s="933"/>
      <c r="BS184" s="933"/>
      <c r="BT184" s="933"/>
    </row>
    <row r="185" spans="1:72" x14ac:dyDescent="0.25">
      <c r="A185" s="933" t="s">
        <v>619</v>
      </c>
      <c r="B185" s="933">
        <v>23.03</v>
      </c>
      <c r="C185" s="933">
        <v>26.54</v>
      </c>
      <c r="D185" s="933">
        <v>19.440000000000001</v>
      </c>
      <c r="E185" s="933">
        <v>21.17</v>
      </c>
      <c r="F185" s="933">
        <v>21.79</v>
      </c>
      <c r="G185" s="933">
        <v>23.32</v>
      </c>
      <c r="H185" s="933">
        <v>25.87</v>
      </c>
      <c r="I185" s="933">
        <v>27.33</v>
      </c>
      <c r="J185" s="933">
        <v>28.27</v>
      </c>
      <c r="K185" s="933">
        <v>29.42</v>
      </c>
      <c r="L185" s="933">
        <v>30.58</v>
      </c>
      <c r="M185" s="933">
        <v>31.64</v>
      </c>
      <c r="N185" s="933">
        <v>32.6</v>
      </c>
      <c r="O185" s="933">
        <v>33.71</v>
      </c>
      <c r="P185" s="933">
        <v>34.71</v>
      </c>
      <c r="Q185" s="933">
        <v>35.93</v>
      </c>
      <c r="R185" s="933">
        <v>37.020000000000003</v>
      </c>
      <c r="S185" s="933">
        <v>37.950000000000003</v>
      </c>
      <c r="T185" s="933">
        <v>39.17</v>
      </c>
      <c r="U185" s="933">
        <v>40.43</v>
      </c>
      <c r="V185" s="933">
        <v>41.68</v>
      </c>
      <c r="W185" s="933">
        <v>43.21</v>
      </c>
      <c r="X185" s="933">
        <v>44.69</v>
      </c>
      <c r="Y185" s="933">
        <v>45.9</v>
      </c>
      <c r="Z185" s="933">
        <v>47.46</v>
      </c>
      <c r="AA185" s="933">
        <v>49.15</v>
      </c>
      <c r="AB185" s="933">
        <v>50.65</v>
      </c>
      <c r="AC185" s="933">
        <v>52.35</v>
      </c>
      <c r="AD185" s="933">
        <v>54.32</v>
      </c>
      <c r="AE185" s="972">
        <v>2.7E-2</v>
      </c>
      <c r="AF185" s="933"/>
      <c r="AG185" s="933"/>
      <c r="AH185" s="933"/>
      <c r="AI185" s="933"/>
      <c r="AJ185" s="933"/>
      <c r="AK185" s="933"/>
      <c r="AL185" s="933"/>
      <c r="AM185" s="933"/>
      <c r="AN185" s="933"/>
      <c r="AO185" s="933"/>
      <c r="AP185" s="933"/>
      <c r="AQ185" s="933"/>
      <c r="AR185" s="933"/>
      <c r="AS185" s="933"/>
      <c r="AT185" s="933"/>
      <c r="AU185" s="933"/>
      <c r="AV185" s="933"/>
      <c r="AW185" s="933"/>
      <c r="AX185" s="933"/>
      <c r="AY185" s="933"/>
      <c r="AZ185" s="933"/>
      <c r="BA185" s="933"/>
      <c r="BB185" s="933"/>
      <c r="BC185" s="933"/>
      <c r="BD185" s="933"/>
      <c r="BE185" s="933"/>
      <c r="BF185" s="933"/>
      <c r="BG185" s="933"/>
      <c r="BH185" s="933"/>
      <c r="BI185" s="933"/>
      <c r="BJ185" s="933"/>
      <c r="BK185" s="933"/>
      <c r="BL185" s="933"/>
      <c r="BM185" s="933"/>
      <c r="BN185" s="933"/>
      <c r="BO185" s="933"/>
      <c r="BP185" s="933"/>
      <c r="BQ185" s="933"/>
      <c r="BR185" s="933"/>
      <c r="BS185" s="933"/>
      <c r="BT185" s="933"/>
    </row>
    <row r="186" spans="1:72" x14ac:dyDescent="0.25">
      <c r="A186" s="933" t="s">
        <v>626</v>
      </c>
      <c r="B186" s="933">
        <v>15.42</v>
      </c>
      <c r="C186" s="933">
        <v>22.71</v>
      </c>
      <c r="D186" s="933">
        <v>12.92</v>
      </c>
      <c r="E186" s="933">
        <v>15.23</v>
      </c>
      <c r="F186" s="933">
        <v>15.82</v>
      </c>
      <c r="G186" s="933">
        <v>17.510000000000002</v>
      </c>
      <c r="H186" s="933">
        <v>19.05</v>
      </c>
      <c r="I186" s="933">
        <v>20.23</v>
      </c>
      <c r="J186" s="933">
        <v>21.21</v>
      </c>
      <c r="K186" s="933">
        <v>22.42</v>
      </c>
      <c r="L186" s="933">
        <v>23.58</v>
      </c>
      <c r="M186" s="933">
        <v>24.67</v>
      </c>
      <c r="N186" s="933">
        <v>25.58</v>
      </c>
      <c r="O186" s="933">
        <v>26.51</v>
      </c>
      <c r="P186" s="933">
        <v>27.27</v>
      </c>
      <c r="Q186" s="933">
        <v>28.18</v>
      </c>
      <c r="R186" s="933">
        <v>29.2</v>
      </c>
      <c r="S186" s="933">
        <v>30.07</v>
      </c>
      <c r="T186" s="933">
        <v>31.1</v>
      </c>
      <c r="U186" s="933">
        <v>32.130000000000003</v>
      </c>
      <c r="V186" s="933">
        <v>33.21</v>
      </c>
      <c r="W186" s="933">
        <v>34.54</v>
      </c>
      <c r="X186" s="933">
        <v>35.83</v>
      </c>
      <c r="Y186" s="933">
        <v>36.99</v>
      </c>
      <c r="Z186" s="933">
        <v>38.42</v>
      </c>
      <c r="AA186" s="933">
        <v>39.92</v>
      </c>
      <c r="AB186" s="933">
        <v>41.32</v>
      </c>
      <c r="AC186" s="933">
        <v>42.87</v>
      </c>
      <c r="AD186" s="933">
        <v>44.51</v>
      </c>
      <c r="AE186" s="972">
        <v>2.5000000000000001E-2</v>
      </c>
      <c r="AF186" s="933"/>
      <c r="AG186" s="933"/>
      <c r="AH186" s="933"/>
      <c r="AI186" s="933"/>
      <c r="AJ186" s="933"/>
      <c r="AK186" s="933"/>
      <c r="AL186" s="933"/>
      <c r="AM186" s="933"/>
      <c r="AN186" s="933"/>
      <c r="AO186" s="933"/>
      <c r="AP186" s="933"/>
      <c r="AQ186" s="933"/>
      <c r="AR186" s="933"/>
      <c r="AS186" s="933"/>
      <c r="AT186" s="933"/>
      <c r="AU186" s="933"/>
      <c r="AV186" s="933"/>
      <c r="AW186" s="933"/>
      <c r="AX186" s="933"/>
      <c r="AY186" s="933"/>
      <c r="AZ186" s="933"/>
      <c r="BA186" s="933"/>
      <c r="BB186" s="933"/>
      <c r="BC186" s="933"/>
      <c r="BD186" s="933"/>
      <c r="BE186" s="933"/>
      <c r="BF186" s="933"/>
      <c r="BG186" s="933"/>
      <c r="BH186" s="933"/>
      <c r="BI186" s="933"/>
      <c r="BJ186" s="933"/>
      <c r="BK186" s="933"/>
      <c r="BL186" s="933"/>
      <c r="BM186" s="933"/>
      <c r="BN186" s="933"/>
      <c r="BO186" s="933"/>
      <c r="BP186" s="933"/>
      <c r="BQ186" s="933"/>
      <c r="BR186" s="933"/>
      <c r="BS186" s="933"/>
      <c r="BT186" s="933"/>
    </row>
    <row r="187" spans="1:72" x14ac:dyDescent="0.25">
      <c r="A187" s="933" t="s">
        <v>610</v>
      </c>
      <c r="B187" s="933">
        <v>20.260000000000002</v>
      </c>
      <c r="C187" s="933">
        <v>26.27</v>
      </c>
      <c r="D187" s="933">
        <v>17.73</v>
      </c>
      <c r="E187" s="933">
        <v>18.260000000000002</v>
      </c>
      <c r="F187" s="933">
        <v>18.940000000000001</v>
      </c>
      <c r="G187" s="933">
        <v>20.58</v>
      </c>
      <c r="H187" s="933">
        <v>22.21</v>
      </c>
      <c r="I187" s="933">
        <v>23.39</v>
      </c>
      <c r="J187" s="933">
        <v>24.55</v>
      </c>
      <c r="K187" s="933">
        <v>25.86</v>
      </c>
      <c r="L187" s="933">
        <v>27.09</v>
      </c>
      <c r="M187" s="933">
        <v>28.33</v>
      </c>
      <c r="N187" s="933">
        <v>29.33</v>
      </c>
      <c r="O187" s="933">
        <v>30.3</v>
      </c>
      <c r="P187" s="933">
        <v>31.19</v>
      </c>
      <c r="Q187" s="933">
        <v>32.29</v>
      </c>
      <c r="R187" s="933">
        <v>33.22</v>
      </c>
      <c r="S187" s="933">
        <v>34.04</v>
      </c>
      <c r="T187" s="933">
        <v>35.14</v>
      </c>
      <c r="U187" s="933">
        <v>36.19</v>
      </c>
      <c r="V187" s="933">
        <v>37.31</v>
      </c>
      <c r="W187" s="933">
        <v>38.6</v>
      </c>
      <c r="X187" s="933">
        <v>40.04</v>
      </c>
      <c r="Y187" s="933">
        <v>41.2</v>
      </c>
      <c r="Z187" s="933">
        <v>42.78</v>
      </c>
      <c r="AA187" s="933">
        <v>44.38</v>
      </c>
      <c r="AB187" s="933">
        <v>45.87</v>
      </c>
      <c r="AC187" s="933">
        <v>47.52</v>
      </c>
      <c r="AD187" s="933">
        <v>49.31</v>
      </c>
      <c r="AE187" s="972">
        <v>2.4E-2</v>
      </c>
      <c r="AF187" s="933"/>
      <c r="AG187" s="933"/>
      <c r="AH187" s="933"/>
      <c r="AI187" s="933"/>
      <c r="AJ187" s="933"/>
      <c r="AK187" s="933"/>
      <c r="AL187" s="933"/>
      <c r="AM187" s="933"/>
      <c r="AN187" s="933"/>
      <c r="AO187" s="933"/>
      <c r="AP187" s="933"/>
      <c r="AQ187" s="933"/>
      <c r="AR187" s="933"/>
      <c r="AS187" s="933"/>
      <c r="AT187" s="933"/>
      <c r="AU187" s="933"/>
      <c r="AV187" s="933"/>
      <c r="AW187" s="933"/>
      <c r="AX187" s="933"/>
      <c r="AY187" s="933"/>
      <c r="AZ187" s="933"/>
      <c r="BA187" s="933"/>
      <c r="BB187" s="933"/>
      <c r="BC187" s="933"/>
      <c r="BD187" s="933"/>
      <c r="BE187" s="933"/>
      <c r="BF187" s="933"/>
      <c r="BG187" s="933"/>
      <c r="BH187" s="933"/>
      <c r="BI187" s="933"/>
      <c r="BJ187" s="933"/>
      <c r="BK187" s="933"/>
      <c r="BL187" s="933"/>
      <c r="BM187" s="933"/>
      <c r="BN187" s="933"/>
      <c r="BO187" s="933"/>
      <c r="BP187" s="933"/>
      <c r="BQ187" s="933"/>
      <c r="BR187" s="933"/>
      <c r="BS187" s="933"/>
      <c r="BT187" s="933"/>
    </row>
    <row r="188" spans="1:72" x14ac:dyDescent="0.25">
      <c r="A188" s="933" t="s">
        <v>611</v>
      </c>
      <c r="B188" s="933">
        <v>8.8699999999999992</v>
      </c>
      <c r="C188" s="933">
        <v>14.77</v>
      </c>
      <c r="D188" s="933">
        <v>9.1</v>
      </c>
      <c r="E188" s="933">
        <v>11.22</v>
      </c>
      <c r="F188" s="933">
        <v>11.49</v>
      </c>
      <c r="G188" s="933">
        <v>12.89</v>
      </c>
      <c r="H188" s="933">
        <v>14.14</v>
      </c>
      <c r="I188" s="933">
        <v>15.19</v>
      </c>
      <c r="J188" s="933">
        <v>15.89</v>
      </c>
      <c r="K188" s="933">
        <v>16.600000000000001</v>
      </c>
      <c r="L188" s="933">
        <v>17.5</v>
      </c>
      <c r="M188" s="933">
        <v>18.3</v>
      </c>
      <c r="N188" s="933">
        <v>18.89</v>
      </c>
      <c r="O188" s="933">
        <v>19.329999999999998</v>
      </c>
      <c r="P188" s="933">
        <v>20.03</v>
      </c>
      <c r="Q188" s="933">
        <v>20.64</v>
      </c>
      <c r="R188" s="933">
        <v>21.36</v>
      </c>
      <c r="S188" s="933">
        <v>22.08</v>
      </c>
      <c r="T188" s="933">
        <v>22.8</v>
      </c>
      <c r="U188" s="933">
        <v>23.35</v>
      </c>
      <c r="V188" s="933">
        <v>24.24</v>
      </c>
      <c r="W188" s="933">
        <v>25.11</v>
      </c>
      <c r="X188" s="933">
        <v>26.08</v>
      </c>
      <c r="Y188" s="933">
        <v>27.11</v>
      </c>
      <c r="Z188" s="933">
        <v>28.23</v>
      </c>
      <c r="AA188" s="933">
        <v>29.29</v>
      </c>
      <c r="AB188" s="933">
        <v>30.29</v>
      </c>
      <c r="AC188" s="933">
        <v>31.46</v>
      </c>
      <c r="AD188" s="933">
        <v>32.700000000000003</v>
      </c>
      <c r="AE188" s="972">
        <v>0.03</v>
      </c>
      <c r="AF188" s="933"/>
      <c r="AG188" s="933"/>
      <c r="AH188" s="933"/>
      <c r="AI188" s="933"/>
      <c r="AJ188" s="933"/>
      <c r="AK188" s="933"/>
      <c r="AL188" s="933"/>
      <c r="AM188" s="933"/>
      <c r="AN188" s="933"/>
      <c r="AO188" s="933"/>
      <c r="AP188" s="933"/>
      <c r="AQ188" s="933"/>
      <c r="AR188" s="933"/>
      <c r="AS188" s="933"/>
      <c r="AT188" s="933"/>
      <c r="AU188" s="933"/>
      <c r="AV188" s="933"/>
      <c r="AW188" s="933"/>
      <c r="AX188" s="933"/>
      <c r="AY188" s="933"/>
      <c r="AZ188" s="933"/>
      <c r="BA188" s="933"/>
      <c r="BB188" s="933"/>
      <c r="BC188" s="933"/>
      <c r="BD188" s="933"/>
      <c r="BE188" s="933"/>
      <c r="BF188" s="933"/>
      <c r="BG188" s="933"/>
      <c r="BH188" s="933"/>
      <c r="BI188" s="933"/>
      <c r="BJ188" s="933"/>
      <c r="BK188" s="933"/>
      <c r="BL188" s="933"/>
      <c r="BM188" s="933"/>
      <c r="BN188" s="933"/>
      <c r="BO188" s="933"/>
      <c r="BP188" s="933"/>
      <c r="BQ188" s="933"/>
      <c r="BR188" s="933"/>
      <c r="BS188" s="933"/>
      <c r="BT188" s="933"/>
    </row>
    <row r="189" spans="1:72" x14ac:dyDescent="0.25">
      <c r="A189" s="933" t="s">
        <v>510</v>
      </c>
      <c r="B189" s="933">
        <v>8.99</v>
      </c>
      <c r="C189" s="933">
        <v>10.53</v>
      </c>
      <c r="D189" s="933">
        <v>6.67</v>
      </c>
      <c r="E189" s="933">
        <v>7.08</v>
      </c>
      <c r="F189" s="933">
        <v>8.2100000000000009</v>
      </c>
      <c r="G189" s="933">
        <v>8.68</v>
      </c>
      <c r="H189" s="933">
        <v>8.67</v>
      </c>
      <c r="I189" s="933">
        <v>8.7799999999999994</v>
      </c>
      <c r="J189" s="933">
        <v>9.07</v>
      </c>
      <c r="K189" s="933">
        <v>9.33</v>
      </c>
      <c r="L189" s="933">
        <v>9.5</v>
      </c>
      <c r="M189" s="933">
        <v>9.73</v>
      </c>
      <c r="N189" s="933">
        <v>9.98</v>
      </c>
      <c r="O189" s="933">
        <v>10.32</v>
      </c>
      <c r="P189" s="933">
        <v>10.67</v>
      </c>
      <c r="Q189" s="933">
        <v>11.14</v>
      </c>
      <c r="R189" s="933">
        <v>11.42</v>
      </c>
      <c r="S189" s="933">
        <v>11.55</v>
      </c>
      <c r="T189" s="933">
        <v>11.88</v>
      </c>
      <c r="U189" s="933">
        <v>12.31</v>
      </c>
      <c r="V189" s="933">
        <v>12.79</v>
      </c>
      <c r="W189" s="933">
        <v>13.39</v>
      </c>
      <c r="X189" s="933">
        <v>14.02</v>
      </c>
      <c r="Y189" s="933">
        <v>14.7</v>
      </c>
      <c r="Z189" s="933">
        <v>15.51</v>
      </c>
      <c r="AA189" s="933">
        <v>16.05</v>
      </c>
      <c r="AB189" s="933">
        <v>16.46</v>
      </c>
      <c r="AC189" s="933">
        <v>17.12</v>
      </c>
      <c r="AD189" s="933">
        <v>17.71</v>
      </c>
      <c r="AE189" s="972">
        <v>1.9E-2</v>
      </c>
      <c r="AF189" s="933"/>
      <c r="AG189" s="933"/>
      <c r="AH189" s="933"/>
      <c r="AI189" s="933"/>
      <c r="AJ189" s="933"/>
      <c r="AK189" s="933"/>
      <c r="AL189" s="933"/>
      <c r="AM189" s="933"/>
      <c r="AN189" s="933"/>
      <c r="AO189" s="933"/>
      <c r="AP189" s="933"/>
      <c r="AQ189" s="933"/>
      <c r="AR189" s="933"/>
      <c r="AS189" s="933"/>
      <c r="AT189" s="933"/>
      <c r="AU189" s="933"/>
      <c r="AV189" s="933"/>
      <c r="AW189" s="933"/>
      <c r="AX189" s="933"/>
      <c r="AY189" s="933"/>
      <c r="AZ189" s="933"/>
      <c r="BA189" s="933"/>
      <c r="BB189" s="933"/>
      <c r="BC189" s="933"/>
      <c r="BD189" s="933"/>
      <c r="BE189" s="933"/>
      <c r="BF189" s="933"/>
      <c r="BG189" s="933"/>
      <c r="BH189" s="933"/>
      <c r="BI189" s="933"/>
      <c r="BJ189" s="933"/>
      <c r="BK189" s="933"/>
      <c r="BL189" s="933"/>
      <c r="BM189" s="933"/>
      <c r="BN189" s="933"/>
      <c r="BO189" s="933"/>
      <c r="BP189" s="933"/>
      <c r="BQ189" s="933"/>
      <c r="BR189" s="933"/>
      <c r="BS189" s="933"/>
      <c r="BT189" s="933"/>
    </row>
    <row r="190" spans="1:72" x14ac:dyDescent="0.25">
      <c r="A190" s="933" t="s">
        <v>614</v>
      </c>
      <c r="B190" s="933">
        <v>3.61</v>
      </c>
      <c r="C190" s="933">
        <v>4.49</v>
      </c>
      <c r="D190" s="933">
        <v>4.79</v>
      </c>
      <c r="E190" s="933">
        <v>4.9400000000000004</v>
      </c>
      <c r="F190" s="933">
        <v>5.07</v>
      </c>
      <c r="G190" s="933">
        <v>5.31</v>
      </c>
      <c r="H190" s="933">
        <v>5.44</v>
      </c>
      <c r="I190" s="933">
        <v>5.56</v>
      </c>
      <c r="J190" s="933">
        <v>5.66</v>
      </c>
      <c r="K190" s="933">
        <v>5.77</v>
      </c>
      <c r="L190" s="933">
        <v>5.97</v>
      </c>
      <c r="M190" s="933">
        <v>6.14</v>
      </c>
      <c r="N190" s="933">
        <v>6.34</v>
      </c>
      <c r="O190" s="933">
        <v>6.5</v>
      </c>
      <c r="P190" s="933">
        <v>6.68</v>
      </c>
      <c r="Q190" s="933">
        <v>6.84</v>
      </c>
      <c r="R190" s="933">
        <v>6.98</v>
      </c>
      <c r="S190" s="933">
        <v>7.07</v>
      </c>
      <c r="T190" s="933">
        <v>7.11</v>
      </c>
      <c r="U190" s="933">
        <v>7.15</v>
      </c>
      <c r="V190" s="933">
        <v>7.27</v>
      </c>
      <c r="W190" s="933">
        <v>7.43</v>
      </c>
      <c r="X190" s="933">
        <v>7.55</v>
      </c>
      <c r="Y190" s="933">
        <v>7.72</v>
      </c>
      <c r="Z190" s="933">
        <v>7.86</v>
      </c>
      <c r="AA190" s="933">
        <v>8.02</v>
      </c>
      <c r="AB190" s="933">
        <v>8.18</v>
      </c>
      <c r="AC190" s="933">
        <v>8.33</v>
      </c>
      <c r="AD190" s="933">
        <v>8.5</v>
      </c>
      <c r="AE190" s="972">
        <v>2.4E-2</v>
      </c>
      <c r="AF190" s="933"/>
      <c r="AG190" s="933"/>
      <c r="AH190" s="933"/>
      <c r="AI190" s="933"/>
      <c r="AJ190" s="933"/>
      <c r="AK190" s="933"/>
      <c r="AL190" s="933"/>
      <c r="AM190" s="933"/>
      <c r="AN190" s="933"/>
      <c r="AO190" s="933"/>
      <c r="AP190" s="933"/>
      <c r="AQ190" s="933"/>
      <c r="AR190" s="933"/>
      <c r="AS190" s="933"/>
      <c r="AT190" s="933"/>
      <c r="AU190" s="933"/>
      <c r="AV190" s="933"/>
      <c r="AW190" s="933"/>
      <c r="AX190" s="933"/>
      <c r="AY190" s="933"/>
      <c r="AZ190" s="933"/>
      <c r="BA190" s="933"/>
      <c r="BB190" s="933"/>
      <c r="BC190" s="933"/>
      <c r="BD190" s="933"/>
      <c r="BE190" s="933"/>
      <c r="BF190" s="933"/>
      <c r="BG190" s="933"/>
      <c r="BH190" s="933"/>
      <c r="BI190" s="933"/>
      <c r="BJ190" s="933"/>
      <c r="BK190" s="933"/>
      <c r="BL190" s="933"/>
      <c r="BM190" s="933"/>
      <c r="BN190" s="933"/>
      <c r="BO190" s="933"/>
      <c r="BP190" s="933"/>
      <c r="BQ190" s="933"/>
      <c r="BR190" s="933"/>
      <c r="BS190" s="933"/>
      <c r="BT190" s="933"/>
    </row>
    <row r="191" spans="1:72" x14ac:dyDescent="0.25">
      <c r="A191" s="933" t="s">
        <v>627</v>
      </c>
      <c r="B191" s="933">
        <v>1.8</v>
      </c>
      <c r="C191" s="933">
        <v>2.1</v>
      </c>
      <c r="D191" s="933">
        <v>2.2200000000000002</v>
      </c>
      <c r="E191" s="933">
        <v>2.09</v>
      </c>
      <c r="F191" s="933">
        <v>2.11</v>
      </c>
      <c r="G191" s="933">
        <v>2.14</v>
      </c>
      <c r="H191" s="933">
        <v>2.19</v>
      </c>
      <c r="I191" s="933">
        <v>2.23</v>
      </c>
      <c r="J191" s="933">
        <v>2.2799999999999998</v>
      </c>
      <c r="K191" s="933">
        <v>2.2999999999999998</v>
      </c>
      <c r="L191" s="933">
        <v>2.35</v>
      </c>
      <c r="M191" s="933">
        <v>2.39</v>
      </c>
      <c r="N191" s="933">
        <v>2.4300000000000002</v>
      </c>
      <c r="O191" s="933">
        <v>2.4700000000000002</v>
      </c>
      <c r="P191" s="933">
        <v>2.52</v>
      </c>
      <c r="Q191" s="933">
        <v>2.58</v>
      </c>
      <c r="R191" s="933">
        <v>2.64</v>
      </c>
      <c r="S191" s="933">
        <v>2.69</v>
      </c>
      <c r="T191" s="933">
        <v>2.74</v>
      </c>
      <c r="U191" s="933">
        <v>2.81</v>
      </c>
      <c r="V191" s="933">
        <v>2.87</v>
      </c>
      <c r="W191" s="933">
        <v>2.95</v>
      </c>
      <c r="X191" s="933">
        <v>3.03</v>
      </c>
      <c r="Y191" s="933">
        <v>3.11</v>
      </c>
      <c r="Z191" s="933">
        <v>3.2</v>
      </c>
      <c r="AA191" s="933">
        <v>3.28</v>
      </c>
      <c r="AB191" s="933">
        <v>3.37</v>
      </c>
      <c r="AC191" s="933">
        <v>3.46</v>
      </c>
      <c r="AD191" s="933">
        <v>3.56</v>
      </c>
      <c r="AE191" s="972">
        <v>0.02</v>
      </c>
      <c r="AF191" s="933"/>
      <c r="AG191" s="933"/>
      <c r="AH191" s="933"/>
      <c r="AI191" s="933"/>
      <c r="AJ191" s="933"/>
      <c r="AK191" s="933"/>
      <c r="AL191" s="933"/>
      <c r="AM191" s="933"/>
      <c r="AN191" s="933"/>
      <c r="AO191" s="933"/>
      <c r="AP191" s="933"/>
      <c r="AQ191" s="933"/>
      <c r="AR191" s="933"/>
      <c r="AS191" s="933"/>
      <c r="AT191" s="933"/>
      <c r="AU191" s="933"/>
      <c r="AV191" s="933"/>
      <c r="AW191" s="933"/>
      <c r="AX191" s="933"/>
      <c r="AY191" s="933"/>
      <c r="AZ191" s="933"/>
      <c r="BA191" s="933"/>
      <c r="BB191" s="933"/>
      <c r="BC191" s="933"/>
      <c r="BD191" s="933"/>
      <c r="BE191" s="933"/>
      <c r="BF191" s="933"/>
      <c r="BG191" s="933"/>
      <c r="BH191" s="933"/>
      <c r="BI191" s="933"/>
      <c r="BJ191" s="933"/>
      <c r="BK191" s="933"/>
      <c r="BL191" s="933"/>
      <c r="BM191" s="933"/>
      <c r="BN191" s="933"/>
      <c r="BO191" s="933"/>
      <c r="BP191" s="933"/>
      <c r="BQ191" s="933"/>
      <c r="BR191" s="933"/>
      <c r="BS191" s="933"/>
      <c r="BT191" s="933"/>
    </row>
    <row r="192" spans="1:72" x14ac:dyDescent="0.25">
      <c r="A192" s="933" t="s">
        <v>616</v>
      </c>
      <c r="B192" s="933" t="s">
        <v>788</v>
      </c>
      <c r="C192" s="933" t="s">
        <v>788</v>
      </c>
      <c r="D192" s="933" t="s">
        <v>788</v>
      </c>
      <c r="E192" s="933" t="s">
        <v>788</v>
      </c>
      <c r="F192" s="933">
        <v>1.32</v>
      </c>
      <c r="G192" s="933">
        <v>1.1000000000000001</v>
      </c>
      <c r="H192" s="933">
        <v>1.1200000000000001</v>
      </c>
      <c r="I192" s="933">
        <v>1.55</v>
      </c>
      <c r="J192" s="933">
        <v>1.58</v>
      </c>
      <c r="K192" s="933">
        <v>1.65</v>
      </c>
      <c r="L192" s="933">
        <v>1.72</v>
      </c>
      <c r="M192" s="933">
        <v>1.74</v>
      </c>
      <c r="N192" s="933">
        <v>1.76</v>
      </c>
      <c r="O192" s="933">
        <v>1.79</v>
      </c>
      <c r="P192" s="933">
        <v>1.86</v>
      </c>
      <c r="Q192" s="933">
        <v>1.91</v>
      </c>
      <c r="R192" s="933">
        <v>1.98</v>
      </c>
      <c r="S192" s="933">
        <v>1.99</v>
      </c>
      <c r="T192" s="933">
        <v>2.02</v>
      </c>
      <c r="U192" s="933">
        <v>2.04</v>
      </c>
      <c r="V192" s="933">
        <v>2.0699999999999998</v>
      </c>
      <c r="W192" s="933">
        <v>2.1</v>
      </c>
      <c r="X192" s="933">
        <v>2.13</v>
      </c>
      <c r="Y192" s="933">
        <v>2.1800000000000002</v>
      </c>
      <c r="Z192" s="933">
        <v>2.2200000000000002</v>
      </c>
      <c r="AA192" s="933">
        <v>2.2799999999999998</v>
      </c>
      <c r="AB192" s="933">
        <v>2.35</v>
      </c>
      <c r="AC192" s="933">
        <v>2.44</v>
      </c>
      <c r="AD192" s="933">
        <v>2.5299999999999998</v>
      </c>
      <c r="AE192" s="933" t="s">
        <v>788</v>
      </c>
      <c r="AF192" s="933"/>
      <c r="AG192" s="933"/>
      <c r="AH192" s="933"/>
      <c r="AI192" s="933"/>
      <c r="AJ192" s="933"/>
      <c r="AK192" s="933"/>
      <c r="AL192" s="933"/>
      <c r="AM192" s="933"/>
      <c r="AN192" s="933"/>
      <c r="AO192" s="933"/>
      <c r="AP192" s="933"/>
      <c r="AQ192" s="933"/>
      <c r="AR192" s="933"/>
      <c r="AS192" s="933"/>
      <c r="AT192" s="933"/>
      <c r="AU192" s="933"/>
      <c r="AV192" s="933"/>
      <c r="AW192" s="933"/>
      <c r="AX192" s="933"/>
      <c r="AY192" s="933"/>
      <c r="AZ192" s="933"/>
      <c r="BA192" s="933"/>
      <c r="BB192" s="933"/>
      <c r="BC192" s="933"/>
      <c r="BD192" s="933"/>
      <c r="BE192" s="933"/>
      <c r="BF192" s="933"/>
      <c r="BG192" s="933"/>
      <c r="BH192" s="933"/>
      <c r="BI192" s="933"/>
      <c r="BJ192" s="933"/>
      <c r="BK192" s="933"/>
      <c r="BL192" s="933"/>
      <c r="BM192" s="933"/>
      <c r="BN192" s="933"/>
      <c r="BO192" s="933"/>
      <c r="BP192" s="933"/>
      <c r="BQ192" s="933"/>
      <c r="BR192" s="933"/>
      <c r="BS192" s="933"/>
      <c r="BT192" s="933"/>
    </row>
    <row r="193" spans="1:72" x14ac:dyDescent="0.25">
      <c r="A193" s="933" t="s">
        <v>479</v>
      </c>
      <c r="B193" s="933">
        <v>26.66</v>
      </c>
      <c r="C193" s="933">
        <v>28.81</v>
      </c>
      <c r="D193" s="933">
        <v>28.5</v>
      </c>
      <c r="E193" s="933">
        <v>27.58</v>
      </c>
      <c r="F193" s="933">
        <v>26.29</v>
      </c>
      <c r="G193" s="933">
        <v>27.63</v>
      </c>
      <c r="H193" s="933">
        <v>28.19</v>
      </c>
      <c r="I193" s="933">
        <v>28.46</v>
      </c>
      <c r="J193" s="933">
        <v>28.92</v>
      </c>
      <c r="K193" s="933">
        <v>29.72</v>
      </c>
      <c r="L193" s="933">
        <v>30.45</v>
      </c>
      <c r="M193" s="933">
        <v>31.03</v>
      </c>
      <c r="N193" s="933">
        <v>31.53</v>
      </c>
      <c r="O193" s="933">
        <v>32.4</v>
      </c>
      <c r="P193" s="933">
        <v>33.33</v>
      </c>
      <c r="Q193" s="933">
        <v>34.229999999999997</v>
      </c>
      <c r="R193" s="933">
        <v>35.22</v>
      </c>
      <c r="S193" s="933">
        <v>36.159999999999997</v>
      </c>
      <c r="T193" s="933">
        <v>36.869999999999997</v>
      </c>
      <c r="U193" s="933">
        <v>37.86</v>
      </c>
      <c r="V193" s="933">
        <v>38.94</v>
      </c>
      <c r="W193" s="933">
        <v>40.090000000000003</v>
      </c>
      <c r="X193" s="933">
        <v>41.58</v>
      </c>
      <c r="Y193" s="933">
        <v>43</v>
      </c>
      <c r="Z193" s="933">
        <v>44.53</v>
      </c>
      <c r="AA193" s="933">
        <v>46.07</v>
      </c>
      <c r="AB193" s="933">
        <v>47.34</v>
      </c>
      <c r="AC193" s="933">
        <v>48.78</v>
      </c>
      <c r="AD193" s="933">
        <v>50.19</v>
      </c>
      <c r="AE193" s="972">
        <v>2.1000000000000001E-2</v>
      </c>
      <c r="AF193" s="933"/>
      <c r="AG193" s="933"/>
      <c r="AH193" s="933"/>
      <c r="AI193" s="933"/>
      <c r="AJ193" s="933"/>
      <c r="AK193" s="933"/>
      <c r="AL193" s="933"/>
      <c r="AM193" s="933"/>
      <c r="AN193" s="933"/>
      <c r="AO193" s="933"/>
      <c r="AP193" s="933"/>
      <c r="AQ193" s="933"/>
      <c r="AR193" s="933"/>
      <c r="AS193" s="933"/>
      <c r="AT193" s="933"/>
      <c r="AU193" s="933"/>
      <c r="AV193" s="933"/>
      <c r="AW193" s="933"/>
      <c r="AX193" s="933"/>
      <c r="AY193" s="933"/>
      <c r="AZ193" s="933"/>
      <c r="BA193" s="933"/>
      <c r="BB193" s="933"/>
      <c r="BC193" s="933"/>
      <c r="BD193" s="933"/>
      <c r="BE193" s="933"/>
      <c r="BF193" s="933"/>
      <c r="BG193" s="933"/>
      <c r="BH193" s="933"/>
      <c r="BI193" s="933"/>
      <c r="BJ193" s="933"/>
      <c r="BK193" s="933"/>
      <c r="BL193" s="933"/>
      <c r="BM193" s="933"/>
      <c r="BN193" s="933"/>
      <c r="BO193" s="933"/>
      <c r="BP193" s="933"/>
      <c r="BQ193" s="933"/>
      <c r="BR193" s="933"/>
      <c r="BS193" s="933"/>
      <c r="BT193" s="933"/>
    </row>
    <row r="194" spans="1:72" x14ac:dyDescent="0.25">
      <c r="A194" s="933"/>
      <c r="B194" s="933"/>
      <c r="C194" s="933"/>
      <c r="D194" s="933"/>
      <c r="E194" s="933"/>
      <c r="F194" s="933"/>
      <c r="G194" s="933"/>
      <c r="H194" s="933"/>
      <c r="I194" s="933"/>
      <c r="J194" s="933"/>
      <c r="K194" s="933"/>
      <c r="L194" s="933"/>
      <c r="M194" s="933"/>
      <c r="N194" s="933"/>
      <c r="O194" s="933"/>
      <c r="P194" s="933"/>
      <c r="Q194" s="933"/>
      <c r="R194" s="933"/>
      <c r="S194" s="933"/>
      <c r="T194" s="933"/>
      <c r="U194" s="933"/>
      <c r="V194" s="933"/>
      <c r="W194" s="933"/>
      <c r="X194" s="933"/>
      <c r="Y194" s="933"/>
      <c r="Z194" s="933"/>
      <c r="AA194" s="933"/>
      <c r="AB194" s="933"/>
      <c r="AC194" s="933"/>
      <c r="AD194" s="933"/>
      <c r="AE194" s="933"/>
      <c r="AF194" s="933"/>
      <c r="AG194" s="933"/>
      <c r="AH194" s="933"/>
      <c r="AI194" s="933"/>
      <c r="AJ194" s="933"/>
      <c r="AK194" s="933"/>
      <c r="AL194" s="933"/>
      <c r="AM194" s="933"/>
      <c r="AN194" s="933"/>
      <c r="AO194" s="933"/>
      <c r="AP194" s="933"/>
      <c r="AQ194" s="933"/>
      <c r="AR194" s="933"/>
      <c r="AS194" s="933"/>
      <c r="AT194" s="933"/>
      <c r="AU194" s="933"/>
      <c r="AV194" s="933"/>
      <c r="AW194" s="933"/>
      <c r="AX194" s="933"/>
      <c r="AY194" s="933"/>
      <c r="AZ194" s="933"/>
      <c r="BA194" s="933"/>
      <c r="BB194" s="933"/>
      <c r="BC194" s="933"/>
      <c r="BD194" s="933"/>
      <c r="BE194" s="933"/>
      <c r="BF194" s="933"/>
      <c r="BG194" s="933"/>
      <c r="BH194" s="933"/>
      <c r="BI194" s="933"/>
      <c r="BJ194" s="933"/>
      <c r="BK194" s="933"/>
      <c r="BL194" s="933"/>
      <c r="BM194" s="933"/>
      <c r="BN194" s="933"/>
      <c r="BO194" s="933"/>
      <c r="BP194" s="933"/>
      <c r="BQ194" s="933"/>
      <c r="BR194" s="933"/>
      <c r="BS194" s="933"/>
      <c r="BT194" s="933"/>
    </row>
    <row r="195" spans="1:72" x14ac:dyDescent="0.25">
      <c r="A195" s="933" t="s">
        <v>513</v>
      </c>
      <c r="B195" s="933"/>
      <c r="C195" s="933"/>
      <c r="D195" s="933"/>
      <c r="E195" s="933"/>
      <c r="F195" s="933"/>
      <c r="G195" s="933"/>
      <c r="H195" s="933"/>
      <c r="I195" s="933"/>
      <c r="J195" s="933"/>
      <c r="K195" s="933"/>
      <c r="L195" s="933"/>
      <c r="M195" s="933"/>
      <c r="N195" s="933"/>
      <c r="O195" s="933"/>
      <c r="P195" s="933"/>
      <c r="Q195" s="933"/>
      <c r="R195" s="933"/>
      <c r="S195" s="933"/>
      <c r="T195" s="933"/>
      <c r="U195" s="933"/>
      <c r="V195" s="933"/>
      <c r="W195" s="933"/>
      <c r="X195" s="933"/>
      <c r="Y195" s="933"/>
      <c r="Z195" s="933"/>
      <c r="AA195" s="933"/>
      <c r="AB195" s="933"/>
      <c r="AC195" s="933"/>
      <c r="AD195" s="933"/>
      <c r="AE195" s="933"/>
      <c r="AF195" s="933"/>
      <c r="AG195" s="933"/>
      <c r="AH195" s="933"/>
      <c r="AI195" s="933"/>
      <c r="AJ195" s="933"/>
      <c r="AK195" s="933"/>
      <c r="AL195" s="933"/>
      <c r="AM195" s="933"/>
      <c r="AN195" s="933"/>
      <c r="AO195" s="933"/>
      <c r="AP195" s="933"/>
      <c r="AQ195" s="933"/>
      <c r="AR195" s="933"/>
      <c r="AS195" s="933"/>
      <c r="AT195" s="933"/>
      <c r="AU195" s="933"/>
      <c r="AV195" s="933"/>
      <c r="AW195" s="933"/>
      <c r="AX195" s="933"/>
      <c r="AY195" s="933"/>
      <c r="AZ195" s="933"/>
      <c r="BA195" s="933"/>
      <c r="BB195" s="933"/>
      <c r="BC195" s="933"/>
      <c r="BD195" s="933"/>
      <c r="BE195" s="933"/>
      <c r="BF195" s="933"/>
      <c r="BG195" s="933"/>
      <c r="BH195" s="933"/>
      <c r="BI195" s="933"/>
      <c r="BJ195" s="933"/>
      <c r="BK195" s="933"/>
      <c r="BL195" s="933"/>
      <c r="BM195" s="933"/>
      <c r="BN195" s="933"/>
      <c r="BO195" s="933"/>
      <c r="BP195" s="933"/>
      <c r="BQ195" s="933"/>
      <c r="BR195" s="933"/>
      <c r="BS195" s="933"/>
      <c r="BT195" s="933"/>
    </row>
    <row r="196" spans="1:72" x14ac:dyDescent="0.25">
      <c r="A196" s="933" t="s">
        <v>727</v>
      </c>
      <c r="B196" s="933"/>
      <c r="C196" s="933"/>
      <c r="D196" s="933"/>
      <c r="E196" s="933"/>
      <c r="F196" s="933"/>
      <c r="G196" s="933"/>
      <c r="H196" s="933"/>
      <c r="I196" s="933"/>
      <c r="J196" s="933"/>
      <c r="K196" s="933"/>
      <c r="L196" s="933"/>
      <c r="M196" s="933"/>
      <c r="N196" s="933"/>
      <c r="O196" s="933"/>
      <c r="P196" s="933"/>
      <c r="Q196" s="933"/>
      <c r="R196" s="933"/>
      <c r="S196" s="933"/>
      <c r="T196" s="933"/>
      <c r="U196" s="933"/>
      <c r="V196" s="933"/>
      <c r="W196" s="933"/>
      <c r="X196" s="933"/>
      <c r="Y196" s="933"/>
      <c r="Z196" s="933"/>
      <c r="AA196" s="933"/>
      <c r="AB196" s="933"/>
      <c r="AC196" s="933"/>
      <c r="AD196" s="933"/>
      <c r="AE196" s="933"/>
      <c r="AF196" s="933"/>
      <c r="AG196" s="933"/>
      <c r="AH196" s="933"/>
      <c r="AI196" s="933"/>
      <c r="AJ196" s="933"/>
      <c r="AK196" s="933"/>
      <c r="AL196" s="933"/>
      <c r="AM196" s="933"/>
      <c r="AN196" s="933"/>
      <c r="AO196" s="933"/>
      <c r="AP196" s="933"/>
      <c r="AQ196" s="933"/>
      <c r="AR196" s="933"/>
      <c r="AS196" s="933"/>
      <c r="AT196" s="933"/>
      <c r="AU196" s="933"/>
      <c r="AV196" s="933"/>
      <c r="AW196" s="933"/>
      <c r="AX196" s="933"/>
      <c r="AY196" s="933"/>
      <c r="AZ196" s="933"/>
      <c r="BA196" s="933"/>
      <c r="BB196" s="933"/>
      <c r="BC196" s="933"/>
      <c r="BD196" s="933"/>
      <c r="BE196" s="933"/>
      <c r="BF196" s="933"/>
      <c r="BG196" s="933"/>
      <c r="BH196" s="933"/>
      <c r="BI196" s="933"/>
      <c r="BJ196" s="933"/>
      <c r="BK196" s="933"/>
      <c r="BL196" s="933"/>
      <c r="BM196" s="933"/>
      <c r="BN196" s="933"/>
      <c r="BO196" s="933"/>
      <c r="BP196" s="933"/>
      <c r="BQ196" s="933"/>
      <c r="BR196" s="933"/>
      <c r="BS196" s="933"/>
      <c r="BT196" s="933"/>
    </row>
    <row r="197" spans="1:72" x14ac:dyDescent="0.25">
      <c r="A197" s="933" t="s">
        <v>473</v>
      </c>
      <c r="B197" s="933">
        <v>236.38</v>
      </c>
      <c r="C197" s="933">
        <v>254.66</v>
      </c>
      <c r="D197" s="933">
        <v>235.17</v>
      </c>
      <c r="E197" s="933">
        <v>230.51</v>
      </c>
      <c r="F197" s="933">
        <v>232.31</v>
      </c>
      <c r="G197" s="933">
        <v>244.12</v>
      </c>
      <c r="H197" s="933">
        <v>246.57</v>
      </c>
      <c r="I197" s="933">
        <v>251.37</v>
      </c>
      <c r="J197" s="933">
        <v>257.29000000000002</v>
      </c>
      <c r="K197" s="933">
        <v>266.02999999999997</v>
      </c>
      <c r="L197" s="933">
        <v>273.52999999999997</v>
      </c>
      <c r="M197" s="933">
        <v>281.39999999999998</v>
      </c>
      <c r="N197" s="933">
        <v>289.27</v>
      </c>
      <c r="O197" s="933">
        <v>299.58999999999997</v>
      </c>
      <c r="P197" s="933">
        <v>309.45</v>
      </c>
      <c r="Q197" s="933">
        <v>320.3</v>
      </c>
      <c r="R197" s="933">
        <v>330.83</v>
      </c>
      <c r="S197" s="933">
        <v>341.36</v>
      </c>
      <c r="T197" s="933">
        <v>351.09</v>
      </c>
      <c r="U197" s="933">
        <v>363.72</v>
      </c>
      <c r="V197" s="933">
        <v>377.1</v>
      </c>
      <c r="W197" s="933">
        <v>392.03</v>
      </c>
      <c r="X197" s="933">
        <v>407.27</v>
      </c>
      <c r="Y197" s="933">
        <v>423.22</v>
      </c>
      <c r="Z197" s="933">
        <v>441.01</v>
      </c>
      <c r="AA197" s="933">
        <v>458.4</v>
      </c>
      <c r="AB197" s="933">
        <v>471.99</v>
      </c>
      <c r="AC197" s="933">
        <v>489.06</v>
      </c>
      <c r="AD197" s="933">
        <v>506.03</v>
      </c>
      <c r="AE197" s="972">
        <v>2.5999999999999999E-2</v>
      </c>
      <c r="AF197" s="933"/>
      <c r="AG197" s="933"/>
      <c r="AH197" s="933"/>
      <c r="AI197" s="933"/>
      <c r="AJ197" s="933"/>
      <c r="AK197" s="933"/>
      <c r="AL197" s="933"/>
      <c r="AM197" s="933"/>
      <c r="AN197" s="933"/>
      <c r="AO197" s="933"/>
      <c r="AP197" s="933"/>
      <c r="AQ197" s="933"/>
      <c r="AR197" s="933"/>
      <c r="AS197" s="933"/>
      <c r="AT197" s="933"/>
      <c r="AU197" s="933"/>
      <c r="AV197" s="933"/>
      <c r="AW197" s="933"/>
      <c r="AX197" s="933"/>
      <c r="AY197" s="933"/>
      <c r="AZ197" s="933"/>
      <c r="BA197" s="933"/>
      <c r="BB197" s="933"/>
      <c r="BC197" s="933"/>
      <c r="BD197" s="933"/>
      <c r="BE197" s="933"/>
      <c r="BF197" s="933"/>
      <c r="BG197" s="933"/>
      <c r="BH197" s="933"/>
      <c r="BI197" s="933"/>
      <c r="BJ197" s="933"/>
      <c r="BK197" s="933"/>
      <c r="BL197" s="933"/>
      <c r="BM197" s="933"/>
      <c r="BN197" s="933"/>
      <c r="BO197" s="933"/>
      <c r="BP197" s="933"/>
      <c r="BQ197" s="933"/>
      <c r="BR197" s="933"/>
      <c r="BS197" s="933"/>
      <c r="BT197" s="933"/>
    </row>
    <row r="198" spans="1:72" x14ac:dyDescent="0.25">
      <c r="A198" s="933" t="s">
        <v>480</v>
      </c>
      <c r="B198" s="933">
        <v>172.75</v>
      </c>
      <c r="C198" s="933">
        <v>191.19</v>
      </c>
      <c r="D198" s="933">
        <v>171.27</v>
      </c>
      <c r="E198" s="933">
        <v>168.36</v>
      </c>
      <c r="F198" s="933">
        <v>170.83</v>
      </c>
      <c r="G198" s="933">
        <v>182.74</v>
      </c>
      <c r="H198" s="933">
        <v>187.26</v>
      </c>
      <c r="I198" s="933">
        <v>190.86</v>
      </c>
      <c r="J198" s="933">
        <v>197.13</v>
      </c>
      <c r="K198" s="933">
        <v>205.11</v>
      </c>
      <c r="L198" s="933">
        <v>212.7</v>
      </c>
      <c r="M198" s="933">
        <v>219.88</v>
      </c>
      <c r="N198" s="933">
        <v>226.94</v>
      </c>
      <c r="O198" s="933">
        <v>236.05</v>
      </c>
      <c r="P198" s="933">
        <v>245.65</v>
      </c>
      <c r="Q198" s="933">
        <v>255.58</v>
      </c>
      <c r="R198" s="933">
        <v>265.91000000000003</v>
      </c>
      <c r="S198" s="933">
        <v>275.66000000000003</v>
      </c>
      <c r="T198" s="933">
        <v>285.08999999999997</v>
      </c>
      <c r="U198" s="933">
        <v>296.79000000000002</v>
      </c>
      <c r="V198" s="933">
        <v>309.27</v>
      </c>
      <c r="W198" s="933">
        <v>322.77</v>
      </c>
      <c r="X198" s="933">
        <v>338.69</v>
      </c>
      <c r="Y198" s="933">
        <v>354.37</v>
      </c>
      <c r="Z198" s="933">
        <v>371.75</v>
      </c>
      <c r="AA198" s="933">
        <v>388.64</v>
      </c>
      <c r="AB198" s="933">
        <v>403.84</v>
      </c>
      <c r="AC198" s="933">
        <v>421.34</v>
      </c>
      <c r="AD198" s="933">
        <v>438.74</v>
      </c>
      <c r="AE198" s="972">
        <v>3.1E-2</v>
      </c>
      <c r="AF198" s="933"/>
      <c r="AG198" s="933"/>
      <c r="AH198" s="933"/>
      <c r="AI198" s="933"/>
      <c r="AJ198" s="933"/>
      <c r="AK198" s="933"/>
      <c r="AL198" s="933"/>
      <c r="AM198" s="933"/>
      <c r="AN198" s="933"/>
      <c r="AO198" s="933"/>
      <c r="AP198" s="933"/>
      <c r="AQ198" s="933"/>
      <c r="AR198" s="933"/>
      <c r="AS198" s="933"/>
      <c r="AT198" s="933"/>
      <c r="AU198" s="933"/>
      <c r="AV198" s="933"/>
      <c r="AW198" s="933"/>
      <c r="AX198" s="933"/>
      <c r="AY198" s="933"/>
      <c r="AZ198" s="933"/>
      <c r="BA198" s="933"/>
      <c r="BB198" s="933"/>
      <c r="BC198" s="933"/>
      <c r="BD198" s="933"/>
      <c r="BE198" s="933"/>
      <c r="BF198" s="933"/>
      <c r="BG198" s="933"/>
      <c r="BH198" s="933"/>
      <c r="BI198" s="933"/>
      <c r="BJ198" s="933"/>
      <c r="BK198" s="933"/>
      <c r="BL198" s="933"/>
      <c r="BM198" s="933"/>
      <c r="BN198" s="933"/>
      <c r="BO198" s="933"/>
      <c r="BP198" s="933"/>
      <c r="BQ198" s="933"/>
      <c r="BR198" s="933"/>
      <c r="BS198" s="933"/>
      <c r="BT198" s="933"/>
    </row>
    <row r="199" spans="1:72" x14ac:dyDescent="0.25">
      <c r="A199" s="933" t="s">
        <v>515</v>
      </c>
      <c r="B199" s="933">
        <v>214.89</v>
      </c>
      <c r="C199" s="933">
        <v>244.81</v>
      </c>
      <c r="D199" s="933">
        <v>178.09</v>
      </c>
      <c r="E199" s="933">
        <v>168.16</v>
      </c>
      <c r="F199" s="933">
        <v>181.07</v>
      </c>
      <c r="G199" s="933">
        <v>202.87</v>
      </c>
      <c r="H199" s="933">
        <v>217.07</v>
      </c>
      <c r="I199" s="933">
        <v>227.35</v>
      </c>
      <c r="J199" s="933">
        <v>237.51</v>
      </c>
      <c r="K199" s="933">
        <v>248.26</v>
      </c>
      <c r="L199" s="933">
        <v>257.8</v>
      </c>
      <c r="M199" s="933">
        <v>268.36</v>
      </c>
      <c r="N199" s="933">
        <v>277.25</v>
      </c>
      <c r="O199" s="933">
        <v>287.02999999999997</v>
      </c>
      <c r="P199" s="933">
        <v>295.06</v>
      </c>
      <c r="Q199" s="933">
        <v>303.12</v>
      </c>
      <c r="R199" s="933">
        <v>311.48</v>
      </c>
      <c r="S199" s="933">
        <v>319.60000000000002</v>
      </c>
      <c r="T199" s="933">
        <v>328.09</v>
      </c>
      <c r="U199" s="933">
        <v>336.58</v>
      </c>
      <c r="V199" s="933">
        <v>346.81</v>
      </c>
      <c r="W199" s="933">
        <v>357.93</v>
      </c>
      <c r="X199" s="933">
        <v>370.58</v>
      </c>
      <c r="Y199" s="933">
        <v>382.62</v>
      </c>
      <c r="Z199" s="933">
        <v>397.61</v>
      </c>
      <c r="AA199" s="933">
        <v>409.44</v>
      </c>
      <c r="AB199" s="933">
        <v>421.52</v>
      </c>
      <c r="AC199" s="933">
        <v>436.23</v>
      </c>
      <c r="AD199" s="933">
        <v>449</v>
      </c>
      <c r="AE199" s="972">
        <v>2.3E-2</v>
      </c>
      <c r="AF199" s="933"/>
      <c r="AG199" s="933"/>
      <c r="AH199" s="933"/>
      <c r="AI199" s="933"/>
      <c r="AJ199" s="933"/>
      <c r="AK199" s="933"/>
      <c r="AL199" s="933"/>
      <c r="AM199" s="933"/>
      <c r="AN199" s="933"/>
      <c r="AO199" s="933"/>
      <c r="AP199" s="933"/>
      <c r="AQ199" s="933"/>
      <c r="AR199" s="933"/>
      <c r="AS199" s="933"/>
      <c r="AT199" s="933"/>
      <c r="AU199" s="933"/>
      <c r="AV199" s="933"/>
      <c r="AW199" s="933"/>
      <c r="AX199" s="933"/>
      <c r="AY199" s="933"/>
      <c r="AZ199" s="933"/>
      <c r="BA199" s="933"/>
      <c r="BB199" s="933"/>
      <c r="BC199" s="933"/>
      <c r="BD199" s="933"/>
      <c r="BE199" s="933"/>
      <c r="BF199" s="933"/>
      <c r="BG199" s="933"/>
      <c r="BH199" s="933"/>
      <c r="BI199" s="933"/>
      <c r="BJ199" s="933"/>
      <c r="BK199" s="933"/>
      <c r="BL199" s="933"/>
      <c r="BM199" s="933"/>
      <c r="BN199" s="933"/>
      <c r="BO199" s="933"/>
      <c r="BP199" s="933"/>
      <c r="BQ199" s="933"/>
      <c r="BR199" s="933"/>
      <c r="BS199" s="933"/>
      <c r="BT199" s="933"/>
    </row>
    <row r="200" spans="1:72" x14ac:dyDescent="0.25">
      <c r="A200" s="933" t="s">
        <v>487</v>
      </c>
      <c r="B200" s="933">
        <v>599.94000000000005</v>
      </c>
      <c r="C200" s="933">
        <v>705.86</v>
      </c>
      <c r="D200" s="933">
        <v>472.76</v>
      </c>
      <c r="E200" s="933">
        <v>523.54</v>
      </c>
      <c r="F200" s="933">
        <v>551.54</v>
      </c>
      <c r="G200" s="933">
        <v>600.52</v>
      </c>
      <c r="H200" s="933">
        <v>663.3</v>
      </c>
      <c r="I200" s="933">
        <v>702.29</v>
      </c>
      <c r="J200" s="933">
        <v>730.78</v>
      </c>
      <c r="K200" s="933">
        <v>762.17</v>
      </c>
      <c r="L200" s="933">
        <v>797.53</v>
      </c>
      <c r="M200" s="933">
        <v>828.81</v>
      </c>
      <c r="N200" s="933">
        <v>859.4</v>
      </c>
      <c r="O200" s="933">
        <v>891.87</v>
      </c>
      <c r="P200" s="933">
        <v>920.68</v>
      </c>
      <c r="Q200" s="933">
        <v>948.26</v>
      </c>
      <c r="R200" s="933">
        <v>986.59</v>
      </c>
      <c r="S200" s="933">
        <v>1021.27</v>
      </c>
      <c r="T200" s="933">
        <v>1062.24</v>
      </c>
      <c r="U200" s="933">
        <v>1101.69</v>
      </c>
      <c r="V200" s="933">
        <v>1143.03</v>
      </c>
      <c r="W200" s="933">
        <v>1188</v>
      </c>
      <c r="X200" s="933">
        <v>1232.23</v>
      </c>
      <c r="Y200" s="933">
        <v>1277.8499999999999</v>
      </c>
      <c r="Z200" s="933">
        <v>1321.12</v>
      </c>
      <c r="AA200" s="933">
        <v>1371.03</v>
      </c>
      <c r="AB200" s="933">
        <v>1423.78</v>
      </c>
      <c r="AC200" s="933">
        <v>1471.43</v>
      </c>
      <c r="AD200" s="933">
        <v>1525.95</v>
      </c>
      <c r="AE200" s="972">
        <v>2.9000000000000001E-2</v>
      </c>
      <c r="AF200" s="933"/>
      <c r="AG200" s="933"/>
      <c r="AH200" s="933"/>
      <c r="AI200" s="933"/>
      <c r="AJ200" s="933"/>
      <c r="AK200" s="933"/>
      <c r="AL200" s="933"/>
      <c r="AM200" s="933"/>
      <c r="AN200" s="933"/>
      <c r="AO200" s="933"/>
      <c r="AP200" s="933"/>
      <c r="AQ200" s="933"/>
      <c r="AR200" s="933"/>
      <c r="AS200" s="933"/>
      <c r="AT200" s="933"/>
      <c r="AU200" s="933"/>
      <c r="AV200" s="933"/>
      <c r="AW200" s="933"/>
      <c r="AX200" s="933"/>
      <c r="AY200" s="933"/>
      <c r="AZ200" s="933"/>
      <c r="BA200" s="933"/>
      <c r="BB200" s="933"/>
      <c r="BC200" s="933"/>
      <c r="BD200" s="933"/>
      <c r="BE200" s="933"/>
      <c r="BF200" s="933"/>
      <c r="BG200" s="933"/>
      <c r="BH200" s="933"/>
      <c r="BI200" s="933"/>
      <c r="BJ200" s="933"/>
      <c r="BK200" s="933"/>
      <c r="BL200" s="933"/>
      <c r="BM200" s="933"/>
      <c r="BN200" s="933"/>
      <c r="BO200" s="933"/>
      <c r="BP200" s="933"/>
      <c r="BQ200" s="933"/>
      <c r="BR200" s="933"/>
      <c r="BS200" s="933"/>
      <c r="BT200" s="933"/>
    </row>
    <row r="201" spans="1:72" x14ac:dyDescent="0.25">
      <c r="A201" s="933" t="s">
        <v>516</v>
      </c>
      <c r="B201" s="933">
        <v>1223.96</v>
      </c>
      <c r="C201" s="933">
        <v>1396.52</v>
      </c>
      <c r="D201" s="933">
        <v>1057.29</v>
      </c>
      <c r="E201" s="933">
        <v>1090.58</v>
      </c>
      <c r="F201" s="933">
        <v>1135.76</v>
      </c>
      <c r="G201" s="933">
        <v>1230.25</v>
      </c>
      <c r="H201" s="933">
        <v>1314.19</v>
      </c>
      <c r="I201" s="933">
        <v>1371.86</v>
      </c>
      <c r="J201" s="933">
        <v>1422.72</v>
      </c>
      <c r="K201" s="933">
        <v>1481.57</v>
      </c>
      <c r="L201" s="933">
        <v>1541.56</v>
      </c>
      <c r="M201" s="933">
        <v>1598.45</v>
      </c>
      <c r="N201" s="933">
        <v>1652.86</v>
      </c>
      <c r="O201" s="933">
        <v>1714.54</v>
      </c>
      <c r="P201" s="933">
        <v>1770.84</v>
      </c>
      <c r="Q201" s="933">
        <v>1827.25</v>
      </c>
      <c r="R201" s="933">
        <v>1894.81</v>
      </c>
      <c r="S201" s="933">
        <v>1957.89</v>
      </c>
      <c r="T201" s="933">
        <v>2026.51</v>
      </c>
      <c r="U201" s="933">
        <v>2098.7800000000002</v>
      </c>
      <c r="V201" s="933">
        <v>2176.1999999999998</v>
      </c>
      <c r="W201" s="933">
        <v>2260.73</v>
      </c>
      <c r="X201" s="933">
        <v>2348.7600000000002</v>
      </c>
      <c r="Y201" s="933">
        <v>2438.06</v>
      </c>
      <c r="Z201" s="933">
        <v>2531.5</v>
      </c>
      <c r="AA201" s="933">
        <v>2627.51</v>
      </c>
      <c r="AB201" s="933">
        <v>2721.14</v>
      </c>
      <c r="AC201" s="933">
        <v>2818.06</v>
      </c>
      <c r="AD201" s="933">
        <v>2919.72</v>
      </c>
      <c r="AE201" s="972">
        <v>2.8000000000000001E-2</v>
      </c>
      <c r="AF201" s="933"/>
      <c r="AG201" s="933"/>
      <c r="AH201" s="933"/>
      <c r="AI201" s="933"/>
      <c r="AJ201" s="933"/>
      <c r="AK201" s="933"/>
      <c r="AL201" s="933"/>
      <c r="AM201" s="933"/>
      <c r="AN201" s="933"/>
      <c r="AO201" s="933"/>
      <c r="AP201" s="933"/>
      <c r="AQ201" s="933"/>
      <c r="AR201" s="933"/>
      <c r="AS201" s="933"/>
      <c r="AT201" s="933"/>
      <c r="AU201" s="933"/>
      <c r="AV201" s="933"/>
      <c r="AW201" s="933"/>
      <c r="AX201" s="933"/>
      <c r="AY201" s="933"/>
      <c r="AZ201" s="933"/>
      <c r="BA201" s="933"/>
      <c r="BB201" s="933"/>
      <c r="BC201" s="933"/>
      <c r="BD201" s="933"/>
      <c r="BE201" s="933"/>
      <c r="BF201" s="933"/>
      <c r="BG201" s="933"/>
      <c r="BH201" s="933"/>
      <c r="BI201" s="933"/>
      <c r="BJ201" s="933"/>
      <c r="BK201" s="933"/>
      <c r="BL201" s="933"/>
      <c r="BM201" s="933"/>
      <c r="BN201" s="933"/>
      <c r="BO201" s="933"/>
      <c r="BP201" s="933"/>
      <c r="BQ201" s="933"/>
      <c r="BR201" s="933"/>
      <c r="BS201" s="933"/>
      <c r="BT201" s="933"/>
    </row>
    <row r="202" spans="1:72" x14ac:dyDescent="0.25">
      <c r="A202" s="933" t="s">
        <v>629</v>
      </c>
      <c r="B202" s="933">
        <v>0.04</v>
      </c>
      <c r="C202" s="933">
        <v>0.17</v>
      </c>
      <c r="D202" s="933">
        <v>0.04</v>
      </c>
      <c r="E202" s="933">
        <v>0.09</v>
      </c>
      <c r="F202" s="933">
        <v>0.11</v>
      </c>
      <c r="G202" s="933">
        <v>0.13</v>
      </c>
      <c r="H202" s="933">
        <v>0.16</v>
      </c>
      <c r="I202" s="933">
        <v>0.18</v>
      </c>
      <c r="J202" s="933">
        <v>0.24</v>
      </c>
      <c r="K202" s="933">
        <v>2.65</v>
      </c>
      <c r="L202" s="933">
        <v>3.64</v>
      </c>
      <c r="M202" s="933">
        <v>4.71</v>
      </c>
      <c r="N202" s="933">
        <v>6.36</v>
      </c>
      <c r="O202" s="933">
        <v>8.6999999999999993</v>
      </c>
      <c r="P202" s="933">
        <v>11.96</v>
      </c>
      <c r="Q202" s="933">
        <v>22.18</v>
      </c>
      <c r="R202" s="933">
        <v>20.28</v>
      </c>
      <c r="S202" s="933">
        <v>19.329999999999998</v>
      </c>
      <c r="T202" s="933">
        <v>20.440000000000001</v>
      </c>
      <c r="U202" s="933">
        <v>23.52</v>
      </c>
      <c r="V202" s="933">
        <v>26.81</v>
      </c>
      <c r="W202" s="933">
        <v>29.72</v>
      </c>
      <c r="X202" s="933">
        <v>34.94</v>
      </c>
      <c r="Y202" s="933">
        <v>37.81</v>
      </c>
      <c r="Z202" s="933">
        <v>49.23</v>
      </c>
      <c r="AA202" s="933">
        <v>57.96</v>
      </c>
      <c r="AB202" s="933">
        <v>65.66</v>
      </c>
      <c r="AC202" s="933">
        <v>79.569999999999993</v>
      </c>
      <c r="AD202" s="933">
        <v>94.81</v>
      </c>
      <c r="AE202" s="972">
        <v>0.26500000000000001</v>
      </c>
      <c r="AF202" s="933"/>
      <c r="AG202" s="933"/>
      <c r="AH202" s="933"/>
      <c r="AI202" s="933"/>
      <c r="AJ202" s="933"/>
      <c r="AK202" s="933"/>
      <c r="AL202" s="933"/>
      <c r="AM202" s="933"/>
      <c r="AN202" s="933"/>
      <c r="AO202" s="933"/>
      <c r="AP202" s="933"/>
      <c r="AQ202" s="933"/>
      <c r="AR202" s="933"/>
      <c r="AS202" s="933"/>
      <c r="AT202" s="933"/>
      <c r="AU202" s="933"/>
      <c r="AV202" s="933"/>
      <c r="AW202" s="933"/>
      <c r="AX202" s="933"/>
      <c r="AY202" s="933"/>
      <c r="AZ202" s="933"/>
      <c r="BA202" s="933"/>
      <c r="BB202" s="933"/>
      <c r="BC202" s="933"/>
      <c r="BD202" s="933"/>
      <c r="BE202" s="933"/>
      <c r="BF202" s="933"/>
      <c r="BG202" s="933"/>
      <c r="BH202" s="933"/>
      <c r="BI202" s="933"/>
      <c r="BJ202" s="933"/>
      <c r="BK202" s="933"/>
      <c r="BL202" s="933"/>
      <c r="BM202" s="933"/>
      <c r="BN202" s="933"/>
      <c r="BO202" s="933"/>
      <c r="BP202" s="933"/>
      <c r="BQ202" s="933"/>
      <c r="BR202" s="933"/>
      <c r="BS202" s="933"/>
      <c r="BT202" s="933"/>
    </row>
    <row r="203" spans="1:72" x14ac:dyDescent="0.25">
      <c r="A203" s="933" t="s">
        <v>518</v>
      </c>
      <c r="B203" s="933">
        <v>1224</v>
      </c>
      <c r="C203" s="933">
        <v>1396.69</v>
      </c>
      <c r="D203" s="933">
        <v>1057.33</v>
      </c>
      <c r="E203" s="933">
        <v>1090.67</v>
      </c>
      <c r="F203" s="933">
        <v>1135.8699999999999</v>
      </c>
      <c r="G203" s="933">
        <v>1230.3800000000001</v>
      </c>
      <c r="H203" s="933">
        <v>1314.36</v>
      </c>
      <c r="I203" s="933">
        <v>1372.05</v>
      </c>
      <c r="J203" s="933">
        <v>1422.95</v>
      </c>
      <c r="K203" s="933">
        <v>1484.22</v>
      </c>
      <c r="L203" s="933">
        <v>1545.2</v>
      </c>
      <c r="M203" s="933">
        <v>1603.16</v>
      </c>
      <c r="N203" s="933">
        <v>1659.22</v>
      </c>
      <c r="O203" s="933">
        <v>1723.24</v>
      </c>
      <c r="P203" s="933">
        <v>1782.8</v>
      </c>
      <c r="Q203" s="933">
        <v>1849.44</v>
      </c>
      <c r="R203" s="933">
        <v>1915.09</v>
      </c>
      <c r="S203" s="933">
        <v>1977.22</v>
      </c>
      <c r="T203" s="933">
        <v>2046.94</v>
      </c>
      <c r="U203" s="933">
        <v>2122.3000000000002</v>
      </c>
      <c r="V203" s="933">
        <v>2203.0100000000002</v>
      </c>
      <c r="W203" s="933">
        <v>2290.46</v>
      </c>
      <c r="X203" s="933">
        <v>2383.6999999999998</v>
      </c>
      <c r="Y203" s="933">
        <v>2475.87</v>
      </c>
      <c r="Z203" s="933">
        <v>2580.73</v>
      </c>
      <c r="AA203" s="933">
        <v>2685.47</v>
      </c>
      <c r="AB203" s="933">
        <v>2786.79</v>
      </c>
      <c r="AC203" s="933">
        <v>2897.63</v>
      </c>
      <c r="AD203" s="933">
        <v>3014.53</v>
      </c>
      <c r="AE203" s="972">
        <v>2.9000000000000001E-2</v>
      </c>
      <c r="AF203" s="933"/>
      <c r="AG203" s="933"/>
      <c r="AH203" s="933"/>
      <c r="AI203" s="933"/>
      <c r="AJ203" s="933"/>
      <c r="AK203" s="933"/>
      <c r="AL203" s="933"/>
      <c r="AM203" s="933"/>
      <c r="AN203" s="933"/>
      <c r="AO203" s="933"/>
      <c r="AP203" s="933"/>
      <c r="AQ203" s="933"/>
      <c r="AR203" s="933"/>
      <c r="AS203" s="933"/>
      <c r="AT203" s="933"/>
      <c r="AU203" s="933"/>
      <c r="AV203" s="933"/>
      <c r="AW203" s="933"/>
      <c r="AX203" s="933"/>
      <c r="AY203" s="933"/>
      <c r="AZ203" s="933"/>
      <c r="BA203" s="933"/>
      <c r="BB203" s="933"/>
      <c r="BC203" s="933"/>
      <c r="BD203" s="933"/>
      <c r="BE203" s="933"/>
      <c r="BF203" s="933"/>
      <c r="BG203" s="933"/>
      <c r="BH203" s="933"/>
      <c r="BI203" s="933"/>
      <c r="BJ203" s="933"/>
      <c r="BK203" s="933"/>
      <c r="BL203" s="933"/>
      <c r="BM203" s="933"/>
      <c r="BN203" s="933"/>
      <c r="BO203" s="933"/>
      <c r="BP203" s="933"/>
      <c r="BQ203" s="933"/>
      <c r="BR203" s="933"/>
      <c r="BS203" s="933"/>
      <c r="BT203" s="933"/>
    </row>
    <row r="204" spans="1:72" x14ac:dyDescent="0.25">
      <c r="A204" s="933"/>
      <c r="B204" s="933"/>
      <c r="C204" s="933"/>
      <c r="D204" s="933"/>
      <c r="E204" s="933"/>
      <c r="F204" s="933"/>
      <c r="G204" s="933"/>
      <c r="H204" s="933"/>
      <c r="I204" s="933"/>
      <c r="J204" s="933"/>
      <c r="K204" s="933"/>
      <c r="L204" s="933"/>
      <c r="M204" s="933"/>
      <c r="N204" s="933"/>
      <c r="O204" s="933"/>
      <c r="P204" s="933"/>
      <c r="Q204" s="933"/>
      <c r="R204" s="933"/>
      <c r="S204" s="933"/>
      <c r="T204" s="933"/>
      <c r="U204" s="933"/>
      <c r="V204" s="933"/>
      <c r="W204" s="933"/>
      <c r="X204" s="933"/>
      <c r="Y204" s="933"/>
      <c r="Z204" s="933"/>
      <c r="AA204" s="933"/>
      <c r="AB204" s="933"/>
      <c r="AC204" s="933"/>
      <c r="AD204" s="933"/>
      <c r="AE204" s="933"/>
      <c r="AF204" s="933"/>
      <c r="AG204" s="933"/>
      <c r="AH204" s="933"/>
      <c r="AI204" s="933"/>
      <c r="AJ204" s="933"/>
      <c r="AK204" s="933"/>
      <c r="AL204" s="933"/>
      <c r="AM204" s="933"/>
      <c r="AN204" s="933"/>
      <c r="AO204" s="933"/>
      <c r="AP204" s="933"/>
      <c r="AQ204" s="933"/>
      <c r="AR204" s="933"/>
      <c r="AS204" s="933"/>
      <c r="AT204" s="933"/>
      <c r="AU204" s="933"/>
      <c r="AV204" s="933"/>
      <c r="AW204" s="933"/>
      <c r="AX204" s="933"/>
      <c r="AY204" s="933"/>
      <c r="AZ204" s="933"/>
      <c r="BA204" s="933"/>
      <c r="BB204" s="933"/>
      <c r="BC204" s="933"/>
      <c r="BD204" s="933"/>
      <c r="BE204" s="933"/>
      <c r="BF204" s="933"/>
      <c r="BG204" s="933"/>
      <c r="BH204" s="933"/>
      <c r="BI204" s="933"/>
      <c r="BJ204" s="933"/>
      <c r="BK204" s="933"/>
      <c r="BL204" s="933"/>
      <c r="BM204" s="933"/>
      <c r="BN204" s="933"/>
      <c r="BO204" s="933"/>
      <c r="BP204" s="933"/>
      <c r="BQ204" s="933"/>
      <c r="BR204" s="933"/>
      <c r="BS204" s="933"/>
      <c r="BT204" s="933"/>
    </row>
    <row r="205" spans="1:72" x14ac:dyDescent="0.25">
      <c r="A205" s="933"/>
      <c r="B205" s="933"/>
      <c r="C205" s="933"/>
      <c r="D205" s="933"/>
      <c r="E205" s="933"/>
      <c r="F205" s="933"/>
      <c r="G205" s="933"/>
      <c r="H205" s="933"/>
      <c r="I205" s="933"/>
      <c r="J205" s="933"/>
      <c r="K205" s="933"/>
      <c r="L205" s="933"/>
      <c r="M205" s="933"/>
      <c r="N205" s="933"/>
      <c r="O205" s="933"/>
      <c r="P205" s="933"/>
      <c r="Q205" s="933"/>
      <c r="R205" s="933"/>
      <c r="S205" s="933"/>
      <c r="T205" s="933"/>
      <c r="U205" s="933"/>
      <c r="V205" s="933"/>
      <c r="W205" s="933"/>
      <c r="X205" s="933"/>
      <c r="Y205" s="933"/>
      <c r="Z205" s="933"/>
      <c r="AA205" s="933"/>
      <c r="AB205" s="933"/>
      <c r="AC205" s="933"/>
      <c r="AD205" s="933"/>
      <c r="AE205" s="933"/>
      <c r="AF205" s="933"/>
      <c r="AG205" s="933"/>
      <c r="AH205" s="933"/>
      <c r="AI205" s="933"/>
      <c r="AJ205" s="933"/>
      <c r="AK205" s="933"/>
      <c r="AL205" s="933"/>
      <c r="AM205" s="933"/>
      <c r="AN205" s="933"/>
      <c r="AO205" s="933"/>
      <c r="AP205" s="933"/>
      <c r="AQ205" s="933"/>
      <c r="AR205" s="933"/>
      <c r="AS205" s="933"/>
      <c r="AT205" s="933"/>
      <c r="AU205" s="933"/>
      <c r="AV205" s="933"/>
      <c r="AW205" s="933"/>
      <c r="AX205" s="933"/>
      <c r="AY205" s="933"/>
      <c r="AZ205" s="933"/>
      <c r="BA205" s="933"/>
      <c r="BB205" s="933"/>
      <c r="BC205" s="933"/>
      <c r="BD205" s="933"/>
      <c r="BE205" s="933"/>
      <c r="BF205" s="933"/>
      <c r="BG205" s="933"/>
      <c r="BH205" s="933"/>
      <c r="BI205" s="933"/>
      <c r="BJ205" s="933"/>
      <c r="BK205" s="933"/>
      <c r="BL205" s="933"/>
      <c r="BM205" s="933"/>
      <c r="BN205" s="933"/>
      <c r="BO205" s="933"/>
      <c r="BP205" s="933"/>
      <c r="BQ205" s="933"/>
      <c r="BR205" s="933"/>
      <c r="BS205" s="933"/>
      <c r="BT205" s="933"/>
    </row>
    <row r="206" spans="1:72" x14ac:dyDescent="0.25">
      <c r="A206" s="933"/>
      <c r="B206" s="933"/>
      <c r="C206" s="933"/>
      <c r="D206" s="933"/>
      <c r="E206" s="933"/>
      <c r="F206" s="933"/>
      <c r="G206" s="933"/>
      <c r="H206" s="933"/>
      <c r="I206" s="933"/>
      <c r="J206" s="933"/>
      <c r="K206" s="933"/>
      <c r="L206" s="933"/>
      <c r="M206" s="933"/>
      <c r="N206" s="933"/>
      <c r="O206" s="933"/>
      <c r="P206" s="933"/>
      <c r="Q206" s="933"/>
      <c r="R206" s="933"/>
      <c r="S206" s="933"/>
      <c r="T206" s="933"/>
      <c r="U206" s="933"/>
      <c r="V206" s="933"/>
      <c r="W206" s="933"/>
      <c r="X206" s="933"/>
      <c r="Y206" s="933"/>
      <c r="Z206" s="933"/>
      <c r="AA206" s="933"/>
      <c r="AB206" s="933"/>
      <c r="AC206" s="933"/>
      <c r="AD206" s="933"/>
      <c r="AE206" s="933"/>
      <c r="AF206" s="933"/>
      <c r="AG206" s="933"/>
      <c r="AH206" s="933"/>
      <c r="AI206" s="933"/>
      <c r="AJ206" s="933"/>
      <c r="AK206" s="933"/>
      <c r="AL206" s="933"/>
      <c r="AM206" s="933"/>
      <c r="AN206" s="933"/>
      <c r="AO206" s="933"/>
      <c r="AP206" s="933"/>
      <c r="AQ206" s="933"/>
      <c r="AR206" s="933"/>
      <c r="AS206" s="933"/>
      <c r="AT206" s="933"/>
      <c r="AU206" s="933"/>
      <c r="AV206" s="933"/>
      <c r="AW206" s="933"/>
      <c r="AX206" s="933"/>
      <c r="AY206" s="933"/>
      <c r="AZ206" s="933"/>
      <c r="BA206" s="933"/>
      <c r="BB206" s="933"/>
      <c r="BC206" s="933"/>
      <c r="BD206" s="933"/>
      <c r="BE206" s="933"/>
      <c r="BF206" s="933"/>
      <c r="BG206" s="933"/>
      <c r="BH206" s="933"/>
      <c r="BI206" s="933"/>
      <c r="BJ206" s="933"/>
      <c r="BK206" s="933"/>
      <c r="BL206" s="933"/>
      <c r="BM206" s="933"/>
      <c r="BN206" s="933"/>
      <c r="BO206" s="933"/>
      <c r="BP206" s="933"/>
      <c r="BQ206" s="933"/>
      <c r="BR206" s="933"/>
      <c r="BS206" s="933"/>
      <c r="BT206" s="933"/>
    </row>
    <row r="207" spans="1:72" x14ac:dyDescent="0.25">
      <c r="A207" s="933" t="s">
        <v>630</v>
      </c>
      <c r="B207" s="933"/>
      <c r="C207" s="933"/>
      <c r="D207" s="933"/>
      <c r="E207" s="933"/>
      <c r="F207" s="933"/>
      <c r="G207" s="933"/>
      <c r="H207" s="933"/>
      <c r="I207" s="933"/>
      <c r="J207" s="933"/>
      <c r="K207" s="933"/>
      <c r="L207" s="933"/>
      <c r="M207" s="933"/>
      <c r="N207" s="933"/>
      <c r="O207" s="933"/>
      <c r="P207" s="933"/>
      <c r="Q207" s="933"/>
      <c r="R207" s="933"/>
      <c r="S207" s="933"/>
      <c r="T207" s="933"/>
      <c r="U207" s="933"/>
      <c r="V207" s="933"/>
      <c r="W207" s="933"/>
      <c r="X207" s="933"/>
      <c r="Y207" s="933"/>
      <c r="Z207" s="933"/>
      <c r="AA207" s="933"/>
      <c r="AB207" s="933"/>
      <c r="AC207" s="933"/>
      <c r="AD207" s="933"/>
      <c r="AE207" s="933"/>
      <c r="AF207" s="933"/>
      <c r="AG207" s="933"/>
      <c r="AH207" s="933"/>
      <c r="AI207" s="933"/>
      <c r="AJ207" s="933"/>
      <c r="AK207" s="933"/>
      <c r="AL207" s="933"/>
      <c r="AM207" s="933"/>
      <c r="AN207" s="933"/>
      <c r="AO207" s="933"/>
      <c r="AP207" s="933"/>
      <c r="AQ207" s="933"/>
      <c r="AR207" s="933"/>
      <c r="AS207" s="933"/>
      <c r="AT207" s="933"/>
      <c r="AU207" s="933"/>
      <c r="AV207" s="933"/>
      <c r="AW207" s="933"/>
      <c r="AX207" s="933"/>
      <c r="AY207" s="933"/>
      <c r="AZ207" s="933"/>
      <c r="BA207" s="933"/>
      <c r="BB207" s="933"/>
      <c r="BC207" s="933"/>
      <c r="BD207" s="933"/>
      <c r="BE207" s="933"/>
      <c r="BF207" s="933"/>
      <c r="BG207" s="933"/>
      <c r="BH207" s="933"/>
      <c r="BI207" s="933"/>
      <c r="BJ207" s="933"/>
      <c r="BK207" s="933"/>
      <c r="BL207" s="933"/>
      <c r="BM207" s="933"/>
      <c r="BN207" s="933"/>
      <c r="BO207" s="933"/>
      <c r="BP207" s="933"/>
      <c r="BQ207" s="933"/>
      <c r="BR207" s="933"/>
      <c r="BS207" s="933"/>
      <c r="BT207" s="933"/>
    </row>
    <row r="208" spans="1:72" x14ac:dyDescent="0.25">
      <c r="A208" s="933" t="s">
        <v>631</v>
      </c>
      <c r="B208" s="933"/>
      <c r="C208" s="933"/>
      <c r="D208" s="933"/>
      <c r="E208" s="933"/>
      <c r="F208" s="933"/>
      <c r="G208" s="933"/>
      <c r="H208" s="933"/>
      <c r="I208" s="933"/>
      <c r="J208" s="933"/>
      <c r="K208" s="933"/>
      <c r="L208" s="933"/>
      <c r="M208" s="933"/>
      <c r="N208" s="933"/>
      <c r="O208" s="933"/>
      <c r="P208" s="933"/>
      <c r="Q208" s="933"/>
      <c r="R208" s="933"/>
      <c r="S208" s="933"/>
      <c r="T208" s="933"/>
      <c r="U208" s="933"/>
      <c r="V208" s="933"/>
      <c r="W208" s="933"/>
      <c r="X208" s="933"/>
      <c r="Y208" s="933"/>
      <c r="Z208" s="933"/>
      <c r="AA208" s="933"/>
      <c r="AB208" s="933"/>
      <c r="AC208" s="933"/>
      <c r="AD208" s="933"/>
      <c r="AE208" s="933"/>
      <c r="AF208" s="933"/>
      <c r="AG208" s="933"/>
      <c r="AH208" s="933"/>
      <c r="AI208" s="933"/>
      <c r="AJ208" s="933"/>
      <c r="AK208" s="933"/>
      <c r="AL208" s="933"/>
      <c r="AM208" s="933"/>
      <c r="AN208" s="933"/>
      <c r="AO208" s="933"/>
      <c r="AP208" s="933"/>
      <c r="AQ208" s="933"/>
      <c r="AR208" s="933"/>
      <c r="AS208" s="933"/>
      <c r="AT208" s="933"/>
      <c r="AU208" s="933"/>
      <c r="AV208" s="933"/>
      <c r="AW208" s="933"/>
      <c r="AX208" s="933"/>
      <c r="AY208" s="933"/>
      <c r="AZ208" s="933"/>
      <c r="BA208" s="933"/>
      <c r="BB208" s="933"/>
      <c r="BC208" s="933"/>
      <c r="BD208" s="933"/>
      <c r="BE208" s="933"/>
      <c r="BF208" s="933"/>
      <c r="BG208" s="933"/>
      <c r="BH208" s="933"/>
      <c r="BI208" s="933"/>
      <c r="BJ208" s="933"/>
      <c r="BK208" s="933"/>
      <c r="BL208" s="933"/>
      <c r="BM208" s="933"/>
      <c r="BN208" s="933"/>
      <c r="BO208" s="933"/>
      <c r="BP208" s="933"/>
      <c r="BQ208" s="933"/>
      <c r="BR208" s="933"/>
      <c r="BS208" s="933"/>
      <c r="BT208" s="933"/>
    </row>
    <row r="209" spans="1:72" x14ac:dyDescent="0.25">
      <c r="A209" s="933" t="s">
        <v>632</v>
      </c>
      <c r="B209" s="933"/>
      <c r="C209" s="933"/>
      <c r="D209" s="933"/>
      <c r="E209" s="933"/>
      <c r="F209" s="933"/>
      <c r="G209" s="933"/>
      <c r="H209" s="933"/>
      <c r="I209" s="933"/>
      <c r="J209" s="933"/>
      <c r="K209" s="933"/>
      <c r="L209" s="933"/>
      <c r="M209" s="933"/>
      <c r="N209" s="933"/>
      <c r="O209" s="933"/>
      <c r="P209" s="933"/>
      <c r="Q209" s="933"/>
      <c r="R209" s="933"/>
      <c r="S209" s="933"/>
      <c r="T209" s="933"/>
      <c r="U209" s="933"/>
      <c r="V209" s="933"/>
      <c r="W209" s="933"/>
      <c r="X209" s="933"/>
      <c r="Y209" s="933"/>
      <c r="Z209" s="933"/>
      <c r="AA209" s="933"/>
      <c r="AB209" s="933"/>
      <c r="AC209" s="933"/>
      <c r="AD209" s="933"/>
      <c r="AE209" s="933"/>
      <c r="AF209" s="933"/>
      <c r="AG209" s="933"/>
      <c r="AH209" s="933"/>
      <c r="AI209" s="933"/>
      <c r="AJ209" s="933"/>
      <c r="AK209" s="933"/>
      <c r="AL209" s="933"/>
      <c r="AM209" s="933"/>
      <c r="AN209" s="933"/>
      <c r="AO209" s="933"/>
      <c r="AP209" s="933"/>
      <c r="AQ209" s="933"/>
      <c r="AR209" s="933"/>
      <c r="AS209" s="933"/>
      <c r="AT209" s="933"/>
      <c r="AU209" s="933"/>
      <c r="AV209" s="933"/>
      <c r="AW209" s="933"/>
      <c r="AX209" s="933"/>
      <c r="AY209" s="933"/>
      <c r="AZ209" s="933"/>
      <c r="BA209" s="933"/>
      <c r="BB209" s="933"/>
      <c r="BC209" s="933"/>
      <c r="BD209" s="933"/>
      <c r="BE209" s="933"/>
      <c r="BF209" s="933"/>
      <c r="BG209" s="933"/>
      <c r="BH209" s="933"/>
      <c r="BI209" s="933"/>
      <c r="BJ209" s="933"/>
      <c r="BK209" s="933"/>
      <c r="BL209" s="933"/>
      <c r="BM209" s="933"/>
      <c r="BN209" s="933"/>
      <c r="BO209" s="933"/>
      <c r="BP209" s="933"/>
      <c r="BQ209" s="933"/>
      <c r="BR209" s="933"/>
      <c r="BS209" s="933"/>
      <c r="BT209" s="933"/>
    </row>
    <row r="210" spans="1:72" x14ac:dyDescent="0.25">
      <c r="A210" s="933" t="s">
        <v>790</v>
      </c>
      <c r="B210" s="933"/>
      <c r="C210" s="933"/>
      <c r="D210" s="933"/>
      <c r="E210" s="933"/>
      <c r="F210" s="933"/>
      <c r="G210" s="933"/>
      <c r="H210" s="933"/>
      <c r="I210" s="933"/>
      <c r="J210" s="933"/>
      <c r="K210" s="933"/>
      <c r="L210" s="933"/>
      <c r="M210" s="933"/>
      <c r="N210" s="933"/>
      <c r="O210" s="933"/>
      <c r="P210" s="933"/>
      <c r="Q210" s="933"/>
      <c r="R210" s="933"/>
      <c r="S210" s="933"/>
      <c r="T210" s="933"/>
      <c r="U210" s="933"/>
      <c r="V210" s="933"/>
      <c r="W210" s="933"/>
      <c r="X210" s="933"/>
      <c r="Y210" s="933"/>
      <c r="Z210" s="933"/>
      <c r="AA210" s="933"/>
      <c r="AB210" s="933"/>
      <c r="AC210" s="933"/>
      <c r="AD210" s="933"/>
      <c r="AE210" s="933"/>
      <c r="AF210" s="933"/>
      <c r="AG210" s="933"/>
      <c r="AH210" s="933"/>
      <c r="AI210" s="933"/>
      <c r="AJ210" s="933"/>
      <c r="AK210" s="933"/>
      <c r="AL210" s="933"/>
      <c r="AM210" s="933"/>
      <c r="AN210" s="933"/>
      <c r="AO210" s="933"/>
      <c r="AP210" s="933"/>
      <c r="AQ210" s="933"/>
      <c r="AR210" s="933"/>
      <c r="AS210" s="933"/>
      <c r="AT210" s="933"/>
      <c r="AU210" s="933"/>
      <c r="AV210" s="933"/>
      <c r="AW210" s="933"/>
      <c r="AX210" s="933"/>
      <c r="AY210" s="933"/>
      <c r="AZ210" s="933"/>
      <c r="BA210" s="933"/>
      <c r="BB210" s="933"/>
      <c r="BC210" s="933"/>
      <c r="BD210" s="933"/>
      <c r="BE210" s="933"/>
      <c r="BF210" s="933"/>
      <c r="BG210" s="933"/>
      <c r="BH210" s="933"/>
      <c r="BI210" s="933"/>
      <c r="BJ210" s="933"/>
      <c r="BK210" s="933"/>
      <c r="BL210" s="933"/>
      <c r="BM210" s="933"/>
      <c r="BN210" s="933"/>
      <c r="BO210" s="933"/>
      <c r="BP210" s="933"/>
      <c r="BQ210" s="933"/>
      <c r="BR210" s="933"/>
      <c r="BS210" s="933"/>
      <c r="BT210" s="933"/>
    </row>
    <row r="211" spans="1:72" x14ac:dyDescent="0.25">
      <c r="A211" s="933" t="s">
        <v>791</v>
      </c>
      <c r="B211" s="933"/>
      <c r="C211" s="933"/>
      <c r="D211" s="933"/>
      <c r="E211" s="933"/>
      <c r="F211" s="933"/>
      <c r="G211" s="933"/>
      <c r="H211" s="933"/>
      <c r="I211" s="933"/>
      <c r="J211" s="933"/>
      <c r="K211" s="933"/>
      <c r="L211" s="933"/>
      <c r="M211" s="933"/>
      <c r="N211" s="933"/>
      <c r="O211" s="933"/>
      <c r="P211" s="933"/>
      <c r="Q211" s="933"/>
      <c r="R211" s="933"/>
      <c r="S211" s="933"/>
      <c r="T211" s="933"/>
      <c r="U211" s="933"/>
      <c r="V211" s="933"/>
      <c r="W211" s="933"/>
      <c r="X211" s="933"/>
      <c r="Y211" s="933"/>
      <c r="Z211" s="933"/>
      <c r="AA211" s="933"/>
      <c r="AB211" s="933"/>
      <c r="AC211" s="933"/>
      <c r="AD211" s="933"/>
      <c r="AE211" s="933"/>
      <c r="AF211" s="933"/>
      <c r="AG211" s="933"/>
      <c r="AH211" s="933"/>
      <c r="AI211" s="933"/>
      <c r="AJ211" s="933"/>
      <c r="AK211" s="933"/>
      <c r="AL211" s="933"/>
      <c r="AM211" s="933"/>
      <c r="AN211" s="933"/>
      <c r="AO211" s="933"/>
      <c r="AP211" s="933"/>
      <c r="AQ211" s="933"/>
      <c r="AR211" s="933"/>
      <c r="AS211" s="933"/>
      <c r="AT211" s="933"/>
      <c r="AU211" s="933"/>
      <c r="AV211" s="933"/>
      <c r="AW211" s="933"/>
      <c r="AX211" s="933"/>
      <c r="AY211" s="933"/>
      <c r="AZ211" s="933"/>
      <c r="BA211" s="933"/>
      <c r="BB211" s="933"/>
      <c r="BC211" s="933"/>
      <c r="BD211" s="933"/>
      <c r="BE211" s="933"/>
      <c r="BF211" s="933"/>
      <c r="BG211" s="933"/>
      <c r="BH211" s="933"/>
      <c r="BI211" s="933"/>
      <c r="BJ211" s="933"/>
      <c r="BK211" s="933"/>
      <c r="BL211" s="933"/>
      <c r="BM211" s="933"/>
      <c r="BN211" s="933"/>
      <c r="BO211" s="933"/>
      <c r="BP211" s="933"/>
      <c r="BQ211" s="933"/>
      <c r="BR211" s="933"/>
      <c r="BS211" s="933"/>
      <c r="BT211" s="933"/>
    </row>
    <row r="212" spans="1:72" x14ac:dyDescent="0.25">
      <c r="A212" s="933" t="s">
        <v>649</v>
      </c>
      <c r="B212" s="933"/>
      <c r="C212" s="933"/>
      <c r="D212" s="933"/>
      <c r="E212" s="933"/>
      <c r="F212" s="933"/>
      <c r="G212" s="933"/>
      <c r="H212" s="933"/>
      <c r="I212" s="933"/>
      <c r="J212" s="933"/>
      <c r="K212" s="933"/>
      <c r="L212" s="933"/>
      <c r="M212" s="933"/>
      <c r="N212" s="933"/>
      <c r="O212" s="933"/>
      <c r="P212" s="933"/>
      <c r="Q212" s="933"/>
      <c r="R212" s="933"/>
      <c r="S212" s="933"/>
      <c r="T212" s="933"/>
      <c r="U212" s="933"/>
      <c r="V212" s="933"/>
      <c r="W212" s="933"/>
      <c r="X212" s="933"/>
      <c r="Y212" s="933"/>
      <c r="Z212" s="933"/>
      <c r="AA212" s="933"/>
      <c r="AB212" s="933"/>
      <c r="AC212" s="933"/>
      <c r="AD212" s="933"/>
      <c r="AE212" s="933"/>
      <c r="AF212" s="933"/>
      <c r="AG212" s="933"/>
      <c r="AH212" s="933"/>
      <c r="AI212" s="933"/>
      <c r="AJ212" s="933"/>
      <c r="AK212" s="933"/>
      <c r="AL212" s="933"/>
      <c r="AM212" s="933"/>
      <c r="AN212" s="933"/>
      <c r="AO212" s="933"/>
      <c r="AP212" s="933"/>
      <c r="AQ212" s="933"/>
      <c r="AR212" s="933"/>
      <c r="AS212" s="933"/>
      <c r="AT212" s="933"/>
      <c r="AU212" s="933"/>
      <c r="AV212" s="933"/>
      <c r="AW212" s="933"/>
      <c r="AX212" s="933"/>
      <c r="AY212" s="933"/>
      <c r="AZ212" s="933"/>
      <c r="BA212" s="933"/>
      <c r="BB212" s="933"/>
      <c r="BC212" s="933"/>
      <c r="BD212" s="933"/>
      <c r="BE212" s="933"/>
      <c r="BF212" s="933"/>
      <c r="BG212" s="933"/>
      <c r="BH212" s="933"/>
      <c r="BI212" s="933"/>
      <c r="BJ212" s="933"/>
      <c r="BK212" s="933"/>
      <c r="BL212" s="933"/>
      <c r="BM212" s="933"/>
      <c r="BN212" s="933"/>
      <c r="BO212" s="933"/>
      <c r="BP212" s="933"/>
      <c r="BQ212" s="933"/>
      <c r="BR212" s="933"/>
      <c r="BS212" s="933"/>
      <c r="BT212" s="933"/>
    </row>
    <row r="213" spans="1:72" x14ac:dyDescent="0.25">
      <c r="A213" s="933" t="s">
        <v>650</v>
      </c>
      <c r="B213" s="933"/>
      <c r="C213" s="933"/>
      <c r="D213" s="933"/>
      <c r="E213" s="933"/>
      <c r="F213" s="933"/>
      <c r="G213" s="933"/>
      <c r="H213" s="933"/>
      <c r="I213" s="933"/>
      <c r="J213" s="933"/>
      <c r="K213" s="933"/>
      <c r="L213" s="933"/>
      <c r="M213" s="933"/>
      <c r="N213" s="933"/>
      <c r="O213" s="933"/>
      <c r="P213" s="933"/>
      <c r="Q213" s="933"/>
      <c r="R213" s="933"/>
      <c r="S213" s="933"/>
      <c r="T213" s="933"/>
      <c r="U213" s="933"/>
      <c r="V213" s="933"/>
      <c r="W213" s="933"/>
      <c r="X213" s="933"/>
      <c r="Y213" s="933"/>
      <c r="Z213" s="933"/>
      <c r="AA213" s="933"/>
      <c r="AB213" s="933"/>
      <c r="AC213" s="933"/>
      <c r="AD213" s="933"/>
      <c r="AE213" s="933"/>
      <c r="AF213" s="933"/>
      <c r="AG213" s="933"/>
      <c r="AH213" s="933"/>
      <c r="AI213" s="933"/>
      <c r="AJ213" s="933"/>
      <c r="AK213" s="933"/>
      <c r="AL213" s="933"/>
      <c r="AM213" s="933"/>
      <c r="AN213" s="933"/>
      <c r="AO213" s="933"/>
      <c r="AP213" s="933"/>
      <c r="AQ213" s="933"/>
      <c r="AR213" s="933"/>
      <c r="AS213" s="933"/>
      <c r="AT213" s="933"/>
      <c r="AU213" s="933"/>
      <c r="AV213" s="933"/>
      <c r="AW213" s="933"/>
      <c r="AX213" s="933"/>
      <c r="AY213" s="933"/>
      <c r="AZ213" s="933"/>
      <c r="BA213" s="933"/>
      <c r="BB213" s="933"/>
      <c r="BC213" s="933"/>
      <c r="BD213" s="933"/>
      <c r="BE213" s="933"/>
      <c r="BF213" s="933"/>
      <c r="BG213" s="933"/>
      <c r="BH213" s="933"/>
      <c r="BI213" s="933"/>
      <c r="BJ213" s="933"/>
      <c r="BK213" s="933"/>
      <c r="BL213" s="933"/>
      <c r="BM213" s="933"/>
      <c r="BN213" s="933"/>
      <c r="BO213" s="933"/>
      <c r="BP213" s="933"/>
      <c r="BQ213" s="933"/>
      <c r="BR213" s="933"/>
      <c r="BS213" s="933"/>
      <c r="BT213" s="933"/>
    </row>
    <row r="214" spans="1:72" x14ac:dyDescent="0.25">
      <c r="A214" s="933" t="s">
        <v>651</v>
      </c>
      <c r="B214" s="933"/>
      <c r="C214" s="933"/>
      <c r="D214" s="933"/>
      <c r="E214" s="933"/>
      <c r="F214" s="933"/>
      <c r="G214" s="933"/>
      <c r="H214" s="933"/>
      <c r="I214" s="933"/>
      <c r="J214" s="933"/>
      <c r="K214" s="933"/>
      <c r="L214" s="933"/>
      <c r="M214" s="933"/>
      <c r="N214" s="933"/>
      <c r="O214" s="933"/>
      <c r="P214" s="933"/>
      <c r="Q214" s="933"/>
      <c r="R214" s="933"/>
      <c r="S214" s="933"/>
      <c r="T214" s="933"/>
      <c r="U214" s="933"/>
      <c r="V214" s="933"/>
      <c r="W214" s="933"/>
      <c r="X214" s="933"/>
      <c r="Y214" s="933"/>
      <c r="Z214" s="933"/>
      <c r="AA214" s="933"/>
      <c r="AB214" s="933"/>
      <c r="AC214" s="933"/>
      <c r="AD214" s="933"/>
      <c r="AE214" s="933"/>
      <c r="AF214" s="933"/>
      <c r="AG214" s="933"/>
      <c r="AH214" s="933"/>
      <c r="AI214" s="933"/>
      <c r="AJ214" s="933"/>
      <c r="AK214" s="933"/>
      <c r="AL214" s="933"/>
      <c r="AM214" s="933"/>
      <c r="AN214" s="933"/>
      <c r="AO214" s="933"/>
      <c r="AP214" s="933"/>
      <c r="AQ214" s="933"/>
      <c r="AR214" s="933"/>
      <c r="AS214" s="933"/>
      <c r="AT214" s="933"/>
      <c r="AU214" s="933"/>
      <c r="AV214" s="933"/>
      <c r="AW214" s="933"/>
      <c r="AX214" s="933"/>
      <c r="AY214" s="933"/>
      <c r="AZ214" s="933"/>
      <c r="BA214" s="933"/>
      <c r="BB214" s="933"/>
      <c r="BC214" s="933"/>
      <c r="BD214" s="933"/>
      <c r="BE214" s="933"/>
      <c r="BF214" s="933"/>
      <c r="BG214" s="933"/>
      <c r="BH214" s="933"/>
      <c r="BI214" s="933"/>
      <c r="BJ214" s="933"/>
      <c r="BK214" s="933"/>
      <c r="BL214" s="933"/>
      <c r="BM214" s="933"/>
      <c r="BN214" s="933"/>
      <c r="BO214" s="933"/>
      <c r="BP214" s="933"/>
      <c r="BQ214" s="933"/>
      <c r="BR214" s="933"/>
      <c r="BS214" s="933"/>
      <c r="BT214" s="933"/>
    </row>
    <row r="215" spans="1:72" x14ac:dyDescent="0.25">
      <c r="A215" s="933" t="s">
        <v>652</v>
      </c>
      <c r="B215" s="933"/>
      <c r="C215" s="933"/>
      <c r="D215" s="933"/>
      <c r="E215" s="933"/>
      <c r="F215" s="933"/>
      <c r="G215" s="933"/>
      <c r="H215" s="933"/>
      <c r="I215" s="933"/>
      <c r="J215" s="933"/>
      <c r="K215" s="933"/>
      <c r="L215" s="933"/>
      <c r="M215" s="933"/>
      <c r="N215" s="933"/>
      <c r="O215" s="933"/>
      <c r="P215" s="933"/>
      <c r="Q215" s="933"/>
      <c r="R215" s="933"/>
      <c r="S215" s="933"/>
      <c r="T215" s="933"/>
      <c r="U215" s="933"/>
      <c r="V215" s="933"/>
      <c r="W215" s="933"/>
      <c r="X215" s="933"/>
      <c r="Y215" s="933"/>
      <c r="Z215" s="933"/>
      <c r="AA215" s="933"/>
      <c r="AB215" s="933"/>
      <c r="AC215" s="933"/>
      <c r="AD215" s="933"/>
      <c r="AE215" s="933"/>
      <c r="AF215" s="933"/>
      <c r="AG215" s="933"/>
      <c r="AH215" s="933"/>
      <c r="AI215" s="933"/>
      <c r="AJ215" s="933"/>
      <c r="AK215" s="933"/>
      <c r="AL215" s="933"/>
      <c r="AM215" s="933"/>
      <c r="AN215" s="933"/>
      <c r="AO215" s="933"/>
      <c r="AP215" s="933"/>
      <c r="AQ215" s="933"/>
      <c r="AR215" s="933"/>
      <c r="AS215" s="933"/>
      <c r="AT215" s="933"/>
      <c r="AU215" s="933"/>
      <c r="AV215" s="933"/>
      <c r="AW215" s="933"/>
      <c r="AX215" s="933"/>
      <c r="AY215" s="933"/>
      <c r="AZ215" s="933"/>
      <c r="BA215" s="933"/>
      <c r="BB215" s="933"/>
      <c r="BC215" s="933"/>
      <c r="BD215" s="933"/>
      <c r="BE215" s="933"/>
      <c r="BF215" s="933"/>
      <c r="BG215" s="933"/>
      <c r="BH215" s="933"/>
      <c r="BI215" s="933"/>
      <c r="BJ215" s="933"/>
      <c r="BK215" s="933"/>
      <c r="BL215" s="933"/>
      <c r="BM215" s="933"/>
      <c r="BN215" s="933"/>
      <c r="BO215" s="933"/>
      <c r="BP215" s="933"/>
      <c r="BQ215" s="933"/>
      <c r="BR215" s="933"/>
      <c r="BS215" s="933"/>
      <c r="BT215" s="933"/>
    </row>
    <row r="216" spans="1:72" x14ac:dyDescent="0.25">
      <c r="A216" s="933" t="s">
        <v>653</v>
      </c>
      <c r="B216" s="933"/>
      <c r="C216" s="933"/>
      <c r="D216" s="933"/>
      <c r="E216" s="933"/>
      <c r="F216" s="933"/>
      <c r="G216" s="933"/>
      <c r="H216" s="933"/>
      <c r="I216" s="933"/>
      <c r="J216" s="933"/>
      <c r="K216" s="933"/>
      <c r="L216" s="933"/>
      <c r="M216" s="933"/>
      <c r="N216" s="933"/>
      <c r="O216" s="933"/>
      <c r="P216" s="933"/>
      <c r="Q216" s="933"/>
      <c r="R216" s="933"/>
      <c r="S216" s="933"/>
      <c r="T216" s="933"/>
      <c r="U216" s="933"/>
      <c r="V216" s="933"/>
      <c r="W216" s="933"/>
      <c r="X216" s="933"/>
      <c r="Y216" s="933"/>
      <c r="Z216" s="933"/>
      <c r="AA216" s="933"/>
      <c r="AB216" s="933"/>
      <c r="AC216" s="933"/>
      <c r="AD216" s="933"/>
      <c r="AE216" s="933"/>
      <c r="AF216" s="933"/>
      <c r="AG216" s="933"/>
      <c r="AH216" s="933"/>
      <c r="AI216" s="933"/>
      <c r="AJ216" s="933"/>
      <c r="AK216" s="933"/>
      <c r="AL216" s="933"/>
      <c r="AM216" s="933"/>
      <c r="AN216" s="933"/>
      <c r="AO216" s="933"/>
      <c r="AP216" s="933"/>
      <c r="AQ216" s="933"/>
      <c r="AR216" s="933"/>
      <c r="AS216" s="933"/>
      <c r="AT216" s="933"/>
      <c r="AU216" s="933"/>
      <c r="AV216" s="933"/>
      <c r="AW216" s="933"/>
      <c r="AX216" s="933"/>
      <c r="AY216" s="933"/>
      <c r="AZ216" s="933"/>
      <c r="BA216" s="933"/>
      <c r="BB216" s="933"/>
      <c r="BC216" s="933"/>
      <c r="BD216" s="933"/>
      <c r="BE216" s="933"/>
      <c r="BF216" s="933"/>
      <c r="BG216" s="933"/>
      <c r="BH216" s="933"/>
      <c r="BI216" s="933"/>
      <c r="BJ216" s="933"/>
      <c r="BK216" s="933"/>
      <c r="BL216" s="933"/>
      <c r="BM216" s="933"/>
      <c r="BN216" s="933"/>
      <c r="BO216" s="933"/>
      <c r="BP216" s="933"/>
      <c r="BQ216" s="933"/>
      <c r="BR216" s="933"/>
      <c r="BS216" s="933"/>
      <c r="BT216" s="933"/>
    </row>
    <row r="217" spans="1:72" x14ac:dyDescent="0.25">
      <c r="A217" s="933" t="s">
        <v>654</v>
      </c>
      <c r="B217" s="933"/>
      <c r="C217" s="933"/>
      <c r="D217" s="933"/>
      <c r="E217" s="933"/>
      <c r="F217" s="933"/>
      <c r="G217" s="933"/>
      <c r="H217" s="933"/>
      <c r="I217" s="933"/>
      <c r="J217" s="933"/>
      <c r="K217" s="933"/>
      <c r="L217" s="933"/>
      <c r="M217" s="933"/>
      <c r="N217" s="933"/>
      <c r="O217" s="933"/>
      <c r="P217" s="933"/>
      <c r="Q217" s="933"/>
      <c r="R217" s="933"/>
      <c r="S217" s="933"/>
      <c r="T217" s="933"/>
      <c r="U217" s="933"/>
      <c r="V217" s="933"/>
      <c r="W217" s="933"/>
      <c r="X217" s="933"/>
      <c r="Y217" s="933"/>
      <c r="Z217" s="933"/>
      <c r="AA217" s="933"/>
      <c r="AB217" s="933"/>
      <c r="AC217" s="933"/>
      <c r="AD217" s="933"/>
      <c r="AE217" s="933"/>
      <c r="AF217" s="933"/>
      <c r="AG217" s="933"/>
      <c r="AH217" s="933"/>
      <c r="AI217" s="933"/>
      <c r="AJ217" s="933"/>
      <c r="AK217" s="933"/>
      <c r="AL217" s="933"/>
      <c r="AM217" s="933"/>
      <c r="AN217" s="933"/>
      <c r="AO217" s="933"/>
      <c r="AP217" s="933"/>
      <c r="AQ217" s="933"/>
      <c r="AR217" s="933"/>
      <c r="AS217" s="933"/>
      <c r="AT217" s="933"/>
      <c r="AU217" s="933"/>
      <c r="AV217" s="933"/>
      <c r="AW217" s="933"/>
      <c r="AX217" s="933"/>
      <c r="AY217" s="933"/>
      <c r="AZ217" s="933"/>
      <c r="BA217" s="933"/>
      <c r="BB217" s="933"/>
      <c r="BC217" s="933"/>
      <c r="BD217" s="933"/>
      <c r="BE217" s="933"/>
      <c r="BF217" s="933"/>
      <c r="BG217" s="933"/>
      <c r="BH217" s="933"/>
      <c r="BI217" s="933"/>
      <c r="BJ217" s="933"/>
      <c r="BK217" s="933"/>
      <c r="BL217" s="933"/>
      <c r="BM217" s="933"/>
      <c r="BN217" s="933"/>
      <c r="BO217" s="933"/>
      <c r="BP217" s="933"/>
      <c r="BQ217" s="933"/>
      <c r="BR217" s="933"/>
      <c r="BS217" s="933"/>
      <c r="BT217" s="933"/>
    </row>
    <row r="218" spans="1:72" x14ac:dyDescent="0.25">
      <c r="A218" s="933" t="s">
        <v>545</v>
      </c>
      <c r="B218" s="933"/>
      <c r="C218" s="933"/>
      <c r="D218" s="933"/>
      <c r="E218" s="933"/>
      <c r="F218" s="933"/>
      <c r="G218" s="933"/>
      <c r="H218" s="933"/>
      <c r="I218" s="933"/>
      <c r="J218" s="933"/>
      <c r="K218" s="933"/>
      <c r="L218" s="933"/>
      <c r="M218" s="933"/>
      <c r="N218" s="933"/>
      <c r="O218" s="933"/>
      <c r="P218" s="933"/>
      <c r="Q218" s="933"/>
      <c r="R218" s="933"/>
      <c r="S218" s="933"/>
      <c r="T218" s="933"/>
      <c r="U218" s="933"/>
      <c r="V218" s="933"/>
      <c r="W218" s="933"/>
      <c r="X218" s="933"/>
      <c r="Y218" s="933"/>
      <c r="Z218" s="933"/>
      <c r="AA218" s="933"/>
      <c r="AB218" s="933"/>
      <c r="AC218" s="933"/>
      <c r="AD218" s="933"/>
      <c r="AE218" s="933"/>
      <c r="AF218" s="933"/>
      <c r="AG218" s="933"/>
      <c r="AH218" s="933"/>
      <c r="AI218" s="933"/>
      <c r="AJ218" s="933"/>
      <c r="AK218" s="933"/>
      <c r="AL218" s="933"/>
      <c r="AM218" s="933"/>
      <c r="AN218" s="933"/>
      <c r="AO218" s="933"/>
      <c r="AP218" s="933"/>
      <c r="AQ218" s="933"/>
      <c r="AR218" s="933"/>
      <c r="AS218" s="933"/>
      <c r="AT218" s="933"/>
      <c r="AU218" s="933"/>
      <c r="AV218" s="933"/>
      <c r="AW218" s="933"/>
      <c r="AX218" s="933"/>
      <c r="AY218" s="933"/>
      <c r="AZ218" s="933"/>
      <c r="BA218" s="933"/>
      <c r="BB218" s="933"/>
      <c r="BC218" s="933"/>
      <c r="BD218" s="933"/>
      <c r="BE218" s="933"/>
      <c r="BF218" s="933"/>
      <c r="BG218" s="933"/>
      <c r="BH218" s="933"/>
      <c r="BI218" s="933"/>
      <c r="BJ218" s="933"/>
      <c r="BK218" s="933"/>
      <c r="BL218" s="933"/>
      <c r="BM218" s="933"/>
      <c r="BN218" s="933"/>
      <c r="BO218" s="933"/>
      <c r="BP218" s="933"/>
      <c r="BQ218" s="933"/>
      <c r="BR218" s="933"/>
      <c r="BS218" s="933"/>
      <c r="BT218" s="933"/>
    </row>
    <row r="219" spans="1:72" x14ac:dyDescent="0.25">
      <c r="A219" s="933" t="s">
        <v>730</v>
      </c>
      <c r="B219" s="933"/>
      <c r="C219" s="933"/>
      <c r="D219" s="933"/>
      <c r="E219" s="933"/>
      <c r="F219" s="933"/>
      <c r="G219" s="933"/>
      <c r="H219" s="933"/>
      <c r="I219" s="933"/>
      <c r="J219" s="933"/>
      <c r="K219" s="933"/>
      <c r="L219" s="933"/>
      <c r="M219" s="933"/>
      <c r="N219" s="933"/>
      <c r="O219" s="933"/>
      <c r="P219" s="933"/>
      <c r="Q219" s="933"/>
      <c r="R219" s="933"/>
      <c r="S219" s="933"/>
      <c r="T219" s="933"/>
      <c r="U219" s="933"/>
      <c r="V219" s="933"/>
      <c r="W219" s="933"/>
      <c r="X219" s="933"/>
      <c r="Y219" s="933"/>
      <c r="Z219" s="933"/>
      <c r="AA219" s="933"/>
      <c r="AB219" s="933"/>
      <c r="AC219" s="933"/>
      <c r="AD219" s="933"/>
      <c r="AE219" s="933"/>
      <c r="AF219" s="933"/>
      <c r="AG219" s="933"/>
      <c r="AH219" s="933"/>
      <c r="AI219" s="933"/>
      <c r="AJ219" s="933"/>
      <c r="AK219" s="933"/>
      <c r="AL219" s="933"/>
      <c r="AM219" s="933"/>
      <c r="AN219" s="933"/>
      <c r="AO219" s="933"/>
      <c r="AP219" s="933"/>
      <c r="AQ219" s="933"/>
      <c r="AR219" s="933"/>
      <c r="AS219" s="933"/>
      <c r="AT219" s="933"/>
      <c r="AU219" s="933"/>
      <c r="AV219" s="933"/>
      <c r="AW219" s="933"/>
      <c r="AX219" s="933"/>
      <c r="AY219" s="933"/>
      <c r="AZ219" s="933"/>
      <c r="BA219" s="933"/>
      <c r="BB219" s="933"/>
      <c r="BC219" s="933"/>
      <c r="BD219" s="933"/>
      <c r="BE219" s="933"/>
      <c r="BF219" s="933"/>
      <c r="BG219" s="933"/>
      <c r="BH219" s="933"/>
      <c r="BI219" s="933"/>
      <c r="BJ219" s="933"/>
      <c r="BK219" s="933"/>
      <c r="BL219" s="933"/>
      <c r="BM219" s="933"/>
      <c r="BN219" s="933"/>
      <c r="BO219" s="933"/>
      <c r="BP219" s="933"/>
      <c r="BQ219" s="933"/>
      <c r="BR219" s="933"/>
      <c r="BS219" s="933"/>
      <c r="BT219" s="933"/>
    </row>
    <row r="220" spans="1:72" x14ac:dyDescent="0.25">
      <c r="A220" s="933" t="s">
        <v>792</v>
      </c>
      <c r="B220" s="933"/>
      <c r="C220" s="933"/>
      <c r="D220" s="933"/>
      <c r="E220" s="933"/>
      <c r="F220" s="933"/>
      <c r="G220" s="933"/>
      <c r="H220" s="933"/>
      <c r="I220" s="933"/>
      <c r="J220" s="933"/>
      <c r="K220" s="933"/>
      <c r="L220" s="933"/>
      <c r="M220" s="933"/>
      <c r="N220" s="933"/>
      <c r="O220" s="933"/>
      <c r="P220" s="933"/>
      <c r="Q220" s="933"/>
      <c r="R220" s="933"/>
      <c r="S220" s="933"/>
      <c r="T220" s="933"/>
      <c r="U220" s="933"/>
      <c r="V220" s="933"/>
      <c r="W220" s="933"/>
      <c r="X220" s="933"/>
      <c r="Y220" s="933"/>
      <c r="Z220" s="933"/>
      <c r="AA220" s="933"/>
      <c r="AB220" s="933"/>
      <c r="AC220" s="933"/>
      <c r="AD220" s="933"/>
      <c r="AE220" s="933"/>
      <c r="AF220" s="933"/>
      <c r="AG220" s="933"/>
      <c r="AH220" s="933"/>
      <c r="AI220" s="933"/>
      <c r="AJ220" s="933"/>
      <c r="AK220" s="933"/>
      <c r="AL220" s="933"/>
      <c r="AM220" s="933"/>
      <c r="AN220" s="933"/>
      <c r="AO220" s="933"/>
      <c r="AP220" s="933"/>
      <c r="AQ220" s="933"/>
      <c r="AR220" s="933"/>
      <c r="AS220" s="933"/>
      <c r="AT220" s="933"/>
      <c r="AU220" s="933"/>
      <c r="AV220" s="933"/>
      <c r="AW220" s="933"/>
      <c r="AX220" s="933"/>
      <c r="AY220" s="933"/>
      <c r="AZ220" s="933"/>
      <c r="BA220" s="933"/>
      <c r="BB220" s="933"/>
      <c r="BC220" s="933"/>
      <c r="BD220" s="933"/>
      <c r="BE220" s="933"/>
      <c r="BF220" s="933"/>
      <c r="BG220" s="933"/>
      <c r="BH220" s="933"/>
      <c r="BI220" s="933"/>
      <c r="BJ220" s="933"/>
      <c r="BK220" s="933"/>
      <c r="BL220" s="933"/>
      <c r="BM220" s="933"/>
      <c r="BN220" s="933"/>
      <c r="BO220" s="933"/>
      <c r="BP220" s="933"/>
      <c r="BQ220" s="933"/>
      <c r="BR220" s="933"/>
      <c r="BS220" s="933"/>
      <c r="BT220" s="933"/>
    </row>
    <row r="221" spans="1:72" x14ac:dyDescent="0.25">
      <c r="A221" s="933" t="s">
        <v>793</v>
      </c>
      <c r="B221" s="933"/>
      <c r="C221" s="933"/>
      <c r="D221" s="933"/>
      <c r="E221" s="933"/>
      <c r="F221" s="933"/>
      <c r="G221" s="933"/>
      <c r="H221" s="933"/>
      <c r="I221" s="933"/>
      <c r="J221" s="933"/>
      <c r="K221" s="933"/>
      <c r="L221" s="933"/>
      <c r="M221" s="933"/>
      <c r="N221" s="933"/>
      <c r="O221" s="933"/>
      <c r="P221" s="933"/>
      <c r="Q221" s="933"/>
      <c r="R221" s="933"/>
      <c r="S221" s="933"/>
      <c r="T221" s="933"/>
      <c r="U221" s="933"/>
      <c r="V221" s="933"/>
      <c r="W221" s="933"/>
      <c r="X221" s="933"/>
      <c r="Y221" s="933"/>
      <c r="Z221" s="933"/>
      <c r="AA221" s="933"/>
      <c r="AB221" s="933"/>
      <c r="AC221" s="933"/>
      <c r="AD221" s="933"/>
      <c r="AE221" s="933"/>
      <c r="AF221" s="933"/>
      <c r="AG221" s="933"/>
      <c r="AH221" s="933"/>
      <c r="AI221" s="933"/>
      <c r="AJ221" s="933"/>
      <c r="AK221" s="933"/>
      <c r="AL221" s="933"/>
      <c r="AM221" s="933"/>
      <c r="AN221" s="933"/>
      <c r="AO221" s="933"/>
      <c r="AP221" s="933"/>
      <c r="AQ221" s="933"/>
      <c r="AR221" s="933"/>
      <c r="AS221" s="933"/>
      <c r="AT221" s="933"/>
      <c r="AU221" s="933"/>
      <c r="AV221" s="933"/>
      <c r="AW221" s="933"/>
      <c r="AX221" s="933"/>
      <c r="AY221" s="933"/>
      <c r="AZ221" s="933"/>
      <c r="BA221" s="933"/>
      <c r="BB221" s="933"/>
      <c r="BC221" s="933"/>
      <c r="BD221" s="933"/>
      <c r="BE221" s="933"/>
      <c r="BF221" s="933"/>
      <c r="BG221" s="933"/>
      <c r="BH221" s="933"/>
      <c r="BI221" s="933"/>
      <c r="BJ221" s="933"/>
      <c r="BK221" s="933"/>
      <c r="BL221" s="933"/>
      <c r="BM221" s="933"/>
      <c r="BN221" s="933"/>
      <c r="BO221" s="933"/>
      <c r="BP221" s="933"/>
      <c r="BQ221" s="933"/>
      <c r="BR221" s="933"/>
      <c r="BS221" s="933"/>
      <c r="BT221" s="933"/>
    </row>
    <row r="222" spans="1:72" x14ac:dyDescent="0.25">
      <c r="A222" s="933" t="s">
        <v>794</v>
      </c>
      <c r="B222" s="933"/>
      <c r="C222" s="933"/>
      <c r="D222" s="933"/>
      <c r="E222" s="933"/>
      <c r="F222" s="933"/>
      <c r="G222" s="933"/>
      <c r="H222" s="933"/>
      <c r="I222" s="933"/>
      <c r="J222" s="933"/>
      <c r="K222" s="933"/>
      <c r="L222" s="933"/>
      <c r="M222" s="933"/>
      <c r="N222" s="933"/>
      <c r="O222" s="933"/>
      <c r="P222" s="933"/>
      <c r="Q222" s="933"/>
      <c r="R222" s="933"/>
      <c r="S222" s="933"/>
      <c r="T222" s="933"/>
      <c r="U222" s="933"/>
      <c r="V222" s="933"/>
      <c r="W222" s="933"/>
      <c r="X222" s="933"/>
      <c r="Y222" s="933"/>
      <c r="Z222" s="933"/>
      <c r="AA222" s="933"/>
      <c r="AB222" s="933"/>
      <c r="AC222" s="933"/>
      <c r="AD222" s="933"/>
      <c r="AE222" s="933"/>
      <c r="AF222" s="933"/>
      <c r="AG222" s="933"/>
      <c r="AH222" s="933"/>
      <c r="AI222" s="933"/>
      <c r="AJ222" s="933"/>
      <c r="AK222" s="933"/>
      <c r="AL222" s="933"/>
      <c r="AM222" s="933"/>
      <c r="AN222" s="933"/>
      <c r="AO222" s="933"/>
      <c r="AP222" s="933"/>
      <c r="AQ222" s="933"/>
      <c r="AR222" s="933"/>
      <c r="AS222" s="933"/>
      <c r="AT222" s="933"/>
      <c r="AU222" s="933"/>
      <c r="AV222" s="933"/>
      <c r="AW222" s="933"/>
      <c r="AX222" s="933"/>
      <c r="AY222" s="933"/>
      <c r="AZ222" s="933"/>
      <c r="BA222" s="933"/>
      <c r="BB222" s="933"/>
      <c r="BC222" s="933"/>
      <c r="BD222" s="933"/>
      <c r="BE222" s="933"/>
      <c r="BF222" s="933"/>
      <c r="BG222" s="933"/>
      <c r="BH222" s="933"/>
      <c r="BI222" s="933"/>
      <c r="BJ222" s="933"/>
      <c r="BK222" s="933"/>
      <c r="BL222" s="933"/>
      <c r="BM222" s="933"/>
      <c r="BN222" s="933"/>
      <c r="BO222" s="933"/>
      <c r="BP222" s="933"/>
      <c r="BQ222" s="933"/>
      <c r="BR222" s="933"/>
      <c r="BS222" s="933"/>
      <c r="BT222" s="933"/>
    </row>
    <row r="223" spans="1:72" x14ac:dyDescent="0.25">
      <c r="A223" s="933" t="s">
        <v>795</v>
      </c>
      <c r="B223" s="933"/>
      <c r="C223" s="933"/>
      <c r="D223" s="933"/>
      <c r="E223" s="933"/>
      <c r="F223" s="933"/>
      <c r="G223" s="933"/>
      <c r="H223" s="933"/>
      <c r="I223" s="933"/>
      <c r="J223" s="933"/>
      <c r="K223" s="933"/>
      <c r="L223" s="933"/>
      <c r="M223" s="933"/>
      <c r="N223" s="933"/>
      <c r="O223" s="933"/>
      <c r="P223" s="933"/>
      <c r="Q223" s="933"/>
      <c r="R223" s="933"/>
      <c r="S223" s="933"/>
      <c r="T223" s="933"/>
      <c r="U223" s="933"/>
      <c r="V223" s="933"/>
      <c r="W223" s="933"/>
      <c r="X223" s="933"/>
      <c r="Y223" s="933"/>
      <c r="Z223" s="933"/>
      <c r="AA223" s="933"/>
      <c r="AB223" s="933"/>
      <c r="AC223" s="933"/>
      <c r="AD223" s="933"/>
      <c r="AE223" s="933"/>
      <c r="AF223" s="933"/>
      <c r="AG223" s="933"/>
      <c r="AH223" s="933"/>
      <c r="AI223" s="933"/>
      <c r="AJ223" s="933"/>
      <c r="AK223" s="933"/>
      <c r="AL223" s="933"/>
      <c r="AM223" s="933"/>
      <c r="AN223" s="933"/>
      <c r="AO223" s="933"/>
      <c r="AP223" s="933"/>
      <c r="AQ223" s="933"/>
      <c r="AR223" s="933"/>
      <c r="AS223" s="933"/>
      <c r="AT223" s="933"/>
      <c r="AU223" s="933"/>
      <c r="AV223" s="933"/>
      <c r="AW223" s="933"/>
      <c r="AX223" s="933"/>
      <c r="AY223" s="933"/>
      <c r="AZ223" s="933"/>
      <c r="BA223" s="933"/>
      <c r="BB223" s="933"/>
      <c r="BC223" s="933"/>
      <c r="BD223" s="933"/>
      <c r="BE223" s="933"/>
      <c r="BF223" s="933"/>
      <c r="BG223" s="933"/>
      <c r="BH223" s="933"/>
      <c r="BI223" s="933"/>
      <c r="BJ223" s="933"/>
      <c r="BK223" s="933"/>
      <c r="BL223" s="933"/>
      <c r="BM223" s="933"/>
      <c r="BN223" s="933"/>
      <c r="BO223" s="933"/>
      <c r="BP223" s="933"/>
      <c r="BQ223" s="933"/>
      <c r="BR223" s="933"/>
      <c r="BS223" s="933"/>
      <c r="BT223" s="933"/>
    </row>
    <row r="224" spans="1:72" x14ac:dyDescent="0.25">
      <c r="A224" s="933" t="s">
        <v>796</v>
      </c>
      <c r="B224" s="933"/>
      <c r="C224" s="933"/>
      <c r="D224" s="933"/>
      <c r="E224" s="933"/>
      <c r="F224" s="933"/>
      <c r="G224" s="933"/>
      <c r="H224" s="933"/>
      <c r="I224" s="933"/>
      <c r="J224" s="933"/>
      <c r="K224" s="933"/>
      <c r="L224" s="933"/>
      <c r="M224" s="933"/>
      <c r="N224" s="933"/>
      <c r="O224" s="933"/>
      <c r="P224" s="933"/>
      <c r="Q224" s="933"/>
      <c r="R224" s="933"/>
      <c r="S224" s="933"/>
      <c r="T224" s="933"/>
      <c r="U224" s="933"/>
      <c r="V224" s="933"/>
      <c r="W224" s="933"/>
      <c r="X224" s="933"/>
      <c r="Y224" s="933"/>
      <c r="Z224" s="933"/>
      <c r="AA224" s="933"/>
      <c r="AB224" s="933"/>
      <c r="AC224" s="933"/>
      <c r="AD224" s="933"/>
      <c r="AE224" s="933"/>
      <c r="AF224" s="933"/>
      <c r="AG224" s="933"/>
      <c r="AH224" s="933"/>
      <c r="AI224" s="933"/>
      <c r="AJ224" s="933"/>
      <c r="AK224" s="933"/>
      <c r="AL224" s="933"/>
      <c r="AM224" s="933"/>
      <c r="AN224" s="933"/>
      <c r="AO224" s="933"/>
      <c r="AP224" s="933"/>
      <c r="AQ224" s="933"/>
      <c r="AR224" s="933"/>
      <c r="AS224" s="933"/>
      <c r="AT224" s="933"/>
      <c r="AU224" s="933"/>
      <c r="AV224" s="933"/>
      <c r="AW224" s="933"/>
      <c r="AX224" s="933"/>
      <c r="AY224" s="933"/>
      <c r="AZ224" s="933"/>
      <c r="BA224" s="933"/>
      <c r="BB224" s="933"/>
      <c r="BC224" s="933"/>
      <c r="BD224" s="933"/>
      <c r="BE224" s="933"/>
      <c r="BF224" s="933"/>
      <c r="BG224" s="933"/>
      <c r="BH224" s="933"/>
      <c r="BI224" s="933"/>
      <c r="BJ224" s="933"/>
      <c r="BK224" s="933"/>
      <c r="BL224" s="933"/>
      <c r="BM224" s="933"/>
      <c r="BN224" s="933"/>
      <c r="BO224" s="933"/>
      <c r="BP224" s="933"/>
      <c r="BQ224" s="933"/>
      <c r="BR224" s="933"/>
      <c r="BS224" s="933"/>
      <c r="BT224" s="933"/>
    </row>
    <row r="225" spans="1:72" x14ac:dyDescent="0.25">
      <c r="A225" s="933" t="s">
        <v>797</v>
      </c>
      <c r="B225" s="933"/>
      <c r="C225" s="933"/>
      <c r="D225" s="933"/>
      <c r="E225" s="933"/>
      <c r="F225" s="933"/>
      <c r="G225" s="933"/>
      <c r="H225" s="933"/>
      <c r="I225" s="933"/>
      <c r="J225" s="933"/>
      <c r="K225" s="933"/>
      <c r="L225" s="933"/>
      <c r="M225" s="933"/>
      <c r="N225" s="933"/>
      <c r="O225" s="933"/>
      <c r="P225" s="933"/>
      <c r="Q225" s="933"/>
      <c r="R225" s="933"/>
      <c r="S225" s="933"/>
      <c r="T225" s="933"/>
      <c r="U225" s="933"/>
      <c r="V225" s="933"/>
      <c r="W225" s="933"/>
      <c r="X225" s="933"/>
      <c r="Y225" s="933"/>
      <c r="Z225" s="933"/>
      <c r="AA225" s="933"/>
      <c r="AB225" s="933"/>
      <c r="AC225" s="933"/>
      <c r="AD225" s="933"/>
      <c r="AE225" s="933"/>
      <c r="AF225" s="933"/>
      <c r="AG225" s="933"/>
      <c r="AH225" s="933"/>
      <c r="AI225" s="933"/>
      <c r="AJ225" s="933"/>
      <c r="AK225" s="933"/>
      <c r="AL225" s="933"/>
      <c r="AM225" s="933"/>
      <c r="AN225" s="933"/>
      <c r="AO225" s="933"/>
      <c r="AP225" s="933"/>
      <c r="AQ225" s="933"/>
      <c r="AR225" s="933"/>
      <c r="AS225" s="933"/>
      <c r="AT225" s="933"/>
      <c r="AU225" s="933"/>
      <c r="AV225" s="933"/>
      <c r="AW225" s="933"/>
      <c r="AX225" s="933"/>
      <c r="AY225" s="933"/>
      <c r="AZ225" s="933"/>
      <c r="BA225" s="933"/>
      <c r="BB225" s="933"/>
      <c r="BC225" s="933"/>
      <c r="BD225" s="933"/>
      <c r="BE225" s="933"/>
      <c r="BF225" s="933"/>
      <c r="BG225" s="933"/>
      <c r="BH225" s="933"/>
      <c r="BI225" s="933"/>
      <c r="BJ225" s="933"/>
      <c r="BK225" s="933"/>
      <c r="BL225" s="933"/>
      <c r="BM225" s="933"/>
      <c r="BN225" s="933"/>
      <c r="BO225" s="933"/>
      <c r="BP225" s="933"/>
      <c r="BQ225" s="933"/>
      <c r="BR225" s="933"/>
      <c r="BS225" s="933"/>
      <c r="BT225" s="933"/>
    </row>
    <row r="226" spans="1:72" x14ac:dyDescent="0.25">
      <c r="A226" s="933" t="s">
        <v>798</v>
      </c>
      <c r="B226" s="933"/>
      <c r="C226" s="933"/>
      <c r="D226" s="933"/>
      <c r="E226" s="933"/>
      <c r="F226" s="933"/>
      <c r="G226" s="933"/>
      <c r="H226" s="933"/>
      <c r="I226" s="933"/>
      <c r="J226" s="933"/>
      <c r="K226" s="933"/>
      <c r="L226" s="933"/>
      <c r="M226" s="933"/>
      <c r="N226" s="933"/>
      <c r="O226" s="933"/>
      <c r="P226" s="933"/>
      <c r="Q226" s="933"/>
      <c r="R226" s="933"/>
      <c r="S226" s="933"/>
      <c r="T226" s="933"/>
      <c r="U226" s="933"/>
      <c r="V226" s="933"/>
      <c r="W226" s="933"/>
      <c r="X226" s="933"/>
      <c r="Y226" s="933"/>
      <c r="Z226" s="933"/>
      <c r="AA226" s="933"/>
      <c r="AB226" s="933"/>
      <c r="AC226" s="933"/>
      <c r="AD226" s="933"/>
      <c r="AE226" s="933"/>
      <c r="AF226" s="933"/>
      <c r="AG226" s="933"/>
      <c r="AH226" s="933"/>
      <c r="AI226" s="933"/>
      <c r="AJ226" s="933"/>
      <c r="AK226" s="933"/>
      <c r="AL226" s="933"/>
      <c r="AM226" s="933"/>
      <c r="AN226" s="933"/>
      <c r="AO226" s="933"/>
      <c r="AP226" s="933"/>
      <c r="AQ226" s="933"/>
      <c r="AR226" s="933"/>
      <c r="AS226" s="933"/>
      <c r="AT226" s="933"/>
      <c r="AU226" s="933"/>
      <c r="AV226" s="933"/>
      <c r="AW226" s="933"/>
      <c r="AX226" s="933"/>
      <c r="AY226" s="933"/>
      <c r="AZ226" s="933"/>
      <c r="BA226" s="933"/>
      <c r="BB226" s="933"/>
      <c r="BC226" s="933"/>
      <c r="BD226" s="933"/>
      <c r="BE226" s="933"/>
      <c r="BF226" s="933"/>
      <c r="BG226" s="933"/>
      <c r="BH226" s="933"/>
      <c r="BI226" s="933"/>
      <c r="BJ226" s="933"/>
      <c r="BK226" s="933"/>
      <c r="BL226" s="933"/>
      <c r="BM226" s="933"/>
      <c r="BN226" s="933"/>
      <c r="BO226" s="933"/>
      <c r="BP226" s="933"/>
      <c r="BQ226" s="933"/>
      <c r="BR226" s="933"/>
      <c r="BS226" s="933"/>
      <c r="BT226" s="933"/>
    </row>
    <row r="227" spans="1:72" x14ac:dyDescent="0.25">
      <c r="A227" s="933" t="s">
        <v>799</v>
      </c>
      <c r="B227" s="933"/>
      <c r="C227" s="933"/>
      <c r="D227" s="933"/>
      <c r="E227" s="933"/>
      <c r="F227" s="933"/>
      <c r="G227" s="933"/>
      <c r="H227" s="933"/>
      <c r="I227" s="933"/>
      <c r="J227" s="933"/>
      <c r="K227" s="933"/>
      <c r="L227" s="933"/>
      <c r="M227" s="933"/>
      <c r="N227" s="933"/>
      <c r="O227" s="933"/>
      <c r="P227" s="933"/>
      <c r="Q227" s="933"/>
      <c r="R227" s="933"/>
      <c r="S227" s="933"/>
      <c r="T227" s="933"/>
      <c r="U227" s="933"/>
      <c r="V227" s="933"/>
      <c r="W227" s="933"/>
      <c r="X227" s="933"/>
      <c r="Y227" s="933"/>
      <c r="Z227" s="933"/>
      <c r="AA227" s="933"/>
      <c r="AB227" s="933"/>
      <c r="AC227" s="933"/>
      <c r="AD227" s="933"/>
      <c r="AE227" s="933"/>
      <c r="AF227" s="933"/>
      <c r="AG227" s="933"/>
      <c r="AH227" s="933"/>
      <c r="AI227" s="933"/>
      <c r="AJ227" s="933"/>
      <c r="AK227" s="933"/>
      <c r="AL227" s="933"/>
      <c r="AM227" s="933"/>
      <c r="AN227" s="933"/>
      <c r="AO227" s="933"/>
      <c r="AP227" s="933"/>
      <c r="AQ227" s="933"/>
      <c r="AR227" s="933"/>
      <c r="AS227" s="933"/>
      <c r="AT227" s="933"/>
      <c r="AU227" s="933"/>
      <c r="AV227" s="933"/>
      <c r="AW227" s="933"/>
      <c r="AX227" s="933"/>
      <c r="AY227" s="933"/>
      <c r="AZ227" s="933"/>
      <c r="BA227" s="933"/>
      <c r="BB227" s="933"/>
      <c r="BC227" s="933"/>
      <c r="BD227" s="933"/>
      <c r="BE227" s="933"/>
      <c r="BF227" s="933"/>
      <c r="BG227" s="933"/>
      <c r="BH227" s="933"/>
      <c r="BI227" s="933"/>
      <c r="BJ227" s="933"/>
      <c r="BK227" s="933"/>
      <c r="BL227" s="933"/>
      <c r="BM227" s="933"/>
      <c r="BN227" s="933"/>
      <c r="BO227" s="933"/>
      <c r="BP227" s="933"/>
      <c r="BQ227" s="933"/>
      <c r="BR227" s="933"/>
      <c r="BS227" s="933"/>
      <c r="BT227" s="933"/>
    </row>
    <row r="228" spans="1:72" x14ac:dyDescent="0.25">
      <c r="A228" s="933" t="s">
        <v>800</v>
      </c>
      <c r="B228" s="933"/>
      <c r="C228" s="933"/>
      <c r="D228" s="933"/>
      <c r="E228" s="933"/>
      <c r="F228" s="933"/>
      <c r="G228" s="933"/>
      <c r="H228" s="933"/>
      <c r="I228" s="933"/>
      <c r="J228" s="933"/>
      <c r="K228" s="933"/>
      <c r="L228" s="933"/>
      <c r="M228" s="933"/>
      <c r="N228" s="933"/>
      <c r="O228" s="933"/>
      <c r="P228" s="933"/>
      <c r="Q228" s="933"/>
      <c r="R228" s="933"/>
      <c r="S228" s="933"/>
      <c r="T228" s="933"/>
      <c r="U228" s="933"/>
      <c r="V228" s="933"/>
      <c r="W228" s="933"/>
      <c r="X228" s="933"/>
      <c r="Y228" s="933"/>
      <c r="Z228" s="933"/>
      <c r="AA228" s="933"/>
      <c r="AB228" s="933"/>
      <c r="AC228" s="933"/>
      <c r="AD228" s="933"/>
      <c r="AE228" s="933"/>
      <c r="AF228" s="933"/>
      <c r="AG228" s="933"/>
      <c r="AH228" s="933"/>
      <c r="AI228" s="933"/>
      <c r="AJ228" s="933"/>
      <c r="AK228" s="933"/>
      <c r="AL228" s="933"/>
      <c r="AM228" s="933"/>
      <c r="AN228" s="933"/>
      <c r="AO228" s="933"/>
      <c r="AP228" s="933"/>
      <c r="AQ228" s="933"/>
      <c r="AR228" s="933"/>
      <c r="AS228" s="933"/>
      <c r="AT228" s="933"/>
      <c r="AU228" s="933"/>
      <c r="AV228" s="933"/>
      <c r="AW228" s="933"/>
      <c r="AX228" s="933"/>
      <c r="AY228" s="933"/>
      <c r="AZ228" s="933"/>
      <c r="BA228" s="933"/>
      <c r="BB228" s="933"/>
      <c r="BC228" s="933"/>
      <c r="BD228" s="933"/>
      <c r="BE228" s="933"/>
      <c r="BF228" s="933"/>
      <c r="BG228" s="933"/>
      <c r="BH228" s="933"/>
      <c r="BI228" s="933"/>
      <c r="BJ228" s="933"/>
      <c r="BK228" s="933"/>
      <c r="BL228" s="933"/>
      <c r="BM228" s="933"/>
      <c r="BN228" s="933"/>
      <c r="BO228" s="933"/>
      <c r="BP228" s="933"/>
      <c r="BQ228" s="933"/>
      <c r="BR228" s="933"/>
      <c r="BS228" s="933"/>
      <c r="BT228" s="933"/>
    </row>
    <row r="229" spans="1:72" x14ac:dyDescent="0.25">
      <c r="A229" s="933" t="s">
        <v>801</v>
      </c>
      <c r="B229" s="933"/>
      <c r="C229" s="933"/>
      <c r="D229" s="933"/>
      <c r="E229" s="933"/>
      <c r="F229" s="933"/>
      <c r="G229" s="933"/>
      <c r="H229" s="933"/>
      <c r="I229" s="933"/>
      <c r="J229" s="933"/>
      <c r="K229" s="933"/>
      <c r="L229" s="933"/>
      <c r="M229" s="933"/>
      <c r="N229" s="933"/>
      <c r="O229" s="933"/>
      <c r="P229" s="933"/>
      <c r="Q229" s="933"/>
      <c r="R229" s="933"/>
      <c r="S229" s="933"/>
      <c r="T229" s="933"/>
      <c r="U229" s="933"/>
      <c r="V229" s="933"/>
      <c r="W229" s="933"/>
      <c r="X229" s="933"/>
      <c r="Y229" s="933"/>
      <c r="Z229" s="933"/>
      <c r="AA229" s="933"/>
      <c r="AB229" s="933"/>
      <c r="AC229" s="933"/>
      <c r="AD229" s="933"/>
      <c r="AE229" s="933"/>
      <c r="AF229" s="933"/>
      <c r="AG229" s="933"/>
      <c r="AH229" s="933"/>
      <c r="AI229" s="933"/>
      <c r="AJ229" s="933"/>
      <c r="AK229" s="933"/>
      <c r="AL229" s="933"/>
      <c r="AM229" s="933"/>
      <c r="AN229" s="933"/>
      <c r="AO229" s="933"/>
      <c r="AP229" s="933"/>
      <c r="AQ229" s="933"/>
      <c r="AR229" s="933"/>
      <c r="AS229" s="933"/>
      <c r="AT229" s="933"/>
      <c r="AU229" s="933"/>
      <c r="AV229" s="933"/>
      <c r="AW229" s="933"/>
      <c r="AX229" s="933"/>
      <c r="AY229" s="933"/>
      <c r="AZ229" s="933"/>
      <c r="BA229" s="933"/>
      <c r="BB229" s="933"/>
      <c r="BC229" s="933"/>
      <c r="BD229" s="933"/>
      <c r="BE229" s="933"/>
      <c r="BF229" s="933"/>
      <c r="BG229" s="933"/>
      <c r="BH229" s="933"/>
      <c r="BI229" s="933"/>
      <c r="BJ229" s="933"/>
      <c r="BK229" s="933"/>
      <c r="BL229" s="933"/>
      <c r="BM229" s="933"/>
      <c r="BN229" s="933"/>
      <c r="BO229" s="933"/>
      <c r="BP229" s="933"/>
      <c r="BQ229" s="933"/>
      <c r="BR229" s="933"/>
      <c r="BS229" s="933"/>
      <c r="BT229" s="933"/>
    </row>
    <row r="230" spans="1:72" x14ac:dyDescent="0.25">
      <c r="A230" s="933" t="s">
        <v>802</v>
      </c>
      <c r="B230" s="933"/>
      <c r="C230" s="933"/>
      <c r="D230" s="933"/>
      <c r="E230" s="933"/>
      <c r="F230" s="933"/>
      <c r="G230" s="933"/>
      <c r="H230" s="933"/>
      <c r="I230" s="933"/>
      <c r="J230" s="933"/>
      <c r="K230" s="933"/>
      <c r="L230" s="933"/>
      <c r="M230" s="933"/>
      <c r="N230" s="933"/>
      <c r="O230" s="933"/>
      <c r="P230" s="933"/>
      <c r="Q230" s="933"/>
      <c r="R230" s="933"/>
      <c r="S230" s="933"/>
      <c r="T230" s="933"/>
      <c r="U230" s="933"/>
      <c r="V230" s="933"/>
      <c r="W230" s="933"/>
      <c r="X230" s="933"/>
      <c r="Y230" s="933"/>
      <c r="Z230" s="933"/>
      <c r="AA230" s="933"/>
      <c r="AB230" s="933"/>
      <c r="AC230" s="933"/>
      <c r="AD230" s="933"/>
      <c r="AE230" s="933"/>
      <c r="AF230" s="933"/>
      <c r="AG230" s="933"/>
      <c r="AH230" s="933"/>
      <c r="AI230" s="933"/>
      <c r="AJ230" s="933"/>
      <c r="AK230" s="933"/>
      <c r="AL230" s="933"/>
      <c r="AM230" s="933"/>
      <c r="AN230" s="933"/>
      <c r="AO230" s="933"/>
      <c r="AP230" s="933"/>
      <c r="AQ230" s="933"/>
      <c r="AR230" s="933"/>
      <c r="AS230" s="933"/>
      <c r="AT230" s="933"/>
      <c r="AU230" s="933"/>
      <c r="AV230" s="933"/>
      <c r="AW230" s="933"/>
      <c r="AX230" s="933"/>
      <c r="AY230" s="933"/>
      <c r="AZ230" s="933"/>
      <c r="BA230" s="933"/>
      <c r="BB230" s="933"/>
      <c r="BC230" s="933"/>
      <c r="BD230" s="933"/>
      <c r="BE230" s="933"/>
      <c r="BF230" s="933"/>
      <c r="BG230" s="933"/>
      <c r="BH230" s="933"/>
      <c r="BI230" s="933"/>
      <c r="BJ230" s="933"/>
      <c r="BK230" s="933"/>
      <c r="BL230" s="933"/>
      <c r="BM230" s="933"/>
      <c r="BN230" s="933"/>
      <c r="BO230" s="933"/>
      <c r="BP230" s="933"/>
      <c r="BQ230" s="933"/>
      <c r="BR230" s="933"/>
      <c r="BS230" s="933"/>
      <c r="BT230" s="933"/>
    </row>
    <row r="231" spans="1:72" x14ac:dyDescent="0.25">
      <c r="A231" s="933" t="s">
        <v>803</v>
      </c>
      <c r="B231" s="933"/>
      <c r="C231" s="933"/>
      <c r="D231" s="933"/>
      <c r="E231" s="933"/>
      <c r="F231" s="933"/>
      <c r="G231" s="933"/>
      <c r="H231" s="933"/>
      <c r="I231" s="933"/>
      <c r="J231" s="933"/>
      <c r="K231" s="933"/>
      <c r="L231" s="933"/>
      <c r="M231" s="933"/>
      <c r="N231" s="933"/>
      <c r="O231" s="933"/>
      <c r="P231" s="933"/>
      <c r="Q231" s="933"/>
      <c r="R231" s="933"/>
      <c r="S231" s="933"/>
      <c r="T231" s="933"/>
      <c r="U231" s="933"/>
      <c r="V231" s="933"/>
      <c r="W231" s="933"/>
      <c r="X231" s="933"/>
      <c r="Y231" s="933"/>
      <c r="Z231" s="933"/>
      <c r="AA231" s="933"/>
      <c r="AB231" s="933"/>
      <c r="AC231" s="933"/>
      <c r="AD231" s="933"/>
      <c r="AE231" s="933"/>
      <c r="AF231" s="933"/>
      <c r="AG231" s="933"/>
      <c r="AH231" s="933"/>
      <c r="AI231" s="933"/>
      <c r="AJ231" s="933"/>
      <c r="AK231" s="933"/>
      <c r="AL231" s="933"/>
      <c r="AM231" s="933"/>
      <c r="AN231" s="933"/>
      <c r="AO231" s="933"/>
      <c r="AP231" s="933"/>
      <c r="AQ231" s="933"/>
      <c r="AR231" s="933"/>
      <c r="AS231" s="933"/>
      <c r="AT231" s="933"/>
      <c r="AU231" s="933"/>
      <c r="AV231" s="933"/>
      <c r="AW231" s="933"/>
      <c r="AX231" s="933"/>
      <c r="AY231" s="933"/>
      <c r="AZ231" s="933"/>
      <c r="BA231" s="933"/>
      <c r="BB231" s="933"/>
      <c r="BC231" s="933"/>
      <c r="BD231" s="933"/>
      <c r="BE231" s="933"/>
      <c r="BF231" s="933"/>
      <c r="BG231" s="933"/>
      <c r="BH231" s="933"/>
      <c r="BI231" s="933"/>
      <c r="BJ231" s="933"/>
      <c r="BK231" s="933"/>
      <c r="BL231" s="933"/>
      <c r="BM231" s="933"/>
      <c r="BN231" s="933"/>
      <c r="BO231" s="933"/>
      <c r="BP231" s="933"/>
      <c r="BQ231" s="933"/>
      <c r="BR231" s="933"/>
      <c r="BS231" s="933"/>
      <c r="BT231" s="933"/>
    </row>
    <row r="232" spans="1:72" x14ac:dyDescent="0.25">
      <c r="A232" s="933" t="s">
        <v>804</v>
      </c>
      <c r="B232" s="933"/>
      <c r="C232" s="933"/>
      <c r="D232" s="933"/>
      <c r="E232" s="933"/>
      <c r="F232" s="933"/>
      <c r="G232" s="933"/>
      <c r="H232" s="933"/>
      <c r="I232" s="933"/>
      <c r="J232" s="933"/>
      <c r="K232" s="933"/>
      <c r="L232" s="933"/>
      <c r="M232" s="933"/>
      <c r="N232" s="933"/>
      <c r="O232" s="933"/>
      <c r="P232" s="933"/>
      <c r="Q232" s="933"/>
      <c r="R232" s="933"/>
      <c r="S232" s="933"/>
      <c r="T232" s="933"/>
      <c r="U232" s="933"/>
      <c r="V232" s="933"/>
      <c r="W232" s="933"/>
      <c r="X232" s="933"/>
      <c r="Y232" s="933"/>
      <c r="Z232" s="933"/>
      <c r="AA232" s="933"/>
      <c r="AB232" s="933"/>
      <c r="AC232" s="933"/>
      <c r="AD232" s="933"/>
      <c r="AE232" s="933"/>
      <c r="AF232" s="933"/>
      <c r="AG232" s="933"/>
      <c r="AH232" s="933"/>
      <c r="AI232" s="933"/>
      <c r="AJ232" s="933"/>
      <c r="AK232" s="933"/>
      <c r="AL232" s="933"/>
      <c r="AM232" s="933"/>
      <c r="AN232" s="933"/>
      <c r="AO232" s="933"/>
      <c r="AP232" s="933"/>
      <c r="AQ232" s="933"/>
      <c r="AR232" s="933"/>
      <c r="AS232" s="933"/>
      <c r="AT232" s="933"/>
      <c r="AU232" s="933"/>
      <c r="AV232" s="933"/>
      <c r="AW232" s="933"/>
      <c r="AX232" s="933"/>
      <c r="AY232" s="933"/>
      <c r="AZ232" s="933"/>
      <c r="BA232" s="933"/>
      <c r="BB232" s="933"/>
      <c r="BC232" s="933"/>
      <c r="BD232" s="933"/>
      <c r="BE232" s="933"/>
      <c r="BF232" s="933"/>
      <c r="BG232" s="933"/>
      <c r="BH232" s="933"/>
      <c r="BI232" s="933"/>
      <c r="BJ232" s="933"/>
      <c r="BK232" s="933"/>
      <c r="BL232" s="933"/>
      <c r="BM232" s="933"/>
      <c r="BN232" s="933"/>
      <c r="BO232" s="933"/>
      <c r="BP232" s="933"/>
      <c r="BQ232" s="933"/>
      <c r="BR232" s="933"/>
      <c r="BS232" s="933"/>
      <c r="BT232" s="933"/>
    </row>
    <row r="233" spans="1:72" x14ac:dyDescent="0.25">
      <c r="A233" s="910" t="s">
        <v>805</v>
      </c>
      <c r="AA233" s="306"/>
      <c r="AB233" s="306"/>
      <c r="AC233" s="306"/>
      <c r="AD233" s="306"/>
    </row>
    <row r="234" spans="1:72" x14ac:dyDescent="0.25">
      <c r="A234" s="910" t="s">
        <v>806</v>
      </c>
      <c r="AA234" s="306"/>
      <c r="AB234" s="306"/>
      <c r="AC234" s="306"/>
      <c r="AD234" s="306"/>
    </row>
    <row r="235" spans="1:72" x14ac:dyDescent="0.25">
      <c r="A235" s="910" t="s">
        <v>718</v>
      </c>
      <c r="B235" t="s">
        <v>719</v>
      </c>
      <c r="C235" t="s">
        <v>720</v>
      </c>
      <c r="E235" t="s">
        <v>721</v>
      </c>
      <c r="AA235" s="306"/>
      <c r="AB235" s="306"/>
      <c r="AC235" s="306"/>
      <c r="AD235" s="306"/>
    </row>
    <row r="236" spans="1:72" x14ac:dyDescent="0.25">
      <c r="AA236" s="306"/>
      <c r="AB236" s="306"/>
      <c r="AC236" s="306"/>
      <c r="AD236" s="306"/>
    </row>
    <row r="237" spans="1:72" x14ac:dyDescent="0.25">
      <c r="A237" s="910" t="s">
        <v>447</v>
      </c>
      <c r="AA237" s="306"/>
      <c r="AB237" s="306"/>
      <c r="AC237" s="306"/>
      <c r="AD237" s="306"/>
    </row>
    <row r="238" spans="1:72" x14ac:dyDescent="0.25">
      <c r="A238" s="910" t="s">
        <v>722</v>
      </c>
      <c r="AA238" s="306"/>
      <c r="AB238" s="306"/>
      <c r="AC238" s="306"/>
      <c r="AD238" s="306"/>
    </row>
    <row r="239" spans="1:72" x14ac:dyDescent="0.25">
      <c r="AA239" s="306"/>
      <c r="AB239" s="306"/>
      <c r="AC239" s="306"/>
      <c r="AD239" s="306"/>
    </row>
    <row r="240" spans="1:72" x14ac:dyDescent="0.25">
      <c r="AA240" s="306"/>
      <c r="AB240" s="306"/>
      <c r="AC240" s="306"/>
      <c r="AD240" s="306"/>
    </row>
    <row r="241" spans="1:70" x14ac:dyDescent="0.25">
      <c r="AA241" s="306"/>
      <c r="AB241" s="306"/>
      <c r="AC241" s="306"/>
      <c r="AD241" s="306"/>
    </row>
    <row r="242" spans="1:70" x14ac:dyDescent="0.25">
      <c r="B242" s="911" t="s">
        <v>453</v>
      </c>
      <c r="C242" s="911" t="s">
        <v>454</v>
      </c>
      <c r="D242" s="911" t="s">
        <v>455</v>
      </c>
      <c r="E242" s="911" t="s">
        <v>456</v>
      </c>
      <c r="F242" s="911" t="s">
        <v>457</v>
      </c>
      <c r="G242" s="911" t="s">
        <v>458</v>
      </c>
      <c r="H242" s="911" t="s">
        <v>459</v>
      </c>
      <c r="I242" s="911" t="s">
        <v>460</v>
      </c>
      <c r="J242" s="911" t="s">
        <v>461</v>
      </c>
      <c r="K242" s="911" t="s">
        <v>462</v>
      </c>
      <c r="L242" s="911" t="s">
        <v>463</v>
      </c>
      <c r="M242" s="911" t="s">
        <v>464</v>
      </c>
      <c r="N242" s="911" t="s">
        <v>465</v>
      </c>
      <c r="O242" s="911" t="s">
        <v>466</v>
      </c>
      <c r="P242" s="911" t="s">
        <v>467</v>
      </c>
      <c r="Q242" s="911" t="s">
        <v>468</v>
      </c>
      <c r="R242" s="911" t="s">
        <v>469</v>
      </c>
      <c r="S242" s="911" t="s">
        <v>470</v>
      </c>
      <c r="T242" s="911" t="s">
        <v>471</v>
      </c>
      <c r="U242" s="911" t="s">
        <v>472</v>
      </c>
      <c r="V242" s="911" t="s">
        <v>604</v>
      </c>
      <c r="W242" s="911" t="s">
        <v>605</v>
      </c>
      <c r="X242" s="911" t="s">
        <v>606</v>
      </c>
      <c r="Y242" s="911" t="s">
        <v>607</v>
      </c>
      <c r="Z242" s="911" t="s">
        <v>608</v>
      </c>
      <c r="AA242" s="306" t="s">
        <v>605</v>
      </c>
      <c r="AB242" s="306" t="s">
        <v>606</v>
      </c>
      <c r="AC242" s="306" t="s">
        <v>607</v>
      </c>
      <c r="AD242" s="306"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5">
      <c r="AA243" s="306"/>
      <c r="AB243" s="306"/>
      <c r="AC243" s="306"/>
      <c r="AD243" s="306"/>
    </row>
    <row r="244" spans="1:70" x14ac:dyDescent="0.25">
      <c r="AA244" s="306"/>
      <c r="AB244" s="306"/>
      <c r="AC244" s="306"/>
      <c r="AD244" s="306"/>
    </row>
    <row r="245" spans="1:70" x14ac:dyDescent="0.25">
      <c r="A245" s="910" t="s">
        <v>473</v>
      </c>
      <c r="AA245" s="306"/>
      <c r="AB245" s="306"/>
      <c r="AC245" s="306"/>
      <c r="AD245" s="306"/>
    </row>
    <row r="246" spans="1:70" x14ac:dyDescent="0.25">
      <c r="A246" s="910" t="s">
        <v>609</v>
      </c>
      <c r="B246" s="912">
        <v>23.882804870605501</v>
      </c>
      <c r="C246" s="912">
        <v>24.973464965820298</v>
      </c>
      <c r="D246" s="912">
        <v>28.470840454101602</v>
      </c>
      <c r="E246" s="912">
        <v>21.505495071411101</v>
      </c>
      <c r="F246" s="912">
        <v>20.697200775146499</v>
      </c>
      <c r="G246" s="912">
        <v>23.0020751953125</v>
      </c>
      <c r="H246" s="912">
        <v>24.980747222900401</v>
      </c>
      <c r="I246" s="912">
        <v>26.7403888702393</v>
      </c>
      <c r="J246" s="912">
        <v>28.254840850830099</v>
      </c>
      <c r="K246" s="912">
        <v>29.8807067871094</v>
      </c>
      <c r="L246" s="912">
        <v>30.930690765380898</v>
      </c>
      <c r="M246" s="912">
        <v>31.804765701293899</v>
      </c>
      <c r="N246" s="912">
        <v>32.682899475097699</v>
      </c>
      <c r="O246" s="912">
        <v>33.084945678710902</v>
      </c>
      <c r="P246" s="912">
        <v>33.339298248291001</v>
      </c>
      <c r="Q246" s="912">
        <v>33.569530487060497</v>
      </c>
      <c r="R246" s="912">
        <v>33.692008972167997</v>
      </c>
      <c r="S246" s="912">
        <v>34.029460906982401</v>
      </c>
      <c r="T246" s="912">
        <v>34.165733337402301</v>
      </c>
      <c r="U246" s="912">
        <v>33.722698211669901</v>
      </c>
      <c r="V246" s="912">
        <v>33.999015808105497</v>
      </c>
      <c r="W246" s="912">
        <v>34.276668548583999</v>
      </c>
      <c r="X246" s="912">
        <v>34.616855621337898</v>
      </c>
      <c r="Y246" s="912">
        <v>34.804977416992202</v>
      </c>
      <c r="Z246" s="912">
        <v>35.163482666015597</v>
      </c>
      <c r="AA246" s="306">
        <v>23.653226852416999</v>
      </c>
      <c r="AB246" s="306">
        <v>23.781959533691399</v>
      </c>
      <c r="AC246" s="306">
        <v>23.869001388549801</v>
      </c>
      <c r="AD246" s="306">
        <v>23.909082412719702</v>
      </c>
    </row>
    <row r="247" spans="1:70" x14ac:dyDescent="0.25">
      <c r="A247" s="910" t="s">
        <v>610</v>
      </c>
      <c r="B247" s="912">
        <v>18.4642543792725</v>
      </c>
      <c r="C247" s="912">
        <v>19.664405822753899</v>
      </c>
      <c r="D247" s="912">
        <v>23.940315246581999</v>
      </c>
      <c r="E247" s="912">
        <v>15.6857194900513</v>
      </c>
      <c r="F247" s="912">
        <v>13.3512983322144</v>
      </c>
      <c r="G247" s="912">
        <v>15.708171844482401</v>
      </c>
      <c r="H247" s="912">
        <v>17.491518020629901</v>
      </c>
      <c r="I247" s="912">
        <v>18.8044624328613</v>
      </c>
      <c r="J247" s="912">
        <v>20.071212768554702</v>
      </c>
      <c r="K247" s="912">
        <v>21.571735382080099</v>
      </c>
      <c r="L247" s="912">
        <v>22.444984436035199</v>
      </c>
      <c r="M247" s="912">
        <v>23.2645053863525</v>
      </c>
      <c r="N247" s="912">
        <v>23.975505828857401</v>
      </c>
      <c r="O247" s="912">
        <v>24.350082397460898</v>
      </c>
      <c r="P247" s="912">
        <v>24.6401481628418</v>
      </c>
      <c r="Q247" s="912">
        <v>24.7862453460693</v>
      </c>
      <c r="R247" s="912">
        <v>24.899822235107401</v>
      </c>
      <c r="S247" s="912">
        <v>25.1952934265137</v>
      </c>
      <c r="T247" s="912">
        <v>25.492937088012699</v>
      </c>
      <c r="U247" s="912">
        <v>25.134300231933601</v>
      </c>
      <c r="V247" s="912">
        <v>25.433099746704102</v>
      </c>
      <c r="W247" s="912">
        <v>25.7546691894531</v>
      </c>
      <c r="X247" s="912">
        <v>26.098386764526399</v>
      </c>
      <c r="Y247" s="912">
        <v>26.3820476531982</v>
      </c>
      <c r="Z247" s="912">
        <v>26.7700805664063</v>
      </c>
      <c r="AA247" s="306">
        <v>13.801754951477101</v>
      </c>
      <c r="AB247" s="306">
        <v>13.897899627685501</v>
      </c>
      <c r="AC247" s="306">
        <v>14.058331489563001</v>
      </c>
      <c r="AD247" s="306">
        <v>14.125551223754901</v>
      </c>
    </row>
    <row r="248" spans="1:70" x14ac:dyDescent="0.25">
      <c r="A248" s="910" t="s">
        <v>510</v>
      </c>
      <c r="B248" s="912">
        <v>13.7000589370728</v>
      </c>
      <c r="C248" s="912">
        <v>12.691158294677701</v>
      </c>
      <c r="D248" s="912">
        <v>12.9778490066528</v>
      </c>
      <c r="E248" s="912">
        <v>10.717614173889199</v>
      </c>
      <c r="F248" s="912">
        <v>11.192774772644</v>
      </c>
      <c r="G248" s="912">
        <v>11.487280845642101</v>
      </c>
      <c r="H248" s="912">
        <v>11.3991556167603</v>
      </c>
      <c r="I248" s="912">
        <v>11.307798385620099</v>
      </c>
      <c r="J248" s="912">
        <v>11.2896461486816</v>
      </c>
      <c r="K248" s="912">
        <v>11.345415115356399</v>
      </c>
      <c r="L248" s="912">
        <v>11.538298606872599</v>
      </c>
      <c r="M248" s="912">
        <v>11.7583208084106</v>
      </c>
      <c r="N248" s="912">
        <v>11.975100517272899</v>
      </c>
      <c r="O248" s="912">
        <v>12.23952293396</v>
      </c>
      <c r="P248" s="912">
        <v>12.557071685791</v>
      </c>
      <c r="Q248" s="912">
        <v>12.7957820892334</v>
      </c>
      <c r="R248" s="912">
        <v>12.871651649475099</v>
      </c>
      <c r="S248" s="912">
        <v>12.660281181335399</v>
      </c>
      <c r="T248" s="912">
        <v>12.6240320205688</v>
      </c>
      <c r="U248" s="912">
        <v>12.5992183685303</v>
      </c>
      <c r="V248" s="912">
        <v>12.7868556976318</v>
      </c>
      <c r="W248" s="912">
        <v>13.07555103302</v>
      </c>
      <c r="X248" s="912">
        <v>13.407883644104</v>
      </c>
      <c r="Y248" s="912">
        <v>13.6725673675537</v>
      </c>
      <c r="Z248" s="912">
        <v>13.962038993835399</v>
      </c>
      <c r="AA248" s="306">
        <v>11.116808891296399</v>
      </c>
      <c r="AB248" s="306">
        <v>11.2574377059937</v>
      </c>
      <c r="AC248" s="306">
        <v>11.3709173202515</v>
      </c>
      <c r="AD248" s="306">
        <v>11.426144599914601</v>
      </c>
    </row>
    <row r="249" spans="1:70" x14ac:dyDescent="0.25">
      <c r="A249" s="910" t="s">
        <v>479</v>
      </c>
      <c r="B249" s="912">
        <v>31.206779479980501</v>
      </c>
      <c r="C249" s="912">
        <v>31.181957244873001</v>
      </c>
      <c r="D249" s="912">
        <v>31.772819519043001</v>
      </c>
      <c r="E249" s="912">
        <v>30.736837387085</v>
      </c>
      <c r="F249" s="912">
        <v>28.616357803344702</v>
      </c>
      <c r="G249" s="912">
        <v>29.873619079589801</v>
      </c>
      <c r="H249" s="912">
        <v>30.101655960083001</v>
      </c>
      <c r="I249" s="912">
        <v>30.425390243530298</v>
      </c>
      <c r="J249" s="912">
        <v>30.7938537597656</v>
      </c>
      <c r="K249" s="912">
        <v>30.883028030395501</v>
      </c>
      <c r="L249" s="912">
        <v>31.149145126342798</v>
      </c>
      <c r="M249" s="912">
        <v>31.4898681640625</v>
      </c>
      <c r="N249" s="912">
        <v>31.815629959106399</v>
      </c>
      <c r="O249" s="912">
        <v>32.020698547363303</v>
      </c>
      <c r="P249" s="912">
        <v>32.4303588867188</v>
      </c>
      <c r="Q249" s="912">
        <v>32.7907905578613</v>
      </c>
      <c r="R249" s="912">
        <v>32.994007110595703</v>
      </c>
      <c r="S249" s="912">
        <v>32.923465728759801</v>
      </c>
      <c r="T249" s="912">
        <v>32.920154571533203</v>
      </c>
      <c r="U249" s="912">
        <v>32.902271270752003</v>
      </c>
      <c r="V249" s="912">
        <v>32.958240509033203</v>
      </c>
      <c r="W249" s="912">
        <v>33.321102142333999</v>
      </c>
      <c r="X249" s="912">
        <v>33.734363555908203</v>
      </c>
      <c r="Y249" s="912">
        <v>34.149539947509801</v>
      </c>
      <c r="Z249" s="912">
        <v>34.490489959716797</v>
      </c>
      <c r="AA249" s="306">
        <v>26.5695495605469</v>
      </c>
      <c r="AB249" s="306">
        <v>26.6057014465332</v>
      </c>
      <c r="AC249" s="306">
        <v>26.7373046875</v>
      </c>
      <c r="AD249" s="306">
        <v>26.757972717285199</v>
      </c>
    </row>
    <row r="250" spans="1:70" x14ac:dyDescent="0.25">
      <c r="AA250" s="306"/>
      <c r="AB250" s="306"/>
      <c r="AC250" s="306"/>
      <c r="AD250" s="306"/>
    </row>
    <row r="251" spans="1:70" x14ac:dyDescent="0.25">
      <c r="A251" s="910" t="s">
        <v>480</v>
      </c>
      <c r="AA251" s="306">
        <v>12.0537929534912</v>
      </c>
      <c r="AB251" s="306">
        <v>12.2529897689819</v>
      </c>
      <c r="AC251" s="306">
        <v>12.3258762359619</v>
      </c>
      <c r="AD251" s="306">
        <v>12.452996253967299</v>
      </c>
    </row>
    <row r="252" spans="1:70" ht="13" thickBot="1" x14ac:dyDescent="0.3">
      <c r="A252" s="910" t="s">
        <v>609</v>
      </c>
      <c r="B252" s="912">
        <v>21.1974983215332</v>
      </c>
      <c r="C252" s="912">
        <v>23.041419982910199</v>
      </c>
      <c r="D252" s="912">
        <v>23.540430068969702</v>
      </c>
      <c r="E252" s="912">
        <v>20.975297927856399</v>
      </c>
      <c r="F252" s="912">
        <v>17.540355682373001</v>
      </c>
      <c r="G252" s="912">
        <v>19.827720642089801</v>
      </c>
      <c r="H252" s="912">
        <v>21.7962131500244</v>
      </c>
      <c r="I252" s="912">
        <v>23.5440998077393</v>
      </c>
      <c r="J252" s="912">
        <v>25.047388076782202</v>
      </c>
      <c r="K252" s="912">
        <v>26.6623840332031</v>
      </c>
      <c r="L252" s="912">
        <v>27.701774597168001</v>
      </c>
      <c r="M252" s="912">
        <v>28.565574645996101</v>
      </c>
      <c r="N252" s="912">
        <v>29.4346523284912</v>
      </c>
      <c r="O252" s="912">
        <v>29.8274021148682</v>
      </c>
      <c r="P252" s="912">
        <v>30.0731811523438</v>
      </c>
      <c r="Q252" s="912">
        <v>30.2960014343262</v>
      </c>
      <c r="R252" s="912">
        <v>30.4115695953369</v>
      </c>
      <c r="S252" s="912">
        <v>30.7421360015869</v>
      </c>
      <c r="T252" s="912">
        <v>30.871879577636701</v>
      </c>
      <c r="U252" s="912">
        <v>30.422807693481399</v>
      </c>
      <c r="V252" s="912">
        <v>30.6932373046875</v>
      </c>
      <c r="W252" s="912">
        <v>30.965314865112301</v>
      </c>
      <c r="X252" s="912">
        <v>31.299940109252901</v>
      </c>
      <c r="Y252" s="912">
        <v>31.482862472534201</v>
      </c>
      <c r="Z252" s="912">
        <v>31.836189270019499</v>
      </c>
      <c r="AA252" s="306">
        <v>7.3951959609985396</v>
      </c>
      <c r="AB252" s="306">
        <v>7.4624595642089799</v>
      </c>
      <c r="AC252" s="306">
        <v>7.2386937141418501</v>
      </c>
      <c r="AD252" s="306">
        <v>7.3113985061645499</v>
      </c>
    </row>
    <row r="253" spans="1:70" ht="13" thickBot="1" x14ac:dyDescent="0.3">
      <c r="A253" s="910" t="s">
        <v>610</v>
      </c>
      <c r="B253" s="912">
        <v>15.019946098327599</v>
      </c>
      <c r="C253" s="912">
        <v>16.054100036621101</v>
      </c>
      <c r="D253" s="912">
        <v>20.9568576812744</v>
      </c>
      <c r="E253" s="912">
        <v>13.740292549133301</v>
      </c>
      <c r="F253" s="912">
        <v>10.759732246398899</v>
      </c>
      <c r="G253" s="912">
        <v>13.277551651001</v>
      </c>
      <c r="H253" s="912">
        <v>15.102119445800801</v>
      </c>
      <c r="I253" s="912">
        <v>16.819028854370099</v>
      </c>
      <c r="J253" s="912">
        <v>18.163129806518601</v>
      </c>
      <c r="K253" s="912">
        <v>19.404659271240199</v>
      </c>
      <c r="L253" s="912">
        <v>20.2805690765381</v>
      </c>
      <c r="M253" s="912">
        <v>21.141357421875</v>
      </c>
      <c r="N253" s="912">
        <v>21.870569229126001</v>
      </c>
      <c r="O253" s="912">
        <v>22.288406372070298</v>
      </c>
      <c r="P253" s="912">
        <v>22.606428146362301</v>
      </c>
      <c r="Q253" s="912">
        <v>22.643785476684599</v>
      </c>
      <c r="R253" s="912">
        <v>22.862098693847699</v>
      </c>
      <c r="S253" s="912">
        <v>23.111530303955099</v>
      </c>
      <c r="T253" s="912">
        <v>23.2818489074707</v>
      </c>
      <c r="U253" s="912">
        <v>23.1139316558838</v>
      </c>
      <c r="V253" s="912">
        <v>23.4434604644775</v>
      </c>
      <c r="W253" s="912">
        <v>23.529294967651399</v>
      </c>
      <c r="X253" s="912">
        <v>23.9437866210938</v>
      </c>
      <c r="Y253" s="912">
        <v>24.471529006958001</v>
      </c>
      <c r="Z253" s="912">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 thickBot="1" x14ac:dyDescent="0.3">
      <c r="A254" s="910" t="s">
        <v>723</v>
      </c>
      <c r="B254" s="912">
        <v>8.8815975189209002</v>
      </c>
      <c r="C254" s="912">
        <v>10.3074436187744</v>
      </c>
      <c r="D254" s="912">
        <v>13.411918640136699</v>
      </c>
      <c r="E254" s="912">
        <v>6.6991925239562997</v>
      </c>
      <c r="F254" s="912">
        <v>5.8016228675842303</v>
      </c>
      <c r="G254" s="912">
        <v>8.5975322723388707</v>
      </c>
      <c r="H254" s="912">
        <v>10.1285858154297</v>
      </c>
      <c r="I254" s="912">
        <v>11.654000282287599</v>
      </c>
      <c r="J254" s="912">
        <v>12.9474182128906</v>
      </c>
      <c r="K254" s="912">
        <v>14.400235176086399</v>
      </c>
      <c r="L254" s="912">
        <v>15.2041673660278</v>
      </c>
      <c r="M254" s="912">
        <v>15.658245086669901</v>
      </c>
      <c r="N254" s="912">
        <v>16.352220535278299</v>
      </c>
      <c r="O254" s="912">
        <v>16.605510711669901</v>
      </c>
      <c r="P254" s="912">
        <v>16.856744766235401</v>
      </c>
      <c r="Q254" s="912">
        <v>17.043632507324201</v>
      </c>
      <c r="R254" s="912">
        <v>17.1953125</v>
      </c>
      <c r="S254" s="912">
        <v>17.403110504150401</v>
      </c>
      <c r="T254" s="912">
        <v>17.4520969390869</v>
      </c>
      <c r="U254" s="912">
        <v>17.016120910644499</v>
      </c>
      <c r="V254" s="912">
        <v>17.163618087768601</v>
      </c>
      <c r="W254" s="912">
        <v>17.311967849731399</v>
      </c>
      <c r="X254" s="912">
        <v>17.516565322876001</v>
      </c>
      <c r="Y254" s="912">
        <v>17.704761505126999</v>
      </c>
      <c r="Z254" s="912">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5">
      <c r="A255" s="910" t="s">
        <v>510</v>
      </c>
      <c r="B255" s="912">
        <v>11.896094322204601</v>
      </c>
      <c r="C255" s="912">
        <v>10.9898433685303</v>
      </c>
      <c r="D255" s="912">
        <v>11.3387994766235</v>
      </c>
      <c r="E255" s="912">
        <v>8.9075946807861293</v>
      </c>
      <c r="F255" s="912">
        <v>9.4656057357788104</v>
      </c>
      <c r="G255" s="912">
        <v>9.7463216781616193</v>
      </c>
      <c r="H255" s="912">
        <v>9.7210922241210902</v>
      </c>
      <c r="I255" s="912">
        <v>9.6719341278076207</v>
      </c>
      <c r="J255" s="912">
        <v>9.7138872146606392</v>
      </c>
      <c r="K255" s="912">
        <v>9.8306560516357404</v>
      </c>
      <c r="L255" s="912">
        <v>10.038209915161101</v>
      </c>
      <c r="M255" s="912">
        <v>10.2545003890991</v>
      </c>
      <c r="N255" s="912">
        <v>10.476261138916</v>
      </c>
      <c r="O255" s="912">
        <v>10.746561050415</v>
      </c>
      <c r="P255" s="912">
        <v>11.0803880691528</v>
      </c>
      <c r="Q255" s="912">
        <v>11.314369201660201</v>
      </c>
      <c r="R255" s="912">
        <v>11.4017143249512</v>
      </c>
      <c r="S255" s="912">
        <v>11.212500572204601</v>
      </c>
      <c r="T255" s="912">
        <v>11.1975994110107</v>
      </c>
      <c r="U255" s="912">
        <v>11.159740447998001</v>
      </c>
      <c r="V255" s="912">
        <v>11.3503875732422</v>
      </c>
      <c r="W255" s="912">
        <v>11.640952110290501</v>
      </c>
      <c r="X255" s="912">
        <v>11.9785671234131</v>
      </c>
      <c r="Y255" s="912">
        <v>12.2332496643066</v>
      </c>
      <c r="Z255" s="912">
        <v>12.5188312530518</v>
      </c>
      <c r="AA255" s="306"/>
      <c r="AB255" s="306"/>
      <c r="AC255" s="306"/>
      <c r="AD255" s="306"/>
    </row>
    <row r="256" spans="1:70" x14ac:dyDescent="0.25">
      <c r="A256" s="910" t="s">
        <v>479</v>
      </c>
      <c r="B256" s="912">
        <v>28.3762531280518</v>
      </c>
      <c r="C256" s="912">
        <v>28.029735565185501</v>
      </c>
      <c r="D256" s="912">
        <v>29.057315826416001</v>
      </c>
      <c r="E256" s="912">
        <v>27.6067714691162</v>
      </c>
      <c r="F256" s="912">
        <v>24.835584640502901</v>
      </c>
      <c r="G256" s="912">
        <v>25.581251144409201</v>
      </c>
      <c r="H256" s="912">
        <v>25.4402256011963</v>
      </c>
      <c r="I256" s="912">
        <v>25.470129013061499</v>
      </c>
      <c r="J256" s="912">
        <v>25.672283172607401</v>
      </c>
      <c r="K256" s="912">
        <v>25.763282775878899</v>
      </c>
      <c r="L256" s="912">
        <v>26.100669860839801</v>
      </c>
      <c r="M256" s="912">
        <v>26.468044281005898</v>
      </c>
      <c r="N256" s="912">
        <v>26.885612487793001</v>
      </c>
      <c r="O256" s="912">
        <v>27.169450759887699</v>
      </c>
      <c r="P256" s="912">
        <v>27.620109558105501</v>
      </c>
      <c r="Q256" s="912">
        <v>28.002447128295898</v>
      </c>
      <c r="R256" s="912">
        <v>28.245407104492202</v>
      </c>
      <c r="S256" s="912">
        <v>28.186374664306602</v>
      </c>
      <c r="T256" s="912">
        <v>28.203248977661101</v>
      </c>
      <c r="U256" s="912">
        <v>28.139711380004901</v>
      </c>
      <c r="V256" s="912">
        <v>28.178466796875</v>
      </c>
      <c r="W256" s="912">
        <v>28.495182037353501</v>
      </c>
      <c r="X256" s="912">
        <v>28.915565490722699</v>
      </c>
      <c r="Y256" s="912">
        <v>29.289411544799801</v>
      </c>
      <c r="Z256" s="912">
        <v>29.651695251464801</v>
      </c>
      <c r="AA256" s="306">
        <v>16.318952560424801</v>
      </c>
      <c r="AB256" s="306">
        <v>16.4172878265381</v>
      </c>
      <c r="AC256" s="306">
        <v>16.5084934234619</v>
      </c>
      <c r="AD256" s="306">
        <v>16.549221038818398</v>
      </c>
    </row>
    <row r="257" spans="1:70" x14ac:dyDescent="0.25">
      <c r="AA257" s="306">
        <v>12.788073539733899</v>
      </c>
      <c r="AB257" s="306">
        <v>13.069622039794901</v>
      </c>
      <c r="AC257" s="306">
        <v>13.0597486495972</v>
      </c>
      <c r="AD257" s="306">
        <v>13.2463188171387</v>
      </c>
    </row>
    <row r="258" spans="1:70" ht="13" thickBot="1" x14ac:dyDescent="0.3">
      <c r="A258" s="910" t="s">
        <v>612</v>
      </c>
      <c r="AA258" s="306">
        <v>9.5039434432983398</v>
      </c>
      <c r="AB258" s="306">
        <v>9.4975557327270508</v>
      </c>
      <c r="AC258" s="306">
        <v>9.6068582534790004</v>
      </c>
      <c r="AD258" s="306">
        <v>9.5831336975097692</v>
      </c>
    </row>
    <row r="259" spans="1:70" ht="13" thickBot="1" x14ac:dyDescent="0.3">
      <c r="A259" s="910" t="s">
        <v>609</v>
      </c>
      <c r="B259" s="912">
        <v>21.041078567504901</v>
      </c>
      <c r="C259" s="912">
        <v>23.3795166015625</v>
      </c>
      <c r="D259" s="912">
        <v>26.646581649780298</v>
      </c>
      <c r="E259" s="912">
        <v>22.2440700531006</v>
      </c>
      <c r="F259" s="912">
        <v>16.6379299163818</v>
      </c>
      <c r="G259" s="912">
        <v>18.920274734497099</v>
      </c>
      <c r="H259" s="912">
        <v>20.8892612457275</v>
      </c>
      <c r="I259" s="912">
        <v>22.636520385742202</v>
      </c>
      <c r="J259" s="912">
        <v>24.1346244812012</v>
      </c>
      <c r="K259" s="912">
        <v>25.742292404174801</v>
      </c>
      <c r="L259" s="912">
        <v>26.783767700195298</v>
      </c>
      <c r="M259" s="912">
        <v>27.652248382568398</v>
      </c>
      <c r="N259" s="912">
        <v>28.520401000976602</v>
      </c>
      <c r="O259" s="912">
        <v>28.932659149169901</v>
      </c>
      <c r="P259" s="912">
        <v>29.169765472412099</v>
      </c>
      <c r="Q259" s="912">
        <v>29.4143581390381</v>
      </c>
      <c r="R259" s="912">
        <v>29.524629592895501</v>
      </c>
      <c r="S259" s="912">
        <v>29.853767395019499</v>
      </c>
      <c r="T259" s="912">
        <v>29.959171295166001</v>
      </c>
      <c r="U259" s="912">
        <v>29.528638839721701</v>
      </c>
      <c r="V259" s="912">
        <v>29.7813510894775</v>
      </c>
      <c r="W259" s="912">
        <v>30.054143905639599</v>
      </c>
      <c r="X259" s="912">
        <v>30.3852443695068</v>
      </c>
      <c r="Y259" s="912">
        <v>30.4649448394775</v>
      </c>
      <c r="Z259" s="912">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5">
      <c r="A260" s="910" t="s">
        <v>610</v>
      </c>
      <c r="B260" s="912">
        <v>15.7354278564453</v>
      </c>
      <c r="C260" s="912">
        <v>16.8219394683838</v>
      </c>
      <c r="D260" s="912">
        <v>21.937858581543001</v>
      </c>
      <c r="E260" s="912">
        <v>14.291754722595201</v>
      </c>
      <c r="F260" s="912">
        <v>10.6247463226318</v>
      </c>
      <c r="G260" s="912">
        <v>13.4027051925659</v>
      </c>
      <c r="H260" s="912">
        <v>15.2648477554321</v>
      </c>
      <c r="I260" s="912">
        <v>17.266075134277301</v>
      </c>
      <c r="J260" s="912">
        <v>18.658037185668899</v>
      </c>
      <c r="K260" s="912">
        <v>19.740333557128899</v>
      </c>
      <c r="L260" s="912">
        <v>20.622322082519499</v>
      </c>
      <c r="M260" s="912">
        <v>21.514814376831101</v>
      </c>
      <c r="N260" s="912">
        <v>22.261856079101602</v>
      </c>
      <c r="O260" s="912">
        <v>22.720048904418899</v>
      </c>
      <c r="P260" s="912">
        <v>23.0620517730713</v>
      </c>
      <c r="Q260" s="912">
        <v>23.029100418090799</v>
      </c>
      <c r="R260" s="912">
        <v>23.327865600585898</v>
      </c>
      <c r="S260" s="912">
        <v>23.5460414886475</v>
      </c>
      <c r="T260" s="912">
        <v>23.635374069213899</v>
      </c>
      <c r="U260" s="912">
        <v>23.588466644287099</v>
      </c>
      <c r="V260" s="912">
        <v>23.9423828125</v>
      </c>
      <c r="W260" s="912">
        <v>23.870851516723601</v>
      </c>
      <c r="X260" s="912">
        <v>24.336980819702099</v>
      </c>
      <c r="Y260" s="912">
        <v>25.037542343139599</v>
      </c>
      <c r="Z260" s="912">
        <v>25.073137283325199</v>
      </c>
      <c r="AA260" s="306">
        <v>2.7168338298797599</v>
      </c>
      <c r="AB260" s="306">
        <v>2.7307398319244398</v>
      </c>
      <c r="AC260" s="306">
        <v>2.7413196563720699</v>
      </c>
      <c r="AD260" s="306">
        <v>2.7546591758728001</v>
      </c>
    </row>
    <row r="261" spans="1:70" x14ac:dyDescent="0.25">
      <c r="A261" s="910" t="s">
        <v>611</v>
      </c>
      <c r="B261" s="912">
        <v>9.2125787734985405</v>
      </c>
      <c r="C261" s="912">
        <v>10.5954837799072</v>
      </c>
      <c r="D261" s="912">
        <v>13.7473258972168</v>
      </c>
      <c r="E261" s="912">
        <v>6.9127345085143999</v>
      </c>
      <c r="F261" s="912">
        <v>9.8444128036499006</v>
      </c>
      <c r="G261" s="912">
        <v>12.2499532699585</v>
      </c>
      <c r="H261" s="912">
        <v>13.9352369308472</v>
      </c>
      <c r="I261" s="912">
        <v>15.428977966308601</v>
      </c>
      <c r="J261" s="912">
        <v>16.646518707275401</v>
      </c>
      <c r="K261" s="912">
        <v>18.037969589233398</v>
      </c>
      <c r="L261" s="912">
        <v>18.8180332183838</v>
      </c>
      <c r="M261" s="912">
        <v>19.4296264648438</v>
      </c>
      <c r="N261" s="912">
        <v>20.112428665161101</v>
      </c>
      <c r="O261" s="912">
        <v>20.448431015014599</v>
      </c>
      <c r="P261" s="912">
        <v>20.727931976318398</v>
      </c>
      <c r="Q261" s="912">
        <v>20.973798751831101</v>
      </c>
      <c r="R261" s="912">
        <v>21.101537704467798</v>
      </c>
      <c r="S261" s="912">
        <v>21.306892395019499</v>
      </c>
      <c r="T261" s="912">
        <v>21.394767761230501</v>
      </c>
      <c r="U261" s="912">
        <v>21.017236709594702</v>
      </c>
      <c r="V261" s="912">
        <v>21.180326461791999</v>
      </c>
      <c r="W261" s="912">
        <v>21.338615417480501</v>
      </c>
      <c r="X261" s="912">
        <v>21.660650253295898</v>
      </c>
      <c r="Y261" s="912">
        <v>21.793584823608398</v>
      </c>
      <c r="Z261" s="912">
        <v>22.078443527221701</v>
      </c>
      <c r="AA261" s="306">
        <v>2.2517027854919398</v>
      </c>
      <c r="AB261" s="306">
        <v>2.2682161331176802</v>
      </c>
      <c r="AC261" s="306">
        <v>2.2745745182037398</v>
      </c>
      <c r="AD261" s="306">
        <v>2.2862651348114</v>
      </c>
    </row>
    <row r="262" spans="1:70" ht="13" thickBot="1" x14ac:dyDescent="0.3">
      <c r="A262" s="910" t="s">
        <v>613</v>
      </c>
      <c r="B262" s="912">
        <v>7.9540700912475604</v>
      </c>
      <c r="C262" s="912">
        <v>7.5152516365051296</v>
      </c>
      <c r="D262" s="912">
        <v>8.8012723922729492</v>
      </c>
      <c r="E262" s="912">
        <v>4.8485679626464799</v>
      </c>
      <c r="F262" s="912">
        <v>5.4989199638366699</v>
      </c>
      <c r="G262" s="912">
        <v>5.8261642456054696</v>
      </c>
      <c r="H262" s="912">
        <v>5.87778615951538</v>
      </c>
      <c r="I262" s="912">
        <v>5.9538393020629901</v>
      </c>
      <c r="J262" s="912">
        <v>6.1098570823669398</v>
      </c>
      <c r="K262" s="912">
        <v>6.3294844627380398</v>
      </c>
      <c r="L262" s="912">
        <v>6.5125813484191903</v>
      </c>
      <c r="M262" s="912">
        <v>6.7027301788330096</v>
      </c>
      <c r="N262" s="912">
        <v>6.8988709449768102</v>
      </c>
      <c r="O262" s="912">
        <v>7.1528282165527299</v>
      </c>
      <c r="P262" s="912">
        <v>7.4686021804809597</v>
      </c>
      <c r="Q262" s="912">
        <v>7.6786775588989302</v>
      </c>
      <c r="R262" s="912">
        <v>7.7538070678710902</v>
      </c>
      <c r="S262" s="912">
        <v>7.5584783554077104</v>
      </c>
      <c r="T262" s="912">
        <v>7.5461778640747097</v>
      </c>
      <c r="U262" s="912">
        <v>7.4592709541320801</v>
      </c>
      <c r="V262" s="912">
        <v>7.6002230644226101</v>
      </c>
      <c r="W262" s="912">
        <v>7.8596048355102504</v>
      </c>
      <c r="X262" s="912">
        <v>8.1941757202148402</v>
      </c>
      <c r="Y262" s="912">
        <v>8.4216127395629901</v>
      </c>
      <c r="Z262" s="912">
        <v>8.6935501098632795</v>
      </c>
      <c r="AA262" s="306">
        <v>1.2833950519561801</v>
      </c>
      <c r="AB262" s="306">
        <v>1.3286876678466799</v>
      </c>
      <c r="AC262" s="306">
        <v>1.33012855052948</v>
      </c>
      <c r="AD262" s="306">
        <v>1.33445107936859</v>
      </c>
    </row>
    <row r="263" spans="1:70" ht="13" thickBot="1" x14ac:dyDescent="0.3">
      <c r="A263" s="910" t="s">
        <v>614</v>
      </c>
      <c r="B263" s="912">
        <v>3.6353600025177002</v>
      </c>
      <c r="C263" s="912">
        <v>3.6099998950958301</v>
      </c>
      <c r="D263" s="912">
        <v>4.0558156967163104</v>
      </c>
      <c r="E263" s="912">
        <v>4.0487108230590803</v>
      </c>
      <c r="F263" s="912">
        <v>3.9977276325225799</v>
      </c>
      <c r="G263" s="912">
        <v>4.1121706962585396</v>
      </c>
      <c r="H263" s="912">
        <v>4.1809573173522896</v>
      </c>
      <c r="I263" s="912">
        <v>4.2343683242797896</v>
      </c>
      <c r="J263" s="912">
        <v>4.27162742614746</v>
      </c>
      <c r="K263" s="912">
        <v>4.2985162734985396</v>
      </c>
      <c r="L263" s="912">
        <v>4.3192996978759801</v>
      </c>
      <c r="M263" s="912">
        <v>4.3337044715881303</v>
      </c>
      <c r="N263" s="912">
        <v>4.3530845642089799</v>
      </c>
      <c r="O263" s="912">
        <v>4.3696141242981001</v>
      </c>
      <c r="P263" s="912">
        <v>4.3899216651916504</v>
      </c>
      <c r="Q263" s="912">
        <v>4.4470157623290998</v>
      </c>
      <c r="R263" s="912">
        <v>4.5093812942504901</v>
      </c>
      <c r="S263" s="912">
        <v>4.5352845191955602</v>
      </c>
      <c r="T263" s="912">
        <v>4.5618190765380904</v>
      </c>
      <c r="U263" s="912">
        <v>4.5643453598022496</v>
      </c>
      <c r="V263" s="912">
        <v>4.5493078231811497</v>
      </c>
      <c r="W263" s="912">
        <v>4.5490665435790998</v>
      </c>
      <c r="X263" s="912">
        <v>4.5331215858459499</v>
      </c>
      <c r="Y263" s="912">
        <v>4.4955492019653303</v>
      </c>
      <c r="Z263" s="912">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5">
      <c r="A264" s="910" t="s">
        <v>615</v>
      </c>
      <c r="B264" s="912">
        <v>2.4029970169067401</v>
      </c>
      <c r="C264" s="912">
        <v>2.4299483299255402</v>
      </c>
      <c r="D264" s="912">
        <v>2.5420303344726598</v>
      </c>
      <c r="E264" s="912">
        <v>2.4490520954132098</v>
      </c>
      <c r="F264" s="912">
        <v>2.3906834125518799</v>
      </c>
      <c r="G264" s="912">
        <v>2.4765830039978001</v>
      </c>
      <c r="H264" s="912">
        <v>2.4936084747314502</v>
      </c>
      <c r="I264" s="912">
        <v>2.5247271060943599</v>
      </c>
      <c r="J264" s="912">
        <v>2.54471778869629</v>
      </c>
      <c r="K264" s="912">
        <v>2.53918480873108</v>
      </c>
      <c r="L264" s="912">
        <v>2.54552221298218</v>
      </c>
      <c r="M264" s="912">
        <v>2.5526983737945601</v>
      </c>
      <c r="N264" s="912">
        <v>2.5639333724975599</v>
      </c>
      <c r="O264" s="912">
        <v>2.5611753463745099</v>
      </c>
      <c r="P264" s="912">
        <v>2.56861472129822</v>
      </c>
      <c r="Q264" s="912">
        <v>2.5710935592651398</v>
      </c>
      <c r="R264" s="912">
        <v>2.57420825958252</v>
      </c>
      <c r="S264" s="912">
        <v>2.5741758346557599</v>
      </c>
      <c r="T264" s="912">
        <v>2.5788726806640598</v>
      </c>
      <c r="U264" s="912">
        <v>2.5789062976837198</v>
      </c>
      <c r="V264" s="912">
        <v>2.59378290176392</v>
      </c>
      <c r="W264" s="912">
        <v>2.6088099479675302</v>
      </c>
      <c r="X264" s="912">
        <v>2.6259028911590598</v>
      </c>
      <c r="Y264" s="912">
        <v>2.64452123641968</v>
      </c>
      <c r="Z264" s="912">
        <v>2.6644773483276398</v>
      </c>
      <c r="AA264" s="306"/>
      <c r="AB264" s="306"/>
      <c r="AC264" s="306"/>
      <c r="AD264" s="306"/>
    </row>
    <row r="265" spans="1:70" ht="13" thickBot="1" x14ac:dyDescent="0.3">
      <c r="A265" s="910" t="s">
        <v>616</v>
      </c>
      <c r="B265" s="912">
        <v>0</v>
      </c>
      <c r="C265" s="912">
        <v>0</v>
      </c>
      <c r="D265" s="912">
        <v>0</v>
      </c>
      <c r="E265" s="912">
        <v>0</v>
      </c>
      <c r="F265" s="912">
        <v>0</v>
      </c>
      <c r="G265" s="912">
        <v>1.5133428573608401</v>
      </c>
      <c r="H265" s="912">
        <v>1.3742095232009901</v>
      </c>
      <c r="I265" s="912">
        <v>1.19064140319824</v>
      </c>
      <c r="J265" s="912">
        <v>1.3664953708648699</v>
      </c>
      <c r="K265" s="912">
        <v>1.33487153053284</v>
      </c>
      <c r="L265" s="912">
        <v>1.31654036045074</v>
      </c>
      <c r="M265" s="912">
        <v>1.30223417282104</v>
      </c>
      <c r="N265" s="912">
        <v>1.30838906764984</v>
      </c>
      <c r="O265" s="912">
        <v>1.32146644592285</v>
      </c>
      <c r="P265" s="912">
        <v>1.3489345312118499</v>
      </c>
      <c r="Q265" s="912">
        <v>1.3524934053421001</v>
      </c>
      <c r="R265" s="912">
        <v>1.3570195436477701</v>
      </c>
      <c r="S265" s="912">
        <v>1.3626403808593801</v>
      </c>
      <c r="T265" s="912">
        <v>1.37119424343109</v>
      </c>
      <c r="U265" s="912">
        <v>1.3635557889938399</v>
      </c>
      <c r="V265" s="912">
        <v>1.3662919998168901</v>
      </c>
      <c r="W265" s="912">
        <v>1.37254309654236</v>
      </c>
      <c r="X265" s="912">
        <v>1.37609398365021</v>
      </c>
      <c r="Y265" s="912">
        <v>1.3784751892089799</v>
      </c>
      <c r="Z265" s="912">
        <v>1.3805129528045701</v>
      </c>
      <c r="AA265" s="306">
        <v>24.056577682495099</v>
      </c>
      <c r="AB265" s="306">
        <v>24.1739406585693</v>
      </c>
      <c r="AC265" s="306">
        <v>24.2586994171143</v>
      </c>
      <c r="AD265" s="306">
        <v>24.288969039916999</v>
      </c>
    </row>
    <row r="266" spans="1:70" ht="13" thickBot="1" x14ac:dyDescent="0.3">
      <c r="A266" s="910" t="s">
        <v>479</v>
      </c>
      <c r="B266" s="912">
        <v>18.400894165039102</v>
      </c>
      <c r="C266" s="912">
        <v>18.6226921081543</v>
      </c>
      <c r="D266" s="912">
        <v>20.334409713745099</v>
      </c>
      <c r="E266" s="912">
        <v>19.159486770629901</v>
      </c>
      <c r="F266" s="912">
        <v>16.828172683715799</v>
      </c>
      <c r="G266" s="912">
        <v>17.264308929443398</v>
      </c>
      <c r="H266" s="912">
        <v>17.156070709228501</v>
      </c>
      <c r="I266" s="912">
        <v>17.083604812622099</v>
      </c>
      <c r="J266" s="912">
        <v>17.1988334655762</v>
      </c>
      <c r="K266" s="912">
        <v>17.318143844604499</v>
      </c>
      <c r="L266" s="912">
        <v>17.615074157714801</v>
      </c>
      <c r="M266" s="912">
        <v>17.910154342651399</v>
      </c>
      <c r="N266" s="912">
        <v>18.210170745849599</v>
      </c>
      <c r="O266" s="912">
        <v>18.456880569458001</v>
      </c>
      <c r="P266" s="912">
        <v>18.803001403808601</v>
      </c>
      <c r="Q266" s="912">
        <v>19.085206985473601</v>
      </c>
      <c r="R266" s="912">
        <v>19.30615234375</v>
      </c>
      <c r="S266" s="912">
        <v>19.3043308258057</v>
      </c>
      <c r="T266" s="912">
        <v>19.3253479003906</v>
      </c>
      <c r="U266" s="912">
        <v>19.324813842773398</v>
      </c>
      <c r="V266" s="912">
        <v>19.354219436645501</v>
      </c>
      <c r="W266" s="912">
        <v>19.614883422851602</v>
      </c>
      <c r="X266" s="912">
        <v>19.97239112854</v>
      </c>
      <c r="Y266" s="912">
        <v>20.29469871521</v>
      </c>
      <c r="Z266" s="912">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 thickBot="1" x14ac:dyDescent="0.3">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 thickBot="1" x14ac:dyDescent="0.3">
      <c r="A268" s="910" t="s">
        <v>487</v>
      </c>
      <c r="AA268" s="306">
        <v>11.227470397949199</v>
      </c>
      <c r="AB268" s="306">
        <v>11.517865180969199</v>
      </c>
      <c r="AC268" s="306">
        <v>11.5089683532715</v>
      </c>
      <c r="AD268" s="306">
        <v>11.7493782043457</v>
      </c>
    </row>
    <row r="269" spans="1:70" ht="13" thickBot="1" x14ac:dyDescent="0.3">
      <c r="A269" s="910" t="s">
        <v>617</v>
      </c>
      <c r="B269" s="912">
        <v>22.296371459960898</v>
      </c>
      <c r="C269" s="912">
        <v>25.0072345733643</v>
      </c>
      <c r="D269" s="912">
        <v>28.759458541870099</v>
      </c>
      <c r="E269" s="912">
        <v>21.685003280639599</v>
      </c>
      <c r="F269" s="912">
        <v>20.534326553344702</v>
      </c>
      <c r="G269" s="912">
        <v>22.796831130981399</v>
      </c>
      <c r="H269" s="912">
        <v>24.8035278320313</v>
      </c>
      <c r="I269" s="912">
        <v>26.570152282714801</v>
      </c>
      <c r="J269" s="912">
        <v>28.076972961425799</v>
      </c>
      <c r="K269" s="912">
        <v>29.693559646606399</v>
      </c>
      <c r="L269" s="912">
        <v>30.7330017089844</v>
      </c>
      <c r="M269" s="912">
        <v>31.595745086669901</v>
      </c>
      <c r="N269" s="912">
        <v>32.463813781738303</v>
      </c>
      <c r="O269" s="912">
        <v>32.853603363037102</v>
      </c>
      <c r="P269" s="912">
        <v>33.095050811767599</v>
      </c>
      <c r="Q269" s="912">
        <v>33.3141899108887</v>
      </c>
      <c r="R269" s="912">
        <v>33.425758361816399</v>
      </c>
      <c r="S269" s="912">
        <v>33.752655029296903</v>
      </c>
      <c r="T269" s="912">
        <v>33.878787994384801</v>
      </c>
      <c r="U269" s="912">
        <v>33.426109313964801</v>
      </c>
      <c r="V269" s="912">
        <v>33.692680358886697</v>
      </c>
      <c r="W269" s="912">
        <v>33.960933685302699</v>
      </c>
      <c r="X269" s="912">
        <v>34.291332244872997</v>
      </c>
      <c r="Y269" s="912">
        <v>34.467491149902301</v>
      </c>
      <c r="Z269" s="912">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5">
      <c r="A270" s="910" t="s">
        <v>618</v>
      </c>
      <c r="B270" s="912">
        <v>25.5142211914063</v>
      </c>
      <c r="C270" s="912">
        <v>26.818180084228501</v>
      </c>
      <c r="D270" s="912">
        <v>34.073703765869098</v>
      </c>
      <c r="E270" s="912">
        <v>20.3962516784668</v>
      </c>
      <c r="F270" s="912">
        <v>18.869060516357401</v>
      </c>
      <c r="G270" s="912">
        <v>22.499189376831101</v>
      </c>
      <c r="H270" s="912">
        <v>24.345371246337901</v>
      </c>
      <c r="I270" s="912">
        <v>25.8835773468018</v>
      </c>
      <c r="J270" s="912">
        <v>27.376197814941399</v>
      </c>
      <c r="K270" s="912">
        <v>25.5507621765137</v>
      </c>
      <c r="L270" s="912">
        <v>26.3307495117188</v>
      </c>
      <c r="M270" s="912">
        <v>27.042121887206999</v>
      </c>
      <c r="N270" s="912">
        <v>27.074653625488299</v>
      </c>
      <c r="O270" s="912">
        <v>28.861484527587901</v>
      </c>
      <c r="P270" s="912">
        <v>29.593324661254901</v>
      </c>
      <c r="Q270" s="912">
        <v>29.691083908081101</v>
      </c>
      <c r="R270" s="912">
        <v>29.8394565582275</v>
      </c>
      <c r="S270" s="912">
        <v>30.056737899780298</v>
      </c>
      <c r="T270" s="912">
        <v>30.123649597168001</v>
      </c>
      <c r="U270" s="912">
        <v>30.045396804809599</v>
      </c>
      <c r="V270" s="912">
        <v>30.335887908935501</v>
      </c>
      <c r="W270" s="912">
        <v>30.1821899414063</v>
      </c>
      <c r="X270" s="912">
        <v>30.567377090454102</v>
      </c>
      <c r="Y270" s="912">
        <v>31.227724075317401</v>
      </c>
      <c r="Z270" s="912">
        <v>30.935503005981399</v>
      </c>
      <c r="AA270" s="306">
        <v>8.1832656860351598</v>
      </c>
      <c r="AB270" s="306">
        <v>8.1197490692138707</v>
      </c>
      <c r="AC270" s="306">
        <v>8.3803300857543892</v>
      </c>
      <c r="AD270" s="306">
        <v>8.2735004425048793</v>
      </c>
    </row>
    <row r="271" spans="1:70" x14ac:dyDescent="0.25">
      <c r="A271" s="910" t="s">
        <v>619</v>
      </c>
      <c r="B271" s="912">
        <v>21.784559249877901</v>
      </c>
      <c r="C271" s="912">
        <v>22.982162475585898</v>
      </c>
      <c r="D271" s="912">
        <v>26.1744689941406</v>
      </c>
      <c r="E271" s="912">
        <v>15.6736001968384</v>
      </c>
      <c r="F271" s="912">
        <v>17.7131462097168</v>
      </c>
      <c r="G271" s="912">
        <v>20.6617527008057</v>
      </c>
      <c r="H271" s="912">
        <v>22.301433563232401</v>
      </c>
      <c r="I271" s="912">
        <v>23.517950057983398</v>
      </c>
      <c r="J271" s="912">
        <v>24.816135406494102</v>
      </c>
      <c r="K271" s="912">
        <v>26.137458801269499</v>
      </c>
      <c r="L271" s="912">
        <v>27.061580657958999</v>
      </c>
      <c r="M271" s="912">
        <v>27.993299484252901</v>
      </c>
      <c r="N271" s="912">
        <v>28.802474975585898</v>
      </c>
      <c r="O271" s="912">
        <v>29.411088943481399</v>
      </c>
      <c r="P271" s="912">
        <v>29.938217163085898</v>
      </c>
      <c r="Q271" s="912">
        <v>30.057752609252901</v>
      </c>
      <c r="R271" s="912">
        <v>30.3159790039063</v>
      </c>
      <c r="S271" s="912">
        <v>30.494945526123001</v>
      </c>
      <c r="T271" s="912">
        <v>30.528341293335</v>
      </c>
      <c r="U271" s="912">
        <v>30.4458103179932</v>
      </c>
      <c r="V271" s="912">
        <v>30.726751327514599</v>
      </c>
      <c r="W271" s="912">
        <v>30.704950332641602</v>
      </c>
      <c r="X271" s="912">
        <v>31.110511779785199</v>
      </c>
      <c r="Y271" s="912">
        <v>31.9617519378662</v>
      </c>
      <c r="Z271" s="912">
        <v>31.583656311035199</v>
      </c>
      <c r="AA271" s="306">
        <v>13.240598678588899</v>
      </c>
      <c r="AB271" s="306">
        <v>13.359972000122101</v>
      </c>
      <c r="AC271" s="306">
        <v>13.395259857177701</v>
      </c>
      <c r="AD271" s="306">
        <v>13.453570365905801</v>
      </c>
    </row>
    <row r="272" spans="1:70" x14ac:dyDescent="0.25">
      <c r="A272" s="910" t="s">
        <v>620</v>
      </c>
      <c r="B272" s="912">
        <v>15.2446508407593</v>
      </c>
      <c r="C272" s="912">
        <v>16.0964660644531</v>
      </c>
      <c r="D272" s="912">
        <v>22.1856594085693</v>
      </c>
      <c r="E272" s="912">
        <v>10.540905952453601</v>
      </c>
      <c r="F272" s="912">
        <v>10.4131317138672</v>
      </c>
      <c r="G272" s="912">
        <v>12.992267608642599</v>
      </c>
      <c r="H272" s="912">
        <v>14.8510446548462</v>
      </c>
      <c r="I272" s="912">
        <v>16.4927158355713</v>
      </c>
      <c r="J272" s="912">
        <v>17.888269424438501</v>
      </c>
      <c r="K272" s="912">
        <v>19.120731353759801</v>
      </c>
      <c r="L272" s="912">
        <v>20.025011062622099</v>
      </c>
      <c r="M272" s="912">
        <v>20.925888061523398</v>
      </c>
      <c r="N272" s="912">
        <v>21.650459289550799</v>
      </c>
      <c r="O272" s="912">
        <v>22.054113388061499</v>
      </c>
      <c r="P272" s="912">
        <v>22.358533859252901</v>
      </c>
      <c r="Q272" s="912">
        <v>22.535087585449201</v>
      </c>
      <c r="R272" s="912">
        <v>22.624557495117202</v>
      </c>
      <c r="S272" s="912">
        <v>22.875423431396499</v>
      </c>
      <c r="T272" s="912">
        <v>23.088819503784201</v>
      </c>
      <c r="U272" s="912">
        <v>22.878332138061499</v>
      </c>
      <c r="V272" s="912">
        <v>23.229129791259801</v>
      </c>
      <c r="W272" s="912">
        <v>23.440977096557599</v>
      </c>
      <c r="X272" s="912">
        <v>23.911849975585898</v>
      </c>
      <c r="Y272" s="912">
        <v>24.3618278503418</v>
      </c>
      <c r="Z272" s="912">
        <v>24.669164657592798</v>
      </c>
      <c r="AA272" s="306">
        <v>24.345100402831999</v>
      </c>
      <c r="AB272" s="306">
        <v>24.401657104492202</v>
      </c>
      <c r="AC272" s="306">
        <v>24.482112884521499</v>
      </c>
      <c r="AD272" s="306">
        <v>24.4609375</v>
      </c>
    </row>
    <row r="273" spans="1:70" x14ac:dyDescent="0.25">
      <c r="A273" s="910" t="s">
        <v>724</v>
      </c>
      <c r="B273" s="912">
        <v>20.2724208831787</v>
      </c>
      <c r="C273" s="912">
        <v>20.921422958373999</v>
      </c>
      <c r="D273" s="912">
        <v>27.066003799438501</v>
      </c>
      <c r="E273" s="912">
        <v>15.379162788391101</v>
      </c>
      <c r="F273" s="912">
        <v>14.6322994232178</v>
      </c>
      <c r="G273" s="912">
        <v>17.082887649536101</v>
      </c>
      <c r="H273" s="912">
        <v>18.906814575195298</v>
      </c>
      <c r="I273" s="912">
        <v>21.012025833129901</v>
      </c>
      <c r="J273" s="912">
        <v>22.391767501831101</v>
      </c>
      <c r="K273" s="912">
        <v>23.401908874511701</v>
      </c>
      <c r="L273" s="912">
        <v>24.249780654907202</v>
      </c>
      <c r="M273" s="912">
        <v>25.151100158691399</v>
      </c>
      <c r="N273" s="912">
        <v>25.830009460449201</v>
      </c>
      <c r="O273" s="912">
        <v>26.267305374145501</v>
      </c>
      <c r="P273" s="912">
        <v>26.5901203155518</v>
      </c>
      <c r="Q273" s="912">
        <v>26.487575531005898</v>
      </c>
      <c r="R273" s="912">
        <v>26.7318305969238</v>
      </c>
      <c r="S273" s="912">
        <v>26.979133605956999</v>
      </c>
      <c r="T273" s="912">
        <v>27.001283645629901</v>
      </c>
      <c r="U273" s="912">
        <v>26.997362136840799</v>
      </c>
      <c r="V273" s="912">
        <v>27.317785263061499</v>
      </c>
      <c r="W273" s="912">
        <v>27.182266235351602</v>
      </c>
      <c r="X273" s="912">
        <v>27.638069152831999</v>
      </c>
      <c r="Y273" s="912">
        <v>28.388862609863299</v>
      </c>
      <c r="Z273" s="912">
        <v>28.337171554565401</v>
      </c>
      <c r="AA273" s="306"/>
      <c r="AB273" s="306"/>
      <c r="AC273" s="306"/>
      <c r="AD273" s="306"/>
    </row>
    <row r="274" spans="1:70" x14ac:dyDescent="0.25">
      <c r="A274" s="910" t="s">
        <v>611</v>
      </c>
      <c r="B274" s="912">
        <v>8.20648097991943</v>
      </c>
      <c r="C274" s="912">
        <v>9.4357099533081108</v>
      </c>
      <c r="D274" s="912">
        <v>14.2847747802734</v>
      </c>
      <c r="E274" s="912">
        <v>6.3925981521606401</v>
      </c>
      <c r="F274" s="912">
        <v>6.5852246284484899</v>
      </c>
      <c r="G274" s="912">
        <v>8.6673641204834002</v>
      </c>
      <c r="H274" s="912">
        <v>10.3328533172607</v>
      </c>
      <c r="I274" s="912">
        <v>11.815202713012701</v>
      </c>
      <c r="J274" s="912">
        <v>13.023598670959499</v>
      </c>
      <c r="K274" s="912">
        <v>14.4141092300415</v>
      </c>
      <c r="L274" s="912">
        <v>15.219378471374499</v>
      </c>
      <c r="M274" s="912">
        <v>15.915946006774901</v>
      </c>
      <c r="N274" s="912">
        <v>16.592523574829102</v>
      </c>
      <c r="O274" s="912">
        <v>16.9536838531494</v>
      </c>
      <c r="P274" s="912">
        <v>17.162534713745099</v>
      </c>
      <c r="Q274" s="912">
        <v>17.429744720458999</v>
      </c>
      <c r="R274" s="912">
        <v>17.456914901733398</v>
      </c>
      <c r="S274" s="912">
        <v>17.5628662109375</v>
      </c>
      <c r="T274" s="912">
        <v>17.630765914916999</v>
      </c>
      <c r="U274" s="912">
        <v>17.410764694213899</v>
      </c>
      <c r="V274" s="912">
        <v>17.6028347015381</v>
      </c>
      <c r="W274" s="912">
        <v>17.926630020141602</v>
      </c>
      <c r="X274" s="912">
        <v>18.257143020629901</v>
      </c>
      <c r="Y274" s="912">
        <v>18.451654434204102</v>
      </c>
      <c r="Z274" s="912">
        <v>18.835027694702099</v>
      </c>
      <c r="AA274" s="306">
        <v>10.4858131408691</v>
      </c>
      <c r="AB274" s="306">
        <v>10.572740554809601</v>
      </c>
      <c r="AC274" s="306">
        <v>10.740042686462401</v>
      </c>
      <c r="AD274" s="306">
        <v>10.786236763000501</v>
      </c>
    </row>
    <row r="275" spans="1:70" ht="13" thickBot="1" x14ac:dyDescent="0.3">
      <c r="A275" s="910" t="s">
        <v>622</v>
      </c>
      <c r="B275" s="912">
        <v>15.5415086746216</v>
      </c>
      <c r="C275" s="912">
        <v>15.4958410263062</v>
      </c>
      <c r="D275" s="912">
        <v>16.8896675109863</v>
      </c>
      <c r="E275" s="912">
        <v>12.7877197265625</v>
      </c>
      <c r="F275" s="912">
        <v>13.502610206604</v>
      </c>
      <c r="G275" s="912">
        <v>13.8291311264038</v>
      </c>
      <c r="H275" s="912">
        <v>13.8390712738037</v>
      </c>
      <c r="I275" s="912">
        <v>13.843875885009799</v>
      </c>
      <c r="J275" s="912">
        <v>13.934069633483899</v>
      </c>
      <c r="K275" s="912">
        <v>14.0993509292603</v>
      </c>
      <c r="L275" s="912">
        <v>14.229956626892101</v>
      </c>
      <c r="M275" s="912">
        <v>14.3684740066528</v>
      </c>
      <c r="N275" s="912">
        <v>14.5119123458862</v>
      </c>
      <c r="O275" s="912">
        <v>14.701403617858899</v>
      </c>
      <c r="P275" s="912">
        <v>14.9462375640869</v>
      </c>
      <c r="Q275" s="912">
        <v>15.0934410095215</v>
      </c>
      <c r="R275" s="912">
        <v>15.092455863952599</v>
      </c>
      <c r="S275" s="912">
        <v>14.8220539093018</v>
      </c>
      <c r="T275" s="912">
        <v>14.7596139907837</v>
      </c>
      <c r="U275" s="912">
        <v>14.661186218261699</v>
      </c>
      <c r="V275" s="912">
        <v>14.786495208740201</v>
      </c>
      <c r="W275" s="912">
        <v>15.012266159057599</v>
      </c>
      <c r="X275" s="912">
        <v>15.2852840423584</v>
      </c>
      <c r="Y275" s="912">
        <v>15.4684591293335</v>
      </c>
      <c r="Z275" s="912">
        <v>15.6974124908447</v>
      </c>
      <c r="AA275" s="306">
        <v>6.7344188690185502</v>
      </c>
      <c r="AB275" s="306">
        <v>6.7479009628295898</v>
      </c>
      <c r="AC275" s="306">
        <v>6.8497943878173801</v>
      </c>
      <c r="AD275" s="306">
        <v>6.84698486328125</v>
      </c>
    </row>
    <row r="276" spans="1:70" ht="13" thickBot="1" x14ac:dyDescent="0.3">
      <c r="A276" s="910" t="s">
        <v>479</v>
      </c>
      <c r="B276" s="912">
        <v>30.349004745483398</v>
      </c>
      <c r="C276" s="912">
        <v>30.777971267700199</v>
      </c>
      <c r="D276" s="912">
        <v>33.734138488769503</v>
      </c>
      <c r="E276" s="912">
        <v>31.501590728759801</v>
      </c>
      <c r="F276" s="912">
        <v>27.327030181884801</v>
      </c>
      <c r="G276" s="912">
        <v>28.561843872070298</v>
      </c>
      <c r="H276" s="912">
        <v>28.965305328369102</v>
      </c>
      <c r="I276" s="912">
        <v>28.9159030914307</v>
      </c>
      <c r="J276" s="912">
        <v>28.7644939422607</v>
      </c>
      <c r="K276" s="912">
        <v>28.526710510253899</v>
      </c>
      <c r="L276" s="912">
        <v>28.644361495971701</v>
      </c>
      <c r="M276" s="912">
        <v>28.6527919769287</v>
      </c>
      <c r="N276" s="912">
        <v>28.819505691528299</v>
      </c>
      <c r="O276" s="912">
        <v>28.888120651245099</v>
      </c>
      <c r="P276" s="912">
        <v>29.142557144165</v>
      </c>
      <c r="Q276" s="912">
        <v>29.470201492309599</v>
      </c>
      <c r="R276" s="912">
        <v>29.764074325561499</v>
      </c>
      <c r="S276" s="912">
        <v>29.801677703857401</v>
      </c>
      <c r="T276" s="912">
        <v>29.921939849853501</v>
      </c>
      <c r="U276" s="912">
        <v>30.035243988037099</v>
      </c>
      <c r="V276" s="912">
        <v>30.304817199706999</v>
      </c>
      <c r="W276" s="912">
        <v>30.8045558929443</v>
      </c>
      <c r="X276" s="912">
        <v>31.450147628784201</v>
      </c>
      <c r="Y276" s="912">
        <v>31.910936355590799</v>
      </c>
      <c r="Z276" s="912">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 thickBot="1" x14ac:dyDescent="0.3">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5">
      <c r="A278" s="910" t="s">
        <v>623</v>
      </c>
      <c r="AA278" s="306"/>
      <c r="AB278" s="306"/>
      <c r="AC278" s="306"/>
      <c r="AD278" s="306"/>
    </row>
    <row r="279" spans="1:70" x14ac:dyDescent="0.25">
      <c r="A279" s="910" t="s">
        <v>610</v>
      </c>
      <c r="B279" s="912">
        <v>13.773189544677701</v>
      </c>
      <c r="C279" s="912">
        <v>14.7725219726563</v>
      </c>
      <c r="D279" s="912">
        <v>19.176651000976602</v>
      </c>
      <c r="E279" s="912">
        <v>12.4995737075806</v>
      </c>
      <c r="F279" s="912">
        <v>9.7914295196533203</v>
      </c>
      <c r="G279" s="912">
        <v>12.0805196762085</v>
      </c>
      <c r="H279" s="912">
        <v>13.8671321868896</v>
      </c>
      <c r="I279" s="912">
        <v>15.216549873352101</v>
      </c>
      <c r="J279" s="912">
        <v>16.469785690307599</v>
      </c>
      <c r="K279" s="912">
        <v>17.9636936187744</v>
      </c>
      <c r="L279" s="912">
        <v>18.832237243652301</v>
      </c>
      <c r="M279" s="912">
        <v>19.641151428222699</v>
      </c>
      <c r="N279" s="912">
        <v>20.348432540893601</v>
      </c>
      <c r="O279" s="912">
        <v>20.710233688354499</v>
      </c>
      <c r="P279" s="912">
        <v>20.980741500854499</v>
      </c>
      <c r="Q279" s="912">
        <v>21.161005020141602</v>
      </c>
      <c r="R279" s="912">
        <v>21.2950553894043</v>
      </c>
      <c r="S279" s="912">
        <v>21.596014022827099</v>
      </c>
      <c r="T279" s="912">
        <v>21.884708404541001</v>
      </c>
      <c r="U279" s="912">
        <v>21.582948684692401</v>
      </c>
      <c r="V279" s="912">
        <v>21.8727416992188</v>
      </c>
      <c r="W279" s="912">
        <v>22.200710296630898</v>
      </c>
      <c r="X279" s="912">
        <v>22.548530578613299</v>
      </c>
      <c r="Y279" s="912">
        <v>22.812198638916001</v>
      </c>
      <c r="Z279" s="912">
        <v>23.2114353179932</v>
      </c>
      <c r="AA279" s="306">
        <v>18.0768718719482</v>
      </c>
      <c r="AB279" s="306">
        <v>18.184886932373001</v>
      </c>
      <c r="AC279" s="306">
        <v>18.263076782226602</v>
      </c>
      <c r="AD279" s="306">
        <v>18.304286956787099</v>
      </c>
    </row>
    <row r="280" spans="1:70" x14ac:dyDescent="0.25">
      <c r="A280" s="910" t="s">
        <v>611</v>
      </c>
      <c r="B280" s="912">
        <v>8.3781757354736293</v>
      </c>
      <c r="C280" s="912">
        <v>8.5664386749267596</v>
      </c>
      <c r="D280" s="912">
        <v>14.309384346008301</v>
      </c>
      <c r="E280" s="912">
        <v>6.51324510574341</v>
      </c>
      <c r="F280" s="912">
        <v>6.6763448715209996</v>
      </c>
      <c r="G280" s="912">
        <v>9.3123388290405291</v>
      </c>
      <c r="H280" s="912">
        <v>10.994701385498001</v>
      </c>
      <c r="I280" s="912">
        <v>12.5300750732422</v>
      </c>
      <c r="J280" s="912">
        <v>13.7526693344116</v>
      </c>
      <c r="K280" s="912">
        <v>15.155575752258301</v>
      </c>
      <c r="L280" s="912">
        <v>15.963142395019499</v>
      </c>
      <c r="M280" s="912">
        <v>16.617677688598601</v>
      </c>
      <c r="N280" s="912">
        <v>17.274333953857401</v>
      </c>
      <c r="O280" s="912">
        <v>17.322587966918899</v>
      </c>
      <c r="P280" s="912">
        <v>17.542411804199201</v>
      </c>
      <c r="Q280" s="912">
        <v>17.799869537353501</v>
      </c>
      <c r="R280" s="912">
        <v>17.916141510009801</v>
      </c>
      <c r="S280" s="912">
        <v>18.075910568237301</v>
      </c>
      <c r="T280" s="912">
        <v>18.1613368988037</v>
      </c>
      <c r="U280" s="912">
        <v>17.935956954956101</v>
      </c>
      <c r="V280" s="912">
        <v>18.128087997436499</v>
      </c>
      <c r="W280" s="912">
        <v>18.400978088378899</v>
      </c>
      <c r="X280" s="912">
        <v>18.7218933105469</v>
      </c>
      <c r="Y280" s="912">
        <v>18.9085083007813</v>
      </c>
      <c r="Z280" s="912">
        <v>19.247135162353501</v>
      </c>
      <c r="AA280" s="306">
        <v>21.3195495605469</v>
      </c>
      <c r="AB280" s="306">
        <v>21.43874168396</v>
      </c>
      <c r="AC280" s="306">
        <v>21.398374557495099</v>
      </c>
      <c r="AD280" s="306">
        <v>21.4992275238037</v>
      </c>
    </row>
    <row r="281" spans="1:70" x14ac:dyDescent="0.25">
      <c r="A281" s="910" t="s">
        <v>510</v>
      </c>
      <c r="B281" s="912">
        <v>7.0546379089355504</v>
      </c>
      <c r="C281" s="912">
        <v>7.0191597938537598</v>
      </c>
      <c r="D281" s="912">
        <v>8.8716125488281303</v>
      </c>
      <c r="E281" s="912">
        <v>4.5556221008300799</v>
      </c>
      <c r="F281" s="912">
        <v>5.1293134689331099</v>
      </c>
      <c r="G281" s="912">
        <v>5.4535460472106898</v>
      </c>
      <c r="H281" s="912">
        <v>5.5187635421752903</v>
      </c>
      <c r="I281" s="912">
        <v>5.53977298736572</v>
      </c>
      <c r="J281" s="912">
        <v>5.6835036277770996</v>
      </c>
      <c r="K281" s="912">
        <v>5.8920464515686</v>
      </c>
      <c r="L281" s="912">
        <v>6.0819325447082502</v>
      </c>
      <c r="M281" s="912">
        <v>6.2693996429443404</v>
      </c>
      <c r="N281" s="912">
        <v>6.4775133132934597</v>
      </c>
      <c r="O281" s="912">
        <v>6.7354197502136204</v>
      </c>
      <c r="P281" s="912">
        <v>7.0278439521789604</v>
      </c>
      <c r="Q281" s="912">
        <v>7.2539091110229501</v>
      </c>
      <c r="R281" s="912">
        <v>7.3283839225768999</v>
      </c>
      <c r="S281" s="912">
        <v>7.1506276130676296</v>
      </c>
      <c r="T281" s="912">
        <v>7.1924118995666504</v>
      </c>
      <c r="U281" s="912">
        <v>7.1398839950561497</v>
      </c>
      <c r="V281" s="912">
        <v>7.2806253433227504</v>
      </c>
      <c r="W281" s="912">
        <v>7.5354790687561</v>
      </c>
      <c r="X281" s="912">
        <v>7.8600792884826696</v>
      </c>
      <c r="Y281" s="912">
        <v>8.0742120742797905</v>
      </c>
      <c r="Z281" s="912">
        <v>8.3395175933837908</v>
      </c>
      <c r="AA281" s="306">
        <v>17.291141510009801</v>
      </c>
      <c r="AB281" s="306">
        <v>17.529483795166001</v>
      </c>
      <c r="AC281" s="306">
        <v>17.525184631347699</v>
      </c>
      <c r="AD281" s="306">
        <v>17.7543029785156</v>
      </c>
    </row>
    <row r="282" spans="1:70" x14ac:dyDescent="0.25">
      <c r="A282" s="910" t="s">
        <v>624</v>
      </c>
      <c r="B282" s="912">
        <v>1.7355252504348799</v>
      </c>
      <c r="C282" s="912">
        <v>1.7800002098083501</v>
      </c>
      <c r="D282" s="912">
        <v>1.9310736656189</v>
      </c>
      <c r="E282" s="912">
        <v>1.98230564594269</v>
      </c>
      <c r="F282" s="912">
        <v>1.86225914955139</v>
      </c>
      <c r="G282" s="912">
        <v>1.87335216999054</v>
      </c>
      <c r="H282" s="912">
        <v>1.85759365558624</v>
      </c>
      <c r="I282" s="912">
        <v>1.8817487955093399</v>
      </c>
      <c r="J282" s="912">
        <v>1.9043176174163801</v>
      </c>
      <c r="K282" s="912">
        <v>1.90719401836395</v>
      </c>
      <c r="L282" s="912">
        <v>1.9170492887496899</v>
      </c>
      <c r="M282" s="912">
        <v>1.9259506464004501</v>
      </c>
      <c r="N282" s="912">
        <v>1.94080138206482</v>
      </c>
      <c r="O282" s="912">
        <v>1.94636797904968</v>
      </c>
      <c r="P282" s="912">
        <v>1.9562891721725499</v>
      </c>
      <c r="Q282" s="912">
        <v>1.9622501134872401</v>
      </c>
      <c r="R282" s="912">
        <v>1.9753552675247199</v>
      </c>
      <c r="S282" s="912">
        <v>1.9811542034149201</v>
      </c>
      <c r="T282" s="912">
        <v>1.98549652099609</v>
      </c>
      <c r="U282" s="912">
        <v>1.9898830652236901</v>
      </c>
      <c r="V282" s="912">
        <v>1.99634909629822</v>
      </c>
      <c r="W282" s="912">
        <v>2.00744533538818</v>
      </c>
      <c r="X282" s="912">
        <v>2.0202190876007098</v>
      </c>
      <c r="Y282" s="912">
        <v>2.0336120128631601</v>
      </c>
      <c r="Z282" s="912">
        <v>2.0445194244384801</v>
      </c>
      <c r="AA282" s="306">
        <v>11.227470397949199</v>
      </c>
      <c r="AB282" s="306">
        <v>11.517865180969199</v>
      </c>
      <c r="AC282" s="306">
        <v>11.5089683532715</v>
      </c>
      <c r="AD282" s="306">
        <v>11.7493782043457</v>
      </c>
    </row>
    <row r="283" spans="1:70" x14ac:dyDescent="0.25">
      <c r="AA283" s="306">
        <v>15.2353620529175</v>
      </c>
      <c r="AB283" s="306">
        <v>15.5302953720093</v>
      </c>
      <c r="AC283" s="306">
        <v>15.500846862793001</v>
      </c>
      <c r="AD283" s="306">
        <v>15.7047281265259</v>
      </c>
    </row>
    <row r="284" spans="1:70" x14ac:dyDescent="0.25">
      <c r="A284" s="910" t="s">
        <v>625</v>
      </c>
      <c r="AA284" s="306">
        <v>7.7013258934020996</v>
      </c>
      <c r="AB284" s="306">
        <v>7.6767330169677699</v>
      </c>
      <c r="AC284" s="306">
        <v>7.8322434425354004</v>
      </c>
      <c r="AD284" s="306">
        <v>7.7872447967529297</v>
      </c>
    </row>
    <row r="285" spans="1:70" x14ac:dyDescent="0.25">
      <c r="A285" s="910" t="s">
        <v>609</v>
      </c>
      <c r="B285" s="912">
        <v>15.657142639160201</v>
      </c>
      <c r="C285" s="912">
        <v>18.5313529968262</v>
      </c>
      <c r="D285" s="912">
        <v>19.701341629028299</v>
      </c>
      <c r="E285" s="912">
        <v>16.4090671539307</v>
      </c>
      <c r="F285" s="912">
        <v>16.297544479370099</v>
      </c>
      <c r="G285" s="912">
        <v>18.4262371063232</v>
      </c>
      <c r="H285" s="912">
        <v>20.2184352874756</v>
      </c>
      <c r="I285" s="912">
        <v>21.813219070434599</v>
      </c>
      <c r="J285" s="912">
        <v>23.252103805541999</v>
      </c>
      <c r="K285" s="912">
        <v>24.811630249023398</v>
      </c>
      <c r="L285" s="912">
        <v>25.812454223632798</v>
      </c>
      <c r="M285" s="912">
        <v>26.627546310424801</v>
      </c>
      <c r="N285" s="912">
        <v>27.460300445556602</v>
      </c>
      <c r="O285" s="912">
        <v>27.8579425811768</v>
      </c>
      <c r="P285" s="912">
        <v>28.113265991210898</v>
      </c>
      <c r="Q285" s="912">
        <v>28.325565338134801</v>
      </c>
      <c r="R285" s="912">
        <v>28.4571437835693</v>
      </c>
      <c r="S285" s="912">
        <v>28.7732944488525</v>
      </c>
      <c r="T285" s="912">
        <v>28.920036315918001</v>
      </c>
      <c r="U285" s="912">
        <v>28.525373458862301</v>
      </c>
      <c r="V285" s="912">
        <v>28.814060211181602</v>
      </c>
      <c r="W285" s="912">
        <v>29.1242790222168</v>
      </c>
      <c r="X285" s="912">
        <v>29.486963272094702</v>
      </c>
      <c r="Y285" s="912">
        <v>29.629682540893601</v>
      </c>
      <c r="Z285" s="912">
        <v>30.0484523773193</v>
      </c>
      <c r="AA285" s="306">
        <v>7.8213167190551802</v>
      </c>
      <c r="AB285" s="306">
        <v>7.9383788108825701</v>
      </c>
      <c r="AC285" s="306">
        <v>8.0273618698120099</v>
      </c>
      <c r="AD285" s="306">
        <v>8.0851049423217791</v>
      </c>
    </row>
    <row r="286" spans="1:70" x14ac:dyDescent="0.25">
      <c r="A286" s="910" t="s">
        <v>618</v>
      </c>
      <c r="B286" s="912">
        <v>25.5142211914063</v>
      </c>
      <c r="C286" s="912">
        <v>26.818180084228501</v>
      </c>
      <c r="D286" s="912">
        <v>34.073703765869098</v>
      </c>
      <c r="E286" s="912">
        <v>20.3962516784668</v>
      </c>
      <c r="F286" s="912">
        <v>18.869060516357401</v>
      </c>
      <c r="G286" s="912">
        <v>22.499189376831101</v>
      </c>
      <c r="H286" s="912">
        <v>24.345371246337901</v>
      </c>
      <c r="I286" s="912">
        <v>25.8835773468018</v>
      </c>
      <c r="J286" s="912">
        <v>27.376197814941399</v>
      </c>
      <c r="K286" s="912">
        <v>25.5507621765137</v>
      </c>
      <c r="L286" s="912">
        <v>26.3307495117188</v>
      </c>
      <c r="M286" s="912">
        <v>27.042121887206999</v>
      </c>
      <c r="N286" s="912">
        <v>27.074653625488299</v>
      </c>
      <c r="O286" s="912">
        <v>28.861484527587901</v>
      </c>
      <c r="P286" s="912">
        <v>29.593324661254901</v>
      </c>
      <c r="Q286" s="912">
        <v>29.691083908081101</v>
      </c>
      <c r="R286" s="912">
        <v>29.8394565582275</v>
      </c>
      <c r="S286" s="912">
        <v>30.056737899780298</v>
      </c>
      <c r="T286" s="912">
        <v>30.123649597168001</v>
      </c>
      <c r="U286" s="912">
        <v>30.045396804809599</v>
      </c>
      <c r="V286" s="912">
        <v>30.335887908935501</v>
      </c>
      <c r="W286" s="912">
        <v>30.1821899414063</v>
      </c>
      <c r="X286" s="912">
        <v>30.567377090454102</v>
      </c>
      <c r="Y286" s="912">
        <v>31.227724075317401</v>
      </c>
      <c r="Z286" s="912">
        <v>30.935503005981399</v>
      </c>
      <c r="AA286" s="306">
        <v>2.7168338298797599</v>
      </c>
      <c r="AB286" s="306">
        <v>2.7307398319244398</v>
      </c>
      <c r="AC286" s="306">
        <v>2.7413196563720699</v>
      </c>
      <c r="AD286" s="306">
        <v>2.7546591758728001</v>
      </c>
    </row>
    <row r="287" spans="1:70" x14ac:dyDescent="0.25">
      <c r="A287" s="910" t="s">
        <v>619</v>
      </c>
      <c r="B287" s="912">
        <v>21.649000167846701</v>
      </c>
      <c r="C287" s="912">
        <v>22.8191947937012</v>
      </c>
      <c r="D287" s="912">
        <v>26.0107421875</v>
      </c>
      <c r="E287" s="912">
        <v>15.8019914627075</v>
      </c>
      <c r="F287" s="912">
        <v>17.711067199706999</v>
      </c>
      <c r="G287" s="912">
        <v>20.6589241027832</v>
      </c>
      <c r="H287" s="912">
        <v>22.298402786254901</v>
      </c>
      <c r="I287" s="912">
        <v>23.5152263641357</v>
      </c>
      <c r="J287" s="912">
        <v>24.813198089599599</v>
      </c>
      <c r="K287" s="912">
        <v>26.134485244751001</v>
      </c>
      <c r="L287" s="912">
        <v>27.0586547851563</v>
      </c>
      <c r="M287" s="912">
        <v>27.9900207519531</v>
      </c>
      <c r="N287" s="912">
        <v>28.799554824829102</v>
      </c>
      <c r="O287" s="912">
        <v>29.408401489257798</v>
      </c>
      <c r="P287" s="912">
        <v>29.935087203979499</v>
      </c>
      <c r="Q287" s="912">
        <v>30.054672241210898</v>
      </c>
      <c r="R287" s="912">
        <v>30.314332962036101</v>
      </c>
      <c r="S287" s="912">
        <v>30.492042541503899</v>
      </c>
      <c r="T287" s="912">
        <v>30.525100708007798</v>
      </c>
      <c r="U287" s="912">
        <v>30.442491531372099</v>
      </c>
      <c r="V287" s="912">
        <v>30.723676681518601</v>
      </c>
      <c r="W287" s="912">
        <v>30.701581954956101</v>
      </c>
      <c r="X287" s="912">
        <v>31.107343673706101</v>
      </c>
      <c r="Y287" s="912">
        <v>31.957983016967798</v>
      </c>
      <c r="Z287" s="912">
        <v>31.580909729003899</v>
      </c>
      <c r="AA287" s="306">
        <v>1.67883205413818</v>
      </c>
      <c r="AB287" s="306">
        <v>1.6938681602478001</v>
      </c>
      <c r="AC287" s="306">
        <v>1.7024568319320701</v>
      </c>
      <c r="AD287" s="306">
        <v>1.71655297279358</v>
      </c>
    </row>
    <row r="288" spans="1:70" x14ac:dyDescent="0.25">
      <c r="A288" s="910" t="s">
        <v>626</v>
      </c>
      <c r="B288" s="912">
        <v>15.2446508407593</v>
      </c>
      <c r="C288" s="912">
        <v>16.0964660644531</v>
      </c>
      <c r="D288" s="912">
        <v>22.1856594085693</v>
      </c>
      <c r="E288" s="912">
        <v>10.540905952453601</v>
      </c>
      <c r="F288" s="912">
        <v>10.4131317138672</v>
      </c>
      <c r="G288" s="912">
        <v>12.992267608642599</v>
      </c>
      <c r="H288" s="912">
        <v>14.8510446548462</v>
      </c>
      <c r="I288" s="912">
        <v>16.4927158355713</v>
      </c>
      <c r="J288" s="912">
        <v>17.888269424438501</v>
      </c>
      <c r="K288" s="912">
        <v>19.120731353759801</v>
      </c>
      <c r="L288" s="912">
        <v>20.025011062622099</v>
      </c>
      <c r="M288" s="912">
        <v>20.925888061523398</v>
      </c>
      <c r="N288" s="912">
        <v>21.650459289550799</v>
      </c>
      <c r="O288" s="912">
        <v>22.054113388061499</v>
      </c>
      <c r="P288" s="912">
        <v>22.358533859252901</v>
      </c>
      <c r="Q288" s="912">
        <v>22.535087585449201</v>
      </c>
      <c r="R288" s="912">
        <v>22.624557495117202</v>
      </c>
      <c r="S288" s="912">
        <v>22.875423431396499</v>
      </c>
      <c r="T288" s="912">
        <v>23.088819503784201</v>
      </c>
      <c r="U288" s="912">
        <v>22.878332138061499</v>
      </c>
      <c r="V288" s="912">
        <v>23.229129791259801</v>
      </c>
      <c r="W288" s="912">
        <v>23.440977096557599</v>
      </c>
      <c r="X288" s="912">
        <v>23.911849975585898</v>
      </c>
      <c r="Y288" s="912">
        <v>24.3618278503418</v>
      </c>
      <c r="Z288" s="912">
        <v>24.669164657592798</v>
      </c>
      <c r="AA288" s="306">
        <v>1.2833950519561801</v>
      </c>
      <c r="AB288" s="306">
        <v>1.3286876678466799</v>
      </c>
      <c r="AC288" s="306">
        <v>1.33012855052948</v>
      </c>
      <c r="AD288" s="306">
        <v>1.33445107936859</v>
      </c>
    </row>
    <row r="289" spans="1:30" x14ac:dyDescent="0.25">
      <c r="A289" s="910" t="s">
        <v>610</v>
      </c>
      <c r="B289" s="912">
        <v>19.171348571777301</v>
      </c>
      <c r="C289" s="912">
        <v>19.9431552886963</v>
      </c>
      <c r="D289" s="912">
        <v>25.721439361572301</v>
      </c>
      <c r="E289" s="912">
        <v>15.1513471603394</v>
      </c>
      <c r="F289" s="912">
        <v>13.5963325500488</v>
      </c>
      <c r="G289" s="912">
        <v>16.098552703857401</v>
      </c>
      <c r="H289" s="912">
        <v>18.014595031738299</v>
      </c>
      <c r="I289" s="912">
        <v>20.0945529937744</v>
      </c>
      <c r="J289" s="912">
        <v>21.487236022949201</v>
      </c>
      <c r="K289" s="912">
        <v>22.551927566528299</v>
      </c>
      <c r="L289" s="912">
        <v>23.4185886383057</v>
      </c>
      <c r="M289" s="912">
        <v>24.295482635498001</v>
      </c>
      <c r="N289" s="912">
        <v>25.028078079223601</v>
      </c>
      <c r="O289" s="912">
        <v>25.4735622406006</v>
      </c>
      <c r="P289" s="912">
        <v>25.7968635559082</v>
      </c>
      <c r="Q289" s="912">
        <v>25.744600296020501</v>
      </c>
      <c r="R289" s="912">
        <v>26.0401725769043</v>
      </c>
      <c r="S289" s="912">
        <v>26.245742797851602</v>
      </c>
      <c r="T289" s="912">
        <v>26.316581726074201</v>
      </c>
      <c r="U289" s="912">
        <v>26.282798767089801</v>
      </c>
      <c r="V289" s="912">
        <v>26.623888015747099</v>
      </c>
      <c r="W289" s="912">
        <v>26.532428741455099</v>
      </c>
      <c r="X289" s="912">
        <v>26.9911499023438</v>
      </c>
      <c r="Y289" s="912">
        <v>27.692060470581101</v>
      </c>
      <c r="Z289" s="912">
        <v>27.7130451202393</v>
      </c>
      <c r="AA289" s="306">
        <v>23.429731369018601</v>
      </c>
      <c r="AB289" s="306">
        <v>23.480413436889599</v>
      </c>
      <c r="AC289" s="306">
        <v>23.589033126831101</v>
      </c>
      <c r="AD289" s="306">
        <v>23.596023559570298</v>
      </c>
    </row>
    <row r="290" spans="1:30" x14ac:dyDescent="0.25">
      <c r="A290" s="910" t="s">
        <v>611</v>
      </c>
      <c r="B290" s="912">
        <v>8.4246683120727504</v>
      </c>
      <c r="C290" s="912">
        <v>9.3672227859497106</v>
      </c>
      <c r="D290" s="912">
        <v>14.1781015396118</v>
      </c>
      <c r="E290" s="912">
        <v>6.5043296813964799</v>
      </c>
      <c r="F290" s="912">
        <v>6.9149212837219203</v>
      </c>
      <c r="G290" s="912">
        <v>9.2013835906982404</v>
      </c>
      <c r="H290" s="912">
        <v>10.8588418960571</v>
      </c>
      <c r="I290" s="912">
        <v>12.3554439544678</v>
      </c>
      <c r="J290" s="912">
        <v>13.5696716308594</v>
      </c>
      <c r="K290" s="912">
        <v>14.9571332931519</v>
      </c>
      <c r="L290" s="912">
        <v>15.7562828063965</v>
      </c>
      <c r="M290" s="912">
        <v>16.419845581054702</v>
      </c>
      <c r="N290" s="912">
        <v>17.090215682983398</v>
      </c>
      <c r="O290" s="912">
        <v>17.3671054840088</v>
      </c>
      <c r="P290" s="912">
        <v>17.589653015136701</v>
      </c>
      <c r="Q290" s="912">
        <v>17.8480415344238</v>
      </c>
      <c r="R290" s="912">
        <v>17.911899566650401</v>
      </c>
      <c r="S290" s="912">
        <v>18.041828155517599</v>
      </c>
      <c r="T290" s="912">
        <v>18.112939834594702</v>
      </c>
      <c r="U290" s="912">
        <v>17.862413406372099</v>
      </c>
      <c r="V290" s="912">
        <v>18.047613143920898</v>
      </c>
      <c r="W290" s="912">
        <v>18.333000183105501</v>
      </c>
      <c r="X290" s="912">
        <v>18.6528930664063</v>
      </c>
      <c r="Y290" s="912">
        <v>18.8375339508057</v>
      </c>
      <c r="Z290" s="912">
        <v>19.187860488891602</v>
      </c>
      <c r="AA290" s="306"/>
      <c r="AB290" s="306"/>
      <c r="AC290" s="306"/>
      <c r="AD290" s="306"/>
    </row>
    <row r="291" spans="1:30" x14ac:dyDescent="0.25">
      <c r="A291" s="910" t="s">
        <v>510</v>
      </c>
      <c r="B291" s="912">
        <v>9.5015735626220703</v>
      </c>
      <c r="C291" s="912">
        <v>9.0060253143310494</v>
      </c>
      <c r="D291" s="912">
        <v>10.1816816329956</v>
      </c>
      <c r="E291" s="912">
        <v>6.76324558258057</v>
      </c>
      <c r="F291" s="912">
        <v>7.4289712905883798</v>
      </c>
      <c r="G291" s="912">
        <v>7.7374553680419904</v>
      </c>
      <c r="H291" s="912">
        <v>7.7907910346984899</v>
      </c>
      <c r="I291" s="912">
        <v>7.79954290390015</v>
      </c>
      <c r="J291" s="912">
        <v>7.91036033630371</v>
      </c>
      <c r="K291" s="912">
        <v>8.0721502304077095</v>
      </c>
      <c r="L291" s="912">
        <v>8.2674913406372106</v>
      </c>
      <c r="M291" s="912">
        <v>8.4630060195922905</v>
      </c>
      <c r="N291" s="912">
        <v>8.6615943908691406</v>
      </c>
      <c r="O291" s="912">
        <v>8.9140930175781303</v>
      </c>
      <c r="P291" s="912">
        <v>9.2212562561035192</v>
      </c>
      <c r="Q291" s="912">
        <v>9.4307956695556605</v>
      </c>
      <c r="R291" s="912">
        <v>9.4883728027343803</v>
      </c>
      <c r="S291" s="912">
        <v>9.2674760818481392</v>
      </c>
      <c r="T291" s="912">
        <v>9.2395153045654297</v>
      </c>
      <c r="U291" s="912">
        <v>9.1623344421386701</v>
      </c>
      <c r="V291" s="912">
        <v>9.3142642974853498</v>
      </c>
      <c r="W291" s="912">
        <v>9.5711297988891602</v>
      </c>
      <c r="X291" s="912">
        <v>9.9057645797729492</v>
      </c>
      <c r="Y291" s="912">
        <v>10.151716232299799</v>
      </c>
      <c r="Z291" s="912">
        <v>10.4206848144531</v>
      </c>
      <c r="AA291" s="306"/>
      <c r="AB291" s="306"/>
      <c r="AC291" s="306"/>
      <c r="AD291" s="306"/>
    </row>
    <row r="292" spans="1:30" x14ac:dyDescent="0.25">
      <c r="A292" s="910" t="s">
        <v>614</v>
      </c>
      <c r="B292" s="912">
        <v>3.6353600025177002</v>
      </c>
      <c r="C292" s="912">
        <v>3.6099998950958301</v>
      </c>
      <c r="D292" s="912">
        <v>4.0558156967163104</v>
      </c>
      <c r="E292" s="912">
        <v>4.0487108230590803</v>
      </c>
      <c r="F292" s="912">
        <v>3.9977276325225799</v>
      </c>
      <c r="G292" s="912">
        <v>4.1121706962585396</v>
      </c>
      <c r="H292" s="912">
        <v>4.1809573173522896</v>
      </c>
      <c r="I292" s="912">
        <v>4.2343683242797896</v>
      </c>
      <c r="J292" s="912">
        <v>4.27162742614746</v>
      </c>
      <c r="K292" s="912">
        <v>4.2985162734985396</v>
      </c>
      <c r="L292" s="912">
        <v>4.3192996978759801</v>
      </c>
      <c r="M292" s="912">
        <v>4.3337044715881303</v>
      </c>
      <c r="N292" s="912">
        <v>4.3530845642089799</v>
      </c>
      <c r="O292" s="912">
        <v>4.3696141242981001</v>
      </c>
      <c r="P292" s="912">
        <v>4.3899216651916504</v>
      </c>
      <c r="Q292" s="912">
        <v>4.4470157623290998</v>
      </c>
      <c r="R292" s="912">
        <v>4.5093812942504901</v>
      </c>
      <c r="S292" s="912">
        <v>4.5352845191955602</v>
      </c>
      <c r="T292" s="912">
        <v>4.5618190765380904</v>
      </c>
      <c r="U292" s="912">
        <v>4.5643453598022496</v>
      </c>
      <c r="V292" s="912">
        <v>4.5493078231811497</v>
      </c>
      <c r="W292" s="912">
        <v>4.5490665435790998</v>
      </c>
      <c r="X292" s="912">
        <v>4.5331215858459499</v>
      </c>
      <c r="Y292" s="912">
        <v>4.4955492019653303</v>
      </c>
      <c r="Z292" s="912">
        <v>4.4319190979003897</v>
      </c>
      <c r="AA292" s="306">
        <v>253.732666015625</v>
      </c>
      <c r="AB292" s="306">
        <v>257.28918457031301</v>
      </c>
      <c r="AC292" s="306">
        <v>259.96432495117199</v>
      </c>
      <c r="AD292" s="306">
        <v>262.21316528320301</v>
      </c>
    </row>
    <row r="293" spans="1:30" x14ac:dyDescent="0.25">
      <c r="A293" s="910" t="s">
        <v>627</v>
      </c>
      <c r="B293" s="912">
        <v>1.7776364088058501</v>
      </c>
      <c r="C293" s="912">
        <v>1.81885313987732</v>
      </c>
      <c r="D293" s="912">
        <v>1.9676311016082799</v>
      </c>
      <c r="E293" s="912">
        <v>2.0067975521087602</v>
      </c>
      <c r="F293" s="912">
        <v>1.88941025733948</v>
      </c>
      <c r="G293" s="912">
        <v>1.9042230844497701</v>
      </c>
      <c r="H293" s="912">
        <v>1.89033174514771</v>
      </c>
      <c r="I293" s="912">
        <v>1.9154095649719201</v>
      </c>
      <c r="J293" s="912">
        <v>1.93832087516785</v>
      </c>
      <c r="K293" s="912">
        <v>1.94072294235229</v>
      </c>
      <c r="L293" s="912">
        <v>1.9500694274902299</v>
      </c>
      <c r="M293" s="912">
        <v>1.9586881399154701</v>
      </c>
      <c r="N293" s="912">
        <v>1.9732190370559699</v>
      </c>
      <c r="O293" s="912">
        <v>1.9783339500427199</v>
      </c>
      <c r="P293" s="912">
        <v>1.98810267448425</v>
      </c>
      <c r="Q293" s="912">
        <v>1.9938982725143399</v>
      </c>
      <c r="R293" s="912">
        <v>2.0064799785614</v>
      </c>
      <c r="S293" s="912">
        <v>2.0119984149932901</v>
      </c>
      <c r="T293" s="912">
        <v>2.0163278579711901</v>
      </c>
      <c r="U293" s="912">
        <v>2.0205180644989</v>
      </c>
      <c r="V293" s="912">
        <v>2.0271856784820601</v>
      </c>
      <c r="W293" s="912">
        <v>2.0382561683654798</v>
      </c>
      <c r="X293" s="912">
        <v>2.0508835315704301</v>
      </c>
      <c r="Y293" s="912">
        <v>2.0641281604766801</v>
      </c>
      <c r="Z293" s="912">
        <v>2.0750961303710902</v>
      </c>
      <c r="AA293" s="306">
        <v>208.50216674804699</v>
      </c>
      <c r="AB293" s="306">
        <v>213.246017456055</v>
      </c>
      <c r="AC293" s="306">
        <v>217.97378540039099</v>
      </c>
      <c r="AD293" s="306">
        <v>222.08200073242199</v>
      </c>
    </row>
    <row r="294" spans="1:30" x14ac:dyDescent="0.25">
      <c r="A294" s="910" t="s">
        <v>616</v>
      </c>
      <c r="B294" s="912">
        <v>0</v>
      </c>
      <c r="C294" s="912">
        <v>0</v>
      </c>
      <c r="D294" s="912">
        <v>0</v>
      </c>
      <c r="E294" s="912">
        <v>0</v>
      </c>
      <c r="F294" s="912">
        <v>0</v>
      </c>
      <c r="G294" s="912">
        <v>1.5133428573608401</v>
      </c>
      <c r="H294" s="912">
        <v>1.3742095232009901</v>
      </c>
      <c r="I294" s="912">
        <v>1.19064140319824</v>
      </c>
      <c r="J294" s="912">
        <v>1.3664953708648699</v>
      </c>
      <c r="K294" s="912">
        <v>1.33487153053284</v>
      </c>
      <c r="L294" s="912">
        <v>1.31654036045074</v>
      </c>
      <c r="M294" s="912">
        <v>1.30223417282104</v>
      </c>
      <c r="N294" s="912">
        <v>1.30838906764984</v>
      </c>
      <c r="O294" s="912">
        <v>1.32146644592285</v>
      </c>
      <c r="P294" s="912">
        <v>1.3489345312118499</v>
      </c>
      <c r="Q294" s="912">
        <v>1.3524934053421001</v>
      </c>
      <c r="R294" s="912">
        <v>1.3570195436477701</v>
      </c>
      <c r="S294" s="912">
        <v>1.3626403808593801</v>
      </c>
      <c r="T294" s="912">
        <v>1.37119424343109</v>
      </c>
      <c r="U294" s="912">
        <v>1.3635557889938399</v>
      </c>
      <c r="V294" s="912">
        <v>1.3662919998168901</v>
      </c>
      <c r="W294" s="912">
        <v>1.37254309654236</v>
      </c>
      <c r="X294" s="912">
        <v>1.37609398365021</v>
      </c>
      <c r="Y294" s="912">
        <v>1.3784751892089799</v>
      </c>
      <c r="Z294" s="912">
        <v>1.3805129528045701</v>
      </c>
      <c r="AA294" s="306">
        <v>212.89649963378901</v>
      </c>
      <c r="AB294" s="306">
        <v>216.30204772949199</v>
      </c>
      <c r="AC294" s="306">
        <v>219.267822265625</v>
      </c>
      <c r="AD294" s="306">
        <v>222.079177856445</v>
      </c>
    </row>
    <row r="295" spans="1:30" x14ac:dyDescent="0.25">
      <c r="A295" s="910" t="s">
        <v>479</v>
      </c>
      <c r="B295" s="912">
        <v>26.672916412353501</v>
      </c>
      <c r="C295" s="912">
        <v>26.680915832519499</v>
      </c>
      <c r="D295" s="912">
        <v>27.799331665039102</v>
      </c>
      <c r="E295" s="912">
        <v>26.6892414093018</v>
      </c>
      <c r="F295" s="912">
        <v>24.2756156921387</v>
      </c>
      <c r="G295" s="912">
        <v>25.0947151184082</v>
      </c>
      <c r="H295" s="912">
        <v>25.0493679046631</v>
      </c>
      <c r="I295" s="912">
        <v>25.093559265136701</v>
      </c>
      <c r="J295" s="912">
        <v>25.339256286621101</v>
      </c>
      <c r="K295" s="912">
        <v>25.454051971435501</v>
      </c>
      <c r="L295" s="912">
        <v>25.7708930969238</v>
      </c>
      <c r="M295" s="912">
        <v>26.1124782562256</v>
      </c>
      <c r="N295" s="912">
        <v>26.474697113037099</v>
      </c>
      <c r="O295" s="912">
        <v>26.7419338226318</v>
      </c>
      <c r="P295" s="912">
        <v>27.1641750335693</v>
      </c>
      <c r="Q295" s="912">
        <v>27.529588699340799</v>
      </c>
      <c r="R295" s="912">
        <v>27.7828693389893</v>
      </c>
      <c r="S295" s="912">
        <v>27.754991531372099</v>
      </c>
      <c r="T295" s="912">
        <v>27.792310714721701</v>
      </c>
      <c r="U295" s="912">
        <v>27.7856330871582</v>
      </c>
      <c r="V295" s="912">
        <v>27.867961883544901</v>
      </c>
      <c r="W295" s="912">
        <v>28.2280673980713</v>
      </c>
      <c r="X295" s="912">
        <v>28.6754856109619</v>
      </c>
      <c r="Y295" s="912">
        <v>29.0858860015869</v>
      </c>
      <c r="Z295" s="912">
        <v>29.4564533233643</v>
      </c>
      <c r="AA295" s="306">
        <v>588.97521972656295</v>
      </c>
      <c r="AB295" s="306">
        <v>607.12139892578102</v>
      </c>
      <c r="AC295" s="306">
        <v>615.45501708984398</v>
      </c>
      <c r="AD295" s="306">
        <v>632.78991699218795</v>
      </c>
    </row>
    <row r="296" spans="1:30" x14ac:dyDescent="0.25">
      <c r="AA296" s="306">
        <v>1264.10656738281</v>
      </c>
      <c r="AB296" s="306">
        <v>1293.95861816406</v>
      </c>
      <c r="AC296" s="306">
        <v>1312.66088867188</v>
      </c>
      <c r="AD296" s="306">
        <v>1339.16430664063</v>
      </c>
    </row>
    <row r="297" spans="1:30" x14ac:dyDescent="0.25">
      <c r="A297" s="910" t="s">
        <v>513</v>
      </c>
      <c r="AA297" s="306">
        <v>0.38684526085853599</v>
      </c>
      <c r="AB297" s="306">
        <v>0.443235874176025</v>
      </c>
      <c r="AC297" s="306">
        <v>0.46923574805259699</v>
      </c>
      <c r="AD297" s="306">
        <v>0.51463860273361195</v>
      </c>
    </row>
    <row r="298" spans="1:30" x14ac:dyDescent="0.25">
      <c r="A298" s="910" t="s">
        <v>725</v>
      </c>
      <c r="AA298" s="306">
        <v>1264.49340820313</v>
      </c>
      <c r="AB298" s="306">
        <v>1294.40185546875</v>
      </c>
      <c r="AC298" s="306">
        <v>1313.13012695313</v>
      </c>
      <c r="AD298" s="306">
        <v>1339.67895507813</v>
      </c>
    </row>
    <row r="299" spans="1:30" x14ac:dyDescent="0.25">
      <c r="A299" s="910" t="s">
        <v>473</v>
      </c>
      <c r="B299" s="912">
        <v>231.10064697265599</v>
      </c>
      <c r="C299" s="912">
        <v>238.40081787109401</v>
      </c>
      <c r="D299" s="912">
        <v>250.00378417968801</v>
      </c>
      <c r="E299" s="912">
        <v>223.81915283203099</v>
      </c>
      <c r="F299" s="912">
        <v>215.29118347168</v>
      </c>
      <c r="G299" s="912">
        <v>224.09677124023401</v>
      </c>
      <c r="H299" s="912">
        <v>227.34310913085901</v>
      </c>
      <c r="I299" s="912">
        <v>227.85260009765599</v>
      </c>
      <c r="J299" s="912">
        <v>231.24415588378901</v>
      </c>
      <c r="K299" s="912">
        <v>234.18721008300801</v>
      </c>
      <c r="L299" s="912">
        <v>238.75100708007801</v>
      </c>
      <c r="M299" s="912">
        <v>243.18489074707</v>
      </c>
      <c r="N299" s="912">
        <v>248.169021606445</v>
      </c>
      <c r="O299" s="912">
        <v>252.72660827636699</v>
      </c>
      <c r="P299" s="912">
        <v>258.44952392578102</v>
      </c>
      <c r="Q299" s="912">
        <v>262.50808715820301</v>
      </c>
      <c r="R299" s="912">
        <v>265.94851684570301</v>
      </c>
      <c r="S299" s="912">
        <v>267.30322265625</v>
      </c>
      <c r="T299" s="912">
        <v>270.58847045898398</v>
      </c>
      <c r="U299" s="912">
        <v>272.04168701171898</v>
      </c>
      <c r="V299" s="912">
        <v>276.25186157226602</v>
      </c>
      <c r="W299" s="912">
        <v>282.20260620117199</v>
      </c>
      <c r="X299" s="912">
        <v>288.93267822265602</v>
      </c>
      <c r="Y299" s="912">
        <v>293.60751342773398</v>
      </c>
      <c r="Z299" s="912">
        <v>298.90402221679699</v>
      </c>
      <c r="AA299" s="306"/>
      <c r="AB299" s="306"/>
      <c r="AC299" s="306"/>
      <c r="AD299" s="306"/>
    </row>
    <row r="300" spans="1:30" x14ac:dyDescent="0.25">
      <c r="A300" s="910" t="s">
        <v>480</v>
      </c>
      <c r="B300" s="912">
        <v>170.28274536132801</v>
      </c>
      <c r="C300" s="912">
        <v>172.89260864257801</v>
      </c>
      <c r="D300" s="912">
        <v>183.352294921875</v>
      </c>
      <c r="E300" s="912">
        <v>163.89425659179699</v>
      </c>
      <c r="F300" s="912">
        <v>157.14476013183599</v>
      </c>
      <c r="G300" s="912">
        <v>164.69047546386699</v>
      </c>
      <c r="H300" s="912">
        <v>166.42567443847699</v>
      </c>
      <c r="I300" s="912">
        <v>169.00093078613301</v>
      </c>
      <c r="J300" s="912">
        <v>173.04789733886699</v>
      </c>
      <c r="K300" s="912">
        <v>176.93461608886699</v>
      </c>
      <c r="L300" s="912">
        <v>182.04042053222699</v>
      </c>
      <c r="M300" s="912">
        <v>187.24485778808599</v>
      </c>
      <c r="N300" s="912">
        <v>192.69107055664099</v>
      </c>
      <c r="O300" s="912">
        <v>197.508544921875</v>
      </c>
      <c r="P300" s="912">
        <v>203.26272583007801</v>
      </c>
      <c r="Q300" s="912">
        <v>208.31881713867199</v>
      </c>
      <c r="R300" s="912">
        <v>212.33370971679699</v>
      </c>
      <c r="S300" s="912">
        <v>214.22947692871099</v>
      </c>
      <c r="T300" s="912">
        <v>217.23475646972699</v>
      </c>
      <c r="U300" s="912">
        <v>219.65505981445301</v>
      </c>
      <c r="V300" s="912">
        <v>223.61666870117199</v>
      </c>
      <c r="W300" s="912">
        <v>229.31947326660199</v>
      </c>
      <c r="X300" s="912">
        <v>235.82908630371099</v>
      </c>
      <c r="Y300" s="912">
        <v>241.79779052734401</v>
      </c>
      <c r="Z300" s="912">
        <v>247.76422119140599</v>
      </c>
      <c r="AA300" s="306"/>
      <c r="AB300" s="306"/>
      <c r="AC300" s="306"/>
      <c r="AD300" s="306"/>
    </row>
    <row r="301" spans="1:30" x14ac:dyDescent="0.25">
      <c r="A301" s="910" t="s">
        <v>515</v>
      </c>
      <c r="B301" s="912">
        <v>216.08058166503901</v>
      </c>
      <c r="C301" s="912">
        <v>226.88609313964801</v>
      </c>
      <c r="D301" s="912">
        <v>248.66896057128901</v>
      </c>
      <c r="E301" s="912">
        <v>181.39601135253901</v>
      </c>
      <c r="F301" s="912">
        <v>151.70443725585901</v>
      </c>
      <c r="G301" s="912">
        <v>172.23597717285199</v>
      </c>
      <c r="H301" s="912">
        <v>186.63681030273401</v>
      </c>
      <c r="I301" s="912">
        <v>200.19924926757801</v>
      </c>
      <c r="J301" s="912">
        <v>207.03741455078099</v>
      </c>
      <c r="K301" s="912">
        <v>213.45352172851599</v>
      </c>
      <c r="L301" s="912">
        <v>218.62767028808599</v>
      </c>
      <c r="M301" s="912">
        <v>224.29528808593801</v>
      </c>
      <c r="N301" s="912">
        <v>229.96401977539099</v>
      </c>
      <c r="O301" s="912">
        <v>233.76069641113301</v>
      </c>
      <c r="P301" s="912">
        <v>239.065841674805</v>
      </c>
      <c r="Q301" s="912">
        <v>241.45851135253901</v>
      </c>
      <c r="R301" s="912">
        <v>242.383544921875</v>
      </c>
      <c r="S301" s="912">
        <v>242.41815185546901</v>
      </c>
      <c r="T301" s="912">
        <v>242.89247131347699</v>
      </c>
      <c r="U301" s="912">
        <v>240.916915893555</v>
      </c>
      <c r="V301" s="912">
        <v>241.41357421875</v>
      </c>
      <c r="W301" s="912">
        <v>242.50785827636699</v>
      </c>
      <c r="X301" s="912">
        <v>244.85752868652301</v>
      </c>
      <c r="Y301" s="912">
        <v>245.86729431152301</v>
      </c>
      <c r="Z301" s="912">
        <v>245.87216186523401</v>
      </c>
      <c r="AA301" s="306"/>
      <c r="AB301" s="306"/>
      <c r="AC301" s="306"/>
      <c r="AD301" s="306"/>
    </row>
    <row r="302" spans="1:30" x14ac:dyDescent="0.25">
      <c r="A302" s="910" t="s">
        <v>487</v>
      </c>
      <c r="B302" s="912">
        <v>564.62982177734398</v>
      </c>
      <c r="C302" s="912">
        <v>596.84759521484398</v>
      </c>
      <c r="D302" s="912">
        <v>693.65460205078102</v>
      </c>
      <c r="E302" s="912">
        <v>393.76574707031301</v>
      </c>
      <c r="F302" s="912">
        <v>430.90808105468801</v>
      </c>
      <c r="G302" s="912">
        <v>516.84307861328102</v>
      </c>
      <c r="H302" s="912">
        <v>568.141357421875</v>
      </c>
      <c r="I302" s="912">
        <v>610.89111328125</v>
      </c>
      <c r="J302" s="912">
        <v>646.41064453125</v>
      </c>
      <c r="K302" s="912">
        <v>676.39013671875</v>
      </c>
      <c r="L302" s="912">
        <v>696.72686767578102</v>
      </c>
      <c r="M302" s="912">
        <v>719.33160400390602</v>
      </c>
      <c r="N302" s="912">
        <v>737.13671875</v>
      </c>
      <c r="O302" s="912">
        <v>750.27301025390602</v>
      </c>
      <c r="P302" s="912">
        <v>759.33123779296898</v>
      </c>
      <c r="Q302" s="912">
        <v>760.33734130859398</v>
      </c>
      <c r="R302" s="912">
        <v>761.04602050781295</v>
      </c>
      <c r="S302" s="912">
        <v>771.55059814453102</v>
      </c>
      <c r="T302" s="912">
        <v>780.57421875</v>
      </c>
      <c r="U302" s="912">
        <v>783.147216796875</v>
      </c>
      <c r="V302" s="912">
        <v>796.70227050781295</v>
      </c>
      <c r="W302" s="912">
        <v>794.56842041015602</v>
      </c>
      <c r="X302" s="912">
        <v>811.39251708984398</v>
      </c>
      <c r="Y302" s="912">
        <v>832.07995605468795</v>
      </c>
      <c r="Z302" s="912">
        <v>835.36431884765602</v>
      </c>
      <c r="AA302" s="306"/>
      <c r="AB302" s="306"/>
      <c r="AC302" s="306"/>
      <c r="AD302" s="306"/>
    </row>
    <row r="303" spans="1:30" x14ac:dyDescent="0.25">
      <c r="A303" s="910" t="s">
        <v>516</v>
      </c>
      <c r="B303" s="912">
        <v>1182.09375</v>
      </c>
      <c r="C303" s="912">
        <v>1235.02709960938</v>
      </c>
      <c r="D303" s="912">
        <v>1375.6796875</v>
      </c>
      <c r="E303" s="912">
        <v>962.87518310546898</v>
      </c>
      <c r="F303" s="912">
        <v>955.04846191406295</v>
      </c>
      <c r="G303" s="912">
        <v>1077.86633300781</v>
      </c>
      <c r="H303" s="912">
        <v>1148.54699707031</v>
      </c>
      <c r="I303" s="912">
        <v>1207.94384765625</v>
      </c>
      <c r="J303" s="912">
        <v>1257.74011230469</v>
      </c>
      <c r="K303" s="912">
        <v>1300.96545410156</v>
      </c>
      <c r="L303" s="912">
        <v>1336.14599609375</v>
      </c>
      <c r="M303" s="912">
        <v>1374.056640625</v>
      </c>
      <c r="N303" s="912">
        <v>1407.96081542969</v>
      </c>
      <c r="O303" s="912">
        <v>1434.26879882813</v>
      </c>
      <c r="P303" s="912">
        <v>1460.109375</v>
      </c>
      <c r="Q303" s="912">
        <v>1472.62280273438</v>
      </c>
      <c r="R303" s="912">
        <v>1481.71179199219</v>
      </c>
      <c r="S303" s="912">
        <v>1495.50146484375</v>
      </c>
      <c r="T303" s="912">
        <v>1511.28991699219</v>
      </c>
      <c r="U303" s="912">
        <v>1515.76086425781</v>
      </c>
      <c r="V303" s="912">
        <v>1537.984375</v>
      </c>
      <c r="W303" s="912">
        <v>1548.59838867188</v>
      </c>
      <c r="X303" s="912">
        <v>1581.01184082031</v>
      </c>
      <c r="Y303" s="912">
        <v>1613.3525390625</v>
      </c>
      <c r="Z303" s="912">
        <v>1627.90478515625</v>
      </c>
      <c r="AA303" s="306"/>
      <c r="AB303" s="306"/>
      <c r="AC303" s="306"/>
      <c r="AD303" s="306"/>
    </row>
    <row r="304" spans="1:30" x14ac:dyDescent="0.25">
      <c r="A304" s="910" t="s">
        <v>629</v>
      </c>
      <c r="B304" s="912">
        <v>3.2131362706422799E-2</v>
      </c>
      <c r="C304" s="912">
        <v>4.0145620703697198E-2</v>
      </c>
      <c r="D304" s="912">
        <v>3.7687420845031697E-2</v>
      </c>
      <c r="E304" s="912">
        <v>2.54867300391197E-2</v>
      </c>
      <c r="F304" s="912">
        <v>5.4010055959224701E-2</v>
      </c>
      <c r="G304" s="912">
        <v>6.77362531423569E-2</v>
      </c>
      <c r="H304" s="912">
        <v>8.3178348839283003E-2</v>
      </c>
      <c r="I304" s="912">
        <v>9.4869345426559407E-2</v>
      </c>
      <c r="J304" s="912">
        <v>0.113030456006527</v>
      </c>
      <c r="K304" s="912">
        <v>1.97330021858215</v>
      </c>
      <c r="L304" s="912">
        <v>4.8567194938659703</v>
      </c>
      <c r="M304" s="912">
        <v>6.7303171157836896</v>
      </c>
      <c r="N304" s="912">
        <v>10.514961242675801</v>
      </c>
      <c r="O304" s="912">
        <v>15.7356252670288</v>
      </c>
      <c r="P304" s="912">
        <v>22.100711822509801</v>
      </c>
      <c r="Q304" s="912">
        <v>25.9892463684082</v>
      </c>
      <c r="R304" s="912">
        <v>35.539012908935497</v>
      </c>
      <c r="S304" s="912">
        <v>35.597633361816399</v>
      </c>
      <c r="T304" s="912">
        <v>34.1677055358887</v>
      </c>
      <c r="U304" s="912">
        <v>35.613494873046903</v>
      </c>
      <c r="V304" s="912">
        <v>37.140151977539098</v>
      </c>
      <c r="W304" s="912">
        <v>45.276290893554702</v>
      </c>
      <c r="X304" s="912">
        <v>47.974498748779297</v>
      </c>
      <c r="Y304" s="912">
        <v>53.190200805664098</v>
      </c>
      <c r="Z304" s="912">
        <v>54.179977416992202</v>
      </c>
      <c r="AA304" s="306"/>
      <c r="AB304" s="306"/>
      <c r="AC304" s="306"/>
      <c r="AD304" s="306"/>
    </row>
    <row r="305" spans="1:30" x14ac:dyDescent="0.25">
      <c r="A305" s="910" t="s">
        <v>518</v>
      </c>
      <c r="B305" s="912">
        <v>1182.12585449219</v>
      </c>
      <c r="C305" s="912">
        <v>1235.06726074219</v>
      </c>
      <c r="D305" s="912">
        <v>1375.71740722656</v>
      </c>
      <c r="E305" s="912">
        <v>962.90069580078102</v>
      </c>
      <c r="F305" s="912">
        <v>955.10247802734398</v>
      </c>
      <c r="G305" s="912">
        <v>1077.93408203125</v>
      </c>
      <c r="H305" s="912">
        <v>1148.63012695313</v>
      </c>
      <c r="I305" s="912">
        <v>1208.03869628906</v>
      </c>
      <c r="J305" s="912">
        <v>1257.85314941406</v>
      </c>
      <c r="K305" s="912">
        <v>1302.93872070313</v>
      </c>
      <c r="L305" s="912">
        <v>1341.00268554688</v>
      </c>
      <c r="M305" s="912">
        <v>1380.78698730469</v>
      </c>
      <c r="N305" s="912">
        <v>1418.47583007813</v>
      </c>
      <c r="O305" s="912">
        <v>1450.00439453125</v>
      </c>
      <c r="P305" s="912">
        <v>1482.21008300781</v>
      </c>
      <c r="Q305" s="912">
        <v>1498.61206054688</v>
      </c>
      <c r="R305" s="912">
        <v>1517.25085449219</v>
      </c>
      <c r="S305" s="912">
        <v>1531.09912109375</v>
      </c>
      <c r="T305" s="912">
        <v>1545.45764160156</v>
      </c>
      <c r="U305" s="912">
        <v>1551.37438964844</v>
      </c>
      <c r="V305" s="912">
        <v>1575.12451171875</v>
      </c>
      <c r="W305" s="912">
        <v>1593.87463378906</v>
      </c>
      <c r="X305" s="912">
        <v>1628.986328125</v>
      </c>
      <c r="Y305" s="912">
        <v>1666.54272460938</v>
      </c>
      <c r="Z305" s="912">
        <v>1682.08471679688</v>
      </c>
      <c r="AA305" s="306"/>
      <c r="AB305" s="306"/>
      <c r="AC305" s="306"/>
      <c r="AD305" s="306"/>
    </row>
    <row r="306" spans="1:30" x14ac:dyDescent="0.25">
      <c r="AA306" s="306"/>
      <c r="AB306" s="306"/>
      <c r="AC306" s="306"/>
      <c r="AD306" s="306"/>
    </row>
    <row r="307" spans="1:30" x14ac:dyDescent="0.25">
      <c r="AA307" s="306"/>
      <c r="AB307" s="306"/>
      <c r="AC307" s="306"/>
      <c r="AD307" s="306"/>
    </row>
    <row r="308" spans="1:30" x14ac:dyDescent="0.25">
      <c r="A308" s="910" t="s">
        <v>726</v>
      </c>
      <c r="AA308" s="306"/>
      <c r="AB308" s="306"/>
      <c r="AC308" s="306"/>
      <c r="AD308" s="306"/>
    </row>
    <row r="309" spans="1:30" x14ac:dyDescent="0.25">
      <c r="A309" s="910" t="s">
        <v>473</v>
      </c>
      <c r="AA309" s="306"/>
      <c r="AB309" s="306"/>
      <c r="AC309" s="306"/>
      <c r="AD309" s="306"/>
    </row>
    <row r="310" spans="1:30" x14ac:dyDescent="0.25">
      <c r="A310" s="910" t="s">
        <v>609</v>
      </c>
      <c r="B310" s="912">
        <v>23.2563285827637</v>
      </c>
      <c r="C310" s="912">
        <v>24.973464965820298</v>
      </c>
      <c r="D310" s="912">
        <v>29.096658706665</v>
      </c>
      <c r="E310" s="912">
        <v>22.194786071777301</v>
      </c>
      <c r="F310" s="912">
        <v>21.477947235107401</v>
      </c>
      <c r="G310" s="912">
        <v>24.1509113311768</v>
      </c>
      <c r="H310" s="912">
        <v>26.557428359985401</v>
      </c>
      <c r="I310" s="912">
        <v>28.936630249023398</v>
      </c>
      <c r="J310" s="912">
        <v>31.2247924804688</v>
      </c>
      <c r="K310" s="912">
        <v>33.758499145507798</v>
      </c>
      <c r="L310" s="912">
        <v>35.743316650390597</v>
      </c>
      <c r="M310" s="912">
        <v>37.599853515625</v>
      </c>
      <c r="N310" s="912">
        <v>39.552177429199197</v>
      </c>
      <c r="O310" s="912">
        <v>40.9905815124512</v>
      </c>
      <c r="P310" s="912">
        <v>42.334590911865199</v>
      </c>
      <c r="Q310" s="912">
        <v>43.7123832702637</v>
      </c>
      <c r="R310" s="912">
        <v>44.985881805419901</v>
      </c>
      <c r="S310" s="912">
        <v>46.523696899414098</v>
      </c>
      <c r="T310" s="912">
        <v>47.765018463134801</v>
      </c>
      <c r="U310" s="912">
        <v>48.143123626708999</v>
      </c>
      <c r="V310" s="912">
        <v>49.548942565917997</v>
      </c>
      <c r="W310" s="912">
        <v>50.986961364746101</v>
      </c>
      <c r="X310" s="912">
        <v>52.580905914306598</v>
      </c>
      <c r="Y310" s="912">
        <v>53.965934753417997</v>
      </c>
      <c r="Z310" s="912">
        <v>55.648300170898402</v>
      </c>
      <c r="AA310" s="306"/>
      <c r="AB310" s="306"/>
      <c r="AC310" s="306"/>
      <c r="AD310" s="306"/>
    </row>
    <row r="311" spans="1:30" x14ac:dyDescent="0.25">
      <c r="A311" s="910" t="s">
        <v>610</v>
      </c>
      <c r="B311" s="912">
        <v>17.979913711547901</v>
      </c>
      <c r="C311" s="912">
        <v>19.664405822753899</v>
      </c>
      <c r="D311" s="912">
        <v>24.466548919677699</v>
      </c>
      <c r="E311" s="912">
        <v>16.188474655151399</v>
      </c>
      <c r="F311" s="912">
        <v>13.8549404144287</v>
      </c>
      <c r="G311" s="912">
        <v>16.4927158355713</v>
      </c>
      <c r="H311" s="912">
        <v>18.5955104827881</v>
      </c>
      <c r="I311" s="912">
        <v>20.348911285400401</v>
      </c>
      <c r="J311" s="912">
        <v>22.1809597015381</v>
      </c>
      <c r="K311" s="912">
        <v>24.3712253570557</v>
      </c>
      <c r="L311" s="912">
        <v>25.9372863769531</v>
      </c>
      <c r="M311" s="912">
        <v>27.5034885406494</v>
      </c>
      <c r="N311" s="912">
        <v>29.0146675109863</v>
      </c>
      <c r="O311" s="912">
        <v>30.168525695800799</v>
      </c>
      <c r="P311" s="912">
        <v>31.2883205413818</v>
      </c>
      <c r="Q311" s="912">
        <v>32.275276184082003</v>
      </c>
      <c r="R311" s="912">
        <v>33.246475219726598</v>
      </c>
      <c r="S311" s="912">
        <v>34.4459838867188</v>
      </c>
      <c r="T311" s="912">
        <v>35.640113830566399</v>
      </c>
      <c r="U311" s="912">
        <v>35.882171630859403</v>
      </c>
      <c r="V311" s="912">
        <v>37.065284729003899</v>
      </c>
      <c r="W311" s="912">
        <v>38.310382843017599</v>
      </c>
      <c r="X311" s="912">
        <v>39.641868591308601</v>
      </c>
      <c r="Y311" s="912">
        <v>40.905982971191399</v>
      </c>
      <c r="Z311" s="912">
        <v>42.365245819091797</v>
      </c>
      <c r="AA311" s="306"/>
      <c r="AB311" s="306"/>
      <c r="AC311" s="306"/>
      <c r="AD311" s="306"/>
    </row>
    <row r="312" spans="1:30" x14ac:dyDescent="0.25">
      <c r="A312" s="910" t="s">
        <v>510</v>
      </c>
      <c r="B312" s="912">
        <v>13.3406887054443</v>
      </c>
      <c r="C312" s="912">
        <v>12.691158294677701</v>
      </c>
      <c r="D312" s="912">
        <v>13.2631158828735</v>
      </c>
      <c r="E312" s="912">
        <v>11.061133384704601</v>
      </c>
      <c r="F312" s="912">
        <v>11.614992141723601</v>
      </c>
      <c r="G312" s="912">
        <v>12.061012268066399</v>
      </c>
      <c r="H312" s="912">
        <v>12.1186227798462</v>
      </c>
      <c r="I312" s="912">
        <v>12.236530303955099</v>
      </c>
      <c r="J312" s="912">
        <v>12.476335525512701</v>
      </c>
      <c r="K312" s="912">
        <v>12.8177757263184</v>
      </c>
      <c r="L312" s="912">
        <v>13.333586692810099</v>
      </c>
      <c r="M312" s="912">
        <v>13.900782585144</v>
      </c>
      <c r="N312" s="912">
        <v>14.492022514343301</v>
      </c>
      <c r="O312" s="912">
        <v>15.1641521453857</v>
      </c>
      <c r="P312" s="912">
        <v>15.945101737976101</v>
      </c>
      <c r="Q312" s="912">
        <v>16.661958694458001</v>
      </c>
      <c r="R312" s="912">
        <v>17.186347961425799</v>
      </c>
      <c r="S312" s="912">
        <v>17.308622360229499</v>
      </c>
      <c r="T312" s="912">
        <v>17.6488857269287</v>
      </c>
      <c r="U312" s="912">
        <v>17.9868679046631</v>
      </c>
      <c r="V312" s="912">
        <v>18.635103225708001</v>
      </c>
      <c r="W312" s="912">
        <v>19.4500408172607</v>
      </c>
      <c r="X312" s="912">
        <v>20.3657627105713</v>
      </c>
      <c r="Y312" s="912">
        <v>21.1996364593506</v>
      </c>
      <c r="Z312" s="912">
        <v>22.095756530761701</v>
      </c>
      <c r="AA312" s="306"/>
      <c r="AB312" s="306"/>
      <c r="AC312" s="306"/>
      <c r="AD312" s="306"/>
    </row>
    <row r="313" spans="1:30" x14ac:dyDescent="0.25">
      <c r="A313" s="910" t="s">
        <v>479</v>
      </c>
      <c r="B313" s="912">
        <v>30.388185501098601</v>
      </c>
      <c r="C313" s="912">
        <v>31.181957244873001</v>
      </c>
      <c r="D313" s="912">
        <v>32.471218109130902</v>
      </c>
      <c r="E313" s="912">
        <v>31.722009658813501</v>
      </c>
      <c r="F313" s="912">
        <v>29.6958332061768</v>
      </c>
      <c r="G313" s="912">
        <v>31.365653991699201</v>
      </c>
      <c r="H313" s="912">
        <v>32.001548767089801</v>
      </c>
      <c r="I313" s="912">
        <v>32.924289703369098</v>
      </c>
      <c r="J313" s="912">
        <v>34.030689239502003</v>
      </c>
      <c r="K313" s="912">
        <v>34.890899658203097</v>
      </c>
      <c r="L313" s="912">
        <v>35.995761871337898</v>
      </c>
      <c r="M313" s="912">
        <v>37.227577209472699</v>
      </c>
      <c r="N313" s="912">
        <v>38.5026245117188</v>
      </c>
      <c r="O313" s="912">
        <v>39.672031402587898</v>
      </c>
      <c r="P313" s="912">
        <v>41.180412292480497</v>
      </c>
      <c r="Q313" s="912">
        <v>42.698352813720703</v>
      </c>
      <c r="R313" s="912">
        <v>44.053905487060497</v>
      </c>
      <c r="S313" s="912">
        <v>45.011627197265597</v>
      </c>
      <c r="T313" s="912">
        <v>46.023651123046903</v>
      </c>
      <c r="U313" s="912">
        <v>46.971866607666001</v>
      </c>
      <c r="V313" s="912">
        <v>48.032154083252003</v>
      </c>
      <c r="W313" s="912">
        <v>49.565544128417997</v>
      </c>
      <c r="X313" s="912">
        <v>51.240451812744098</v>
      </c>
      <c r="Y313" s="912">
        <v>52.949665069580099</v>
      </c>
      <c r="Z313" s="912">
        <v>54.583251953125</v>
      </c>
      <c r="AA313" s="306"/>
      <c r="AB313" s="306"/>
      <c r="AC313" s="306"/>
      <c r="AD313" s="306"/>
    </row>
    <row r="314" spans="1:30" x14ac:dyDescent="0.25">
      <c r="AA314" s="306"/>
      <c r="AB314" s="306"/>
      <c r="AC314" s="306"/>
      <c r="AD314" s="306"/>
    </row>
    <row r="315" spans="1:30" x14ac:dyDescent="0.25">
      <c r="A315" s="910" t="s">
        <v>480</v>
      </c>
      <c r="AA315" s="306"/>
      <c r="AB315" s="306"/>
      <c r="AC315" s="306"/>
      <c r="AD315" s="306"/>
    </row>
    <row r="316" spans="1:30" x14ac:dyDescent="0.25">
      <c r="A316" s="910" t="s">
        <v>609</v>
      </c>
      <c r="B316" s="912">
        <v>20.6414604187012</v>
      </c>
      <c r="C316" s="912">
        <v>23.041419982910199</v>
      </c>
      <c r="D316" s="912">
        <v>24.0578727722168</v>
      </c>
      <c r="E316" s="912">
        <v>21.6475944519043</v>
      </c>
      <c r="F316" s="912">
        <v>18.202018737793001</v>
      </c>
      <c r="G316" s="912">
        <v>20.8180141448975</v>
      </c>
      <c r="H316" s="912">
        <v>23.171899795532202</v>
      </c>
      <c r="I316" s="912">
        <v>25.4778232574463</v>
      </c>
      <c r="J316" s="912">
        <v>27.6801948547363</v>
      </c>
      <c r="K316" s="912">
        <v>30.122516632080099</v>
      </c>
      <c r="L316" s="912">
        <v>32.012001037597699</v>
      </c>
      <c r="M316" s="912">
        <v>33.770454406738303</v>
      </c>
      <c r="N316" s="912">
        <v>35.6212158203125</v>
      </c>
      <c r="O316" s="912">
        <v>36.9546508789063</v>
      </c>
      <c r="P316" s="912">
        <v>38.187240600585902</v>
      </c>
      <c r="Q316" s="912">
        <v>39.449775695800803</v>
      </c>
      <c r="R316" s="912">
        <v>40.605808258056598</v>
      </c>
      <c r="S316" s="912">
        <v>42.0293998718262</v>
      </c>
      <c r="T316" s="912">
        <v>43.160079956054702</v>
      </c>
      <c r="U316" s="912">
        <v>43.432140350341797</v>
      </c>
      <c r="V316" s="912">
        <v>44.7312202453613</v>
      </c>
      <c r="W316" s="912">
        <v>46.061283111572301</v>
      </c>
      <c r="X316" s="912">
        <v>47.542713165283203</v>
      </c>
      <c r="Y316" s="912">
        <v>48.814918518066399</v>
      </c>
      <c r="Z316" s="912">
        <v>50.382663726806598</v>
      </c>
      <c r="AA316" s="306"/>
      <c r="AB316" s="306"/>
      <c r="AC316" s="306"/>
      <c r="AD316" s="306"/>
    </row>
    <row r="317" spans="1:30" x14ac:dyDescent="0.25">
      <c r="A317" s="910" t="s">
        <v>610</v>
      </c>
      <c r="B317" s="912">
        <v>14.625953674316399</v>
      </c>
      <c r="C317" s="912">
        <v>16.054100036621101</v>
      </c>
      <c r="D317" s="912">
        <v>21.4175109863281</v>
      </c>
      <c r="E317" s="912">
        <v>14.1806936264038</v>
      </c>
      <c r="F317" s="912">
        <v>11.1656141281128</v>
      </c>
      <c r="G317" s="912">
        <v>13.940697669982899</v>
      </c>
      <c r="H317" s="912">
        <v>16.055301666259801</v>
      </c>
      <c r="I317" s="912">
        <v>18.2004089355469</v>
      </c>
      <c r="J317" s="912">
        <v>20.072311401367202</v>
      </c>
      <c r="K317" s="912">
        <v>21.922914505004901</v>
      </c>
      <c r="L317" s="912">
        <v>23.436100006103501</v>
      </c>
      <c r="M317" s="912">
        <v>24.993484497070298</v>
      </c>
      <c r="N317" s="912">
        <v>26.4673175811768</v>
      </c>
      <c r="O317" s="912">
        <v>27.614213943481399</v>
      </c>
      <c r="P317" s="912">
        <v>28.7058811187744</v>
      </c>
      <c r="Q317" s="912">
        <v>29.4854850769043</v>
      </c>
      <c r="R317" s="912">
        <v>30.5256862640381</v>
      </c>
      <c r="S317" s="912">
        <v>31.597146987915</v>
      </c>
      <c r="T317" s="912">
        <v>32.548923492431598</v>
      </c>
      <c r="U317" s="912">
        <v>32.997859954833999</v>
      </c>
      <c r="V317" s="912">
        <v>34.165657043457003</v>
      </c>
      <c r="W317" s="912">
        <v>35.000114440917997</v>
      </c>
      <c r="X317" s="912">
        <v>36.3691596984863</v>
      </c>
      <c r="Y317" s="912">
        <v>37.943679809570298</v>
      </c>
      <c r="Z317" s="912">
        <v>39.006439208984403</v>
      </c>
      <c r="AA317" s="306"/>
      <c r="AB317" s="306"/>
      <c r="AC317" s="306"/>
      <c r="AD317" s="306"/>
    </row>
    <row r="318" spans="1:30" x14ac:dyDescent="0.25">
      <c r="A318" s="910" t="s">
        <v>723</v>
      </c>
      <c r="B318" s="912">
        <v>8.64862155914307</v>
      </c>
      <c r="C318" s="912">
        <v>10.3074436187744</v>
      </c>
      <c r="D318" s="912">
        <v>13.7067270278931</v>
      </c>
      <c r="E318" s="912">
        <v>6.9139137268066397</v>
      </c>
      <c r="F318" s="912">
        <v>6.0204734802246103</v>
      </c>
      <c r="G318" s="912">
        <v>9.0269355773925799</v>
      </c>
      <c r="H318" s="912">
        <v>10.767860412597701</v>
      </c>
      <c r="I318" s="912">
        <v>12.611166954040501</v>
      </c>
      <c r="J318" s="912">
        <v>14.3083610534668</v>
      </c>
      <c r="K318" s="912">
        <v>16.269037246704102</v>
      </c>
      <c r="L318" s="912">
        <v>17.569841384887699</v>
      </c>
      <c r="M318" s="912">
        <v>18.511304855346701</v>
      </c>
      <c r="N318" s="912">
        <v>19.7891235351563</v>
      </c>
      <c r="O318" s="912">
        <v>20.573390960693398</v>
      </c>
      <c r="P318" s="912">
        <v>21.404872894287099</v>
      </c>
      <c r="Q318" s="912">
        <v>22.193275451660199</v>
      </c>
      <c r="R318" s="912">
        <v>22.9593410491943</v>
      </c>
      <c r="S318" s="912">
        <v>23.7928276062012</v>
      </c>
      <c r="T318" s="912">
        <v>24.398706436157202</v>
      </c>
      <c r="U318" s="912">
        <v>24.292516708373999</v>
      </c>
      <c r="V318" s="912">
        <v>25.0136394500732</v>
      </c>
      <c r="W318" s="912">
        <v>25.751762390136701</v>
      </c>
      <c r="X318" s="912">
        <v>26.606601715087901</v>
      </c>
      <c r="Y318" s="912">
        <v>27.4516487121582</v>
      </c>
      <c r="Z318" s="912">
        <v>28.286119461059599</v>
      </c>
      <c r="AA318" s="306"/>
      <c r="AB318" s="306"/>
      <c r="AC318" s="306"/>
      <c r="AD318" s="306"/>
    </row>
    <row r="319" spans="1:30" x14ac:dyDescent="0.25">
      <c r="A319" s="910" t="s">
        <v>510</v>
      </c>
      <c r="B319" s="912">
        <v>11.5840444564819</v>
      </c>
      <c r="C319" s="912">
        <v>10.9898433685303</v>
      </c>
      <c r="D319" s="912">
        <v>11.588038444519</v>
      </c>
      <c r="E319" s="912">
        <v>9.1930990219116193</v>
      </c>
      <c r="F319" s="912">
        <v>9.8226709365844709</v>
      </c>
      <c r="G319" s="912">
        <v>10.233100891113301</v>
      </c>
      <c r="H319" s="912">
        <v>10.334647178649901</v>
      </c>
      <c r="I319" s="912">
        <v>10.4663095474243</v>
      </c>
      <c r="J319" s="912">
        <v>10.734943389892599</v>
      </c>
      <c r="K319" s="912">
        <v>11.106437683105501</v>
      </c>
      <c r="L319" s="912">
        <v>11.600093841552701</v>
      </c>
      <c r="M319" s="912">
        <v>12.1229543685913</v>
      </c>
      <c r="N319" s="912">
        <v>12.6781578063965</v>
      </c>
      <c r="O319" s="912">
        <v>13.3144483566284</v>
      </c>
      <c r="P319" s="912">
        <v>14.069993019104</v>
      </c>
      <c r="Q319" s="912">
        <v>14.7329454421997</v>
      </c>
      <c r="R319" s="912">
        <v>15.223674774169901</v>
      </c>
      <c r="S319" s="912">
        <v>15.329276084899901</v>
      </c>
      <c r="T319" s="912">
        <v>15.6546773910522</v>
      </c>
      <c r="U319" s="912">
        <v>15.9318437576294</v>
      </c>
      <c r="V319" s="912">
        <v>16.5416469573975</v>
      </c>
      <c r="W319" s="912">
        <v>17.316057205200199</v>
      </c>
      <c r="X319" s="912">
        <v>18.194717407226602</v>
      </c>
      <c r="Y319" s="912">
        <v>18.967941284179702</v>
      </c>
      <c r="Z319" s="912">
        <v>19.811794281005898</v>
      </c>
      <c r="AA319" s="306"/>
      <c r="AB319" s="306"/>
      <c r="AC319" s="306"/>
      <c r="AD319" s="306"/>
    </row>
    <row r="320" spans="1:30" x14ac:dyDescent="0.25">
      <c r="A320" s="910" t="s">
        <v>479</v>
      </c>
      <c r="B320" s="912">
        <v>27.631908416748001</v>
      </c>
      <c r="C320" s="912">
        <v>28.029735565185501</v>
      </c>
      <c r="D320" s="912">
        <v>29.6960258483887</v>
      </c>
      <c r="E320" s="912">
        <v>28.491619110107401</v>
      </c>
      <c r="F320" s="912">
        <v>25.7724418640137</v>
      </c>
      <c r="G320" s="912">
        <v>26.858903884887699</v>
      </c>
      <c r="H320" s="912">
        <v>27.045906066894499</v>
      </c>
      <c r="I320" s="912">
        <v>27.5620422363281</v>
      </c>
      <c r="J320" s="912">
        <v>28.370775222778299</v>
      </c>
      <c r="K320" s="912">
        <v>29.106733322143601</v>
      </c>
      <c r="L320" s="912">
        <v>30.1617736816406</v>
      </c>
      <c r="M320" s="912">
        <v>31.290737152099599</v>
      </c>
      <c r="N320" s="912">
        <v>32.536418914794901</v>
      </c>
      <c r="O320" s="912">
        <v>33.661582946777301</v>
      </c>
      <c r="P320" s="912">
        <v>35.072307586669901</v>
      </c>
      <c r="Q320" s="912">
        <v>36.4632377624512</v>
      </c>
      <c r="R320" s="912">
        <v>37.713531494140597</v>
      </c>
      <c r="S320" s="912">
        <v>38.535266876220703</v>
      </c>
      <c r="T320" s="912">
        <v>39.429233551025398</v>
      </c>
      <c r="U320" s="912">
        <v>40.172752380371101</v>
      </c>
      <c r="V320" s="912">
        <v>41.0662841796875</v>
      </c>
      <c r="W320" s="912">
        <v>42.386928558349602</v>
      </c>
      <c r="X320" s="912">
        <v>43.920989990234403</v>
      </c>
      <c r="Y320" s="912">
        <v>45.4139213562012</v>
      </c>
      <c r="Z320" s="912">
        <v>46.925571441650398</v>
      </c>
      <c r="AA320" s="306"/>
      <c r="AB320" s="306"/>
      <c r="AC320" s="306"/>
      <c r="AD320" s="306"/>
    </row>
    <row r="321" spans="1:30" x14ac:dyDescent="0.25">
      <c r="AA321" s="306"/>
      <c r="AB321" s="306"/>
      <c r="AC321" s="306"/>
      <c r="AD321" s="306"/>
    </row>
    <row r="322" spans="1:30" x14ac:dyDescent="0.25">
      <c r="A322" s="910" t="s">
        <v>612</v>
      </c>
      <c r="AA322" s="306"/>
      <c r="AB322" s="306"/>
      <c r="AC322" s="306"/>
      <c r="AD322" s="306"/>
    </row>
    <row r="323" spans="1:30" x14ac:dyDescent="0.25">
      <c r="A323" s="910" t="s">
        <v>609</v>
      </c>
      <c r="B323" s="912">
        <v>20.489143371581999</v>
      </c>
      <c r="C323" s="912">
        <v>23.3795166015625</v>
      </c>
      <c r="D323" s="912">
        <v>27.232301712036101</v>
      </c>
      <c r="E323" s="912">
        <v>22.957033157348601</v>
      </c>
      <c r="F323" s="912">
        <v>17.265552520751999</v>
      </c>
      <c r="G323" s="912">
        <v>19.8652458190918</v>
      </c>
      <c r="H323" s="912">
        <v>22.207704544067401</v>
      </c>
      <c r="I323" s="912">
        <v>24.495702743530298</v>
      </c>
      <c r="J323" s="912">
        <v>26.6714878082275</v>
      </c>
      <c r="K323" s="912">
        <v>29.0830192565918</v>
      </c>
      <c r="L323" s="912">
        <v>30.951156616210898</v>
      </c>
      <c r="M323" s="912">
        <v>32.690711975097699</v>
      </c>
      <c r="N323" s="912">
        <v>34.514808654785199</v>
      </c>
      <c r="O323" s="912">
        <v>35.846107482910199</v>
      </c>
      <c r="P323" s="912">
        <v>37.040077209472699</v>
      </c>
      <c r="Q323" s="912">
        <v>38.301750183105497</v>
      </c>
      <c r="R323" s="912">
        <v>39.421558380127003</v>
      </c>
      <c r="S323" s="912">
        <v>40.814861297607401</v>
      </c>
      <c r="T323" s="912">
        <v>41.884078979492202</v>
      </c>
      <c r="U323" s="912">
        <v>42.155609130859403</v>
      </c>
      <c r="V323" s="912">
        <v>43.402267456054702</v>
      </c>
      <c r="W323" s="912">
        <v>44.705905914306598</v>
      </c>
      <c r="X323" s="912">
        <v>46.153343200683601</v>
      </c>
      <c r="Y323" s="912">
        <v>47.236614227294901</v>
      </c>
      <c r="Z323" s="912">
        <v>48.820529937744098</v>
      </c>
      <c r="AA323" s="306"/>
      <c r="AB323" s="306"/>
      <c r="AC323" s="306"/>
      <c r="AD323" s="306"/>
    </row>
    <row r="324" spans="1:30" x14ac:dyDescent="0.25">
      <c r="A324" s="910" t="s">
        <v>610</v>
      </c>
      <c r="B324" s="912">
        <v>15.3226671218872</v>
      </c>
      <c r="C324" s="912">
        <v>16.8219394683838</v>
      </c>
      <c r="D324" s="912">
        <v>22.4200763702393</v>
      </c>
      <c r="E324" s="912">
        <v>14.749831199646</v>
      </c>
      <c r="F324" s="912">
        <v>11.025536537170399</v>
      </c>
      <c r="G324" s="912">
        <v>14.0721025466919</v>
      </c>
      <c r="H324" s="912">
        <v>16.2283020019531</v>
      </c>
      <c r="I324" s="912">
        <v>18.6841716766357</v>
      </c>
      <c r="J324" s="912">
        <v>20.619239807128899</v>
      </c>
      <c r="K324" s="912">
        <v>22.302150726318398</v>
      </c>
      <c r="L324" s="912">
        <v>23.831027984619102</v>
      </c>
      <c r="M324" s="912">
        <v>25.434989929199201</v>
      </c>
      <c r="N324" s="912">
        <v>26.940843582153299</v>
      </c>
      <c r="O324" s="912">
        <v>28.1489963531494</v>
      </c>
      <c r="P324" s="912">
        <v>29.2844352722168</v>
      </c>
      <c r="Q324" s="912">
        <v>29.987220764160199</v>
      </c>
      <c r="R324" s="912">
        <v>31.1475830078125</v>
      </c>
      <c r="S324" s="912">
        <v>32.191192626953097</v>
      </c>
      <c r="T324" s="912">
        <v>33.043167114257798</v>
      </c>
      <c r="U324" s="912">
        <v>33.6753120422363</v>
      </c>
      <c r="V324" s="912">
        <v>34.892765045166001</v>
      </c>
      <c r="W324" s="912">
        <v>35.508182525634801</v>
      </c>
      <c r="X324" s="912">
        <v>36.966400146484403</v>
      </c>
      <c r="Y324" s="912">
        <v>38.821296691894503</v>
      </c>
      <c r="Z324" s="912">
        <v>39.679729461669901</v>
      </c>
      <c r="AA324" s="306"/>
      <c r="AB324" s="306"/>
      <c r="AC324" s="306"/>
      <c r="AD324" s="306"/>
    </row>
    <row r="325" spans="1:30" x14ac:dyDescent="0.25">
      <c r="A325" s="910" t="s">
        <v>611</v>
      </c>
      <c r="B325" s="912">
        <v>8.9709205627441406</v>
      </c>
      <c r="C325" s="912">
        <v>10.5954837799072</v>
      </c>
      <c r="D325" s="912">
        <v>14.049506187439</v>
      </c>
      <c r="E325" s="912">
        <v>7.1343002319335902</v>
      </c>
      <c r="F325" s="912">
        <v>10.215766906738301</v>
      </c>
      <c r="G325" s="912">
        <v>12.8617763519287</v>
      </c>
      <c r="H325" s="912">
        <v>14.814771652221699</v>
      </c>
      <c r="I325" s="912">
        <v>16.696189880371101</v>
      </c>
      <c r="J325" s="912">
        <v>18.396284103393601</v>
      </c>
      <c r="K325" s="912">
        <v>20.378862380981399</v>
      </c>
      <c r="L325" s="912">
        <v>21.7460041046143</v>
      </c>
      <c r="M325" s="912">
        <v>22.969861984252901</v>
      </c>
      <c r="N325" s="912">
        <v>24.3396511077881</v>
      </c>
      <c r="O325" s="912">
        <v>25.3345756530762</v>
      </c>
      <c r="P325" s="912">
        <v>26.3205471038818</v>
      </c>
      <c r="Q325" s="912">
        <v>27.310920715331999</v>
      </c>
      <c r="R325" s="912">
        <v>28.174968719482401</v>
      </c>
      <c r="S325" s="912">
        <v>29.129919052123999</v>
      </c>
      <c r="T325" s="912">
        <v>29.910713195800799</v>
      </c>
      <c r="U325" s="912">
        <v>30.004579544067401</v>
      </c>
      <c r="V325" s="912">
        <v>30.867444992065401</v>
      </c>
      <c r="W325" s="912">
        <v>31.741449356079102</v>
      </c>
      <c r="X325" s="912">
        <v>32.901214599609403</v>
      </c>
      <c r="Y325" s="912">
        <v>33.791465759277301</v>
      </c>
      <c r="Z325" s="912">
        <v>34.9404487609863</v>
      </c>
      <c r="AA325" s="306"/>
      <c r="AB325" s="306"/>
      <c r="AC325" s="306"/>
      <c r="AD325" s="306"/>
    </row>
    <row r="326" spans="1:30" x14ac:dyDescent="0.25">
      <c r="A326" s="910" t="s">
        <v>613</v>
      </c>
      <c r="B326" s="912">
        <v>7.7454247474670401</v>
      </c>
      <c r="C326" s="912">
        <v>7.5152516365051296</v>
      </c>
      <c r="D326" s="912">
        <v>8.9947338104247994</v>
      </c>
      <c r="E326" s="912">
        <v>5.0039734840393102</v>
      </c>
      <c r="F326" s="912">
        <v>5.7063522338867196</v>
      </c>
      <c r="G326" s="912">
        <v>6.1171517372131303</v>
      </c>
      <c r="H326" s="912">
        <v>6.2487673759460396</v>
      </c>
      <c r="I326" s="912">
        <v>6.4428400993347203</v>
      </c>
      <c r="J326" s="912">
        <v>6.7520828247070304</v>
      </c>
      <c r="K326" s="912">
        <v>7.1508984565734899</v>
      </c>
      <c r="L326" s="912">
        <v>7.5258989334106401</v>
      </c>
      <c r="M326" s="912">
        <v>7.9240221977233896</v>
      </c>
      <c r="N326" s="912">
        <v>8.3488731384277308</v>
      </c>
      <c r="O326" s="912">
        <v>8.8619937896728498</v>
      </c>
      <c r="P326" s="912">
        <v>9.4837093353271502</v>
      </c>
      <c r="Q326" s="912">
        <v>9.9987487792968803</v>
      </c>
      <c r="R326" s="912">
        <v>10.352954864501999</v>
      </c>
      <c r="S326" s="912">
        <v>10.3336448669434</v>
      </c>
      <c r="T326" s="912">
        <v>10.549848556518601</v>
      </c>
      <c r="U326" s="912">
        <v>10.6489877700806</v>
      </c>
      <c r="V326" s="912">
        <v>11.076291084289601</v>
      </c>
      <c r="W326" s="912">
        <v>11.6912574768066</v>
      </c>
      <c r="X326" s="912">
        <v>12.4464559555054</v>
      </c>
      <c r="Y326" s="912">
        <v>13.0579080581665</v>
      </c>
      <c r="Z326" s="912">
        <v>13.758059501647899</v>
      </c>
      <c r="AA326" s="306"/>
      <c r="AB326" s="306"/>
      <c r="AC326" s="306"/>
      <c r="AD326" s="306"/>
    </row>
    <row r="327" spans="1:30" x14ac:dyDescent="0.25">
      <c r="A327" s="910" t="s">
        <v>614</v>
      </c>
      <c r="B327" s="912">
        <v>3.53999996185303</v>
      </c>
      <c r="C327" s="912">
        <v>3.6099998950958301</v>
      </c>
      <c r="D327" s="912">
        <v>4.1449666023254403</v>
      </c>
      <c r="E327" s="912">
        <v>4.1784791946411097</v>
      </c>
      <c r="F327" s="912">
        <v>4.1485314369201696</v>
      </c>
      <c r="G327" s="912">
        <v>4.3175525665283203</v>
      </c>
      <c r="H327" s="912">
        <v>4.44484186172485</v>
      </c>
      <c r="I327" s="912">
        <v>4.5821456909179696</v>
      </c>
      <c r="J327" s="912">
        <v>4.7206311225891104</v>
      </c>
      <c r="K327" s="912">
        <v>4.8563599586486799</v>
      </c>
      <c r="L327" s="912">
        <v>4.9913563728332502</v>
      </c>
      <c r="M327" s="912">
        <v>5.1233406066894496</v>
      </c>
      <c r="N327" s="912">
        <v>5.2680139541626003</v>
      </c>
      <c r="O327" s="912">
        <v>5.4137320518493697</v>
      </c>
      <c r="P327" s="912">
        <v>5.5743689537048304</v>
      </c>
      <c r="Q327" s="912">
        <v>5.7906579971313503</v>
      </c>
      <c r="R327" s="912">
        <v>6.0209679603576696</v>
      </c>
      <c r="S327" s="912">
        <v>6.20045709609985</v>
      </c>
      <c r="T327" s="912">
        <v>6.3775997161865199</v>
      </c>
      <c r="U327" s="912">
        <v>6.5161404609680202</v>
      </c>
      <c r="V327" s="912">
        <v>6.6299972534179696</v>
      </c>
      <c r="W327" s="912">
        <v>6.7667918205261204</v>
      </c>
      <c r="X327" s="912">
        <v>6.88553714752197</v>
      </c>
      <c r="Y327" s="912">
        <v>6.9704546928405797</v>
      </c>
      <c r="Z327" s="912">
        <v>7.0137753486633301</v>
      </c>
    </row>
    <row r="328" spans="1:30" x14ac:dyDescent="0.25">
      <c r="A328" s="910" t="s">
        <v>615</v>
      </c>
      <c r="B328" s="912">
        <v>2.3399634361267099</v>
      </c>
      <c r="C328" s="912">
        <v>2.4299483299255402</v>
      </c>
      <c r="D328" s="912">
        <v>2.5979068279266402</v>
      </c>
      <c r="E328" s="912">
        <v>2.52754878997803</v>
      </c>
      <c r="F328" s="912">
        <v>2.4808654785156299</v>
      </c>
      <c r="G328" s="912">
        <v>2.6002757549285902</v>
      </c>
      <c r="H328" s="912">
        <v>2.6509947776794398</v>
      </c>
      <c r="I328" s="912">
        <v>2.73208808898926</v>
      </c>
      <c r="J328" s="912">
        <v>2.8122007846832302</v>
      </c>
      <c r="K328" s="912">
        <v>2.8687095642089799</v>
      </c>
      <c r="L328" s="912">
        <v>2.94158983230591</v>
      </c>
      <c r="M328" s="912">
        <v>3.0178208351135298</v>
      </c>
      <c r="N328" s="912">
        <v>3.1028199195861799</v>
      </c>
      <c r="O328" s="912">
        <v>3.17316722869873</v>
      </c>
      <c r="P328" s="912">
        <v>3.2616541385650599</v>
      </c>
      <c r="Q328" s="912">
        <v>3.3479356765747101</v>
      </c>
      <c r="R328" s="912">
        <v>3.4371068477630602</v>
      </c>
      <c r="S328" s="912">
        <v>3.5193088054657</v>
      </c>
      <c r="T328" s="912">
        <v>3.6053638458252002</v>
      </c>
      <c r="U328" s="912">
        <v>3.6816923618316699</v>
      </c>
      <c r="V328" s="912">
        <v>3.7800858020782502</v>
      </c>
      <c r="W328" s="912">
        <v>3.88063645362854</v>
      </c>
      <c r="X328" s="912">
        <v>3.98858737945557</v>
      </c>
      <c r="Y328" s="912">
        <v>4.1003923416137704</v>
      </c>
      <c r="Z328" s="912">
        <v>4.2166938781738299</v>
      </c>
    </row>
    <row r="329" spans="1:30" x14ac:dyDescent="0.25">
      <c r="A329" s="910" t="s">
        <v>616</v>
      </c>
      <c r="B329" s="912">
        <v>0</v>
      </c>
      <c r="C329" s="912">
        <v>0</v>
      </c>
      <c r="D329" s="912">
        <v>0</v>
      </c>
      <c r="E329" s="912">
        <v>0</v>
      </c>
      <c r="F329" s="912">
        <v>0</v>
      </c>
      <c r="G329" s="912">
        <v>1.5889266729354901</v>
      </c>
      <c r="H329" s="912">
        <v>1.46094393730164</v>
      </c>
      <c r="I329" s="912">
        <v>1.28843116760254</v>
      </c>
      <c r="J329" s="912">
        <v>1.5101318359375</v>
      </c>
      <c r="K329" s="912">
        <v>1.50810551643372</v>
      </c>
      <c r="L329" s="912">
        <v>1.5213859081268299</v>
      </c>
      <c r="M329" s="912">
        <v>1.53951179981232</v>
      </c>
      <c r="N329" s="912">
        <v>1.58338570594788</v>
      </c>
      <c r="O329" s="912">
        <v>1.63723039627075</v>
      </c>
      <c r="P329" s="912">
        <v>1.71289122104645</v>
      </c>
      <c r="Q329" s="912">
        <v>1.76114201545715</v>
      </c>
      <c r="R329" s="912">
        <v>1.8119050264358501</v>
      </c>
      <c r="S329" s="912">
        <v>1.8629466295242301</v>
      </c>
      <c r="T329" s="912">
        <v>1.9169825315475499</v>
      </c>
      <c r="U329" s="912">
        <v>1.9466364383697501</v>
      </c>
      <c r="V329" s="912">
        <v>1.9911848306655899</v>
      </c>
      <c r="W329" s="912">
        <v>2.0416746139526398</v>
      </c>
      <c r="X329" s="912">
        <v>2.09020328521729</v>
      </c>
      <c r="Y329" s="912">
        <v>2.1373581886291499</v>
      </c>
      <c r="Z329" s="912">
        <v>2.1847438812255899</v>
      </c>
    </row>
    <row r="330" spans="1:30" x14ac:dyDescent="0.25">
      <c r="A330" s="910" t="s">
        <v>479</v>
      </c>
      <c r="B330" s="912">
        <v>17.918214797973601</v>
      </c>
      <c r="C330" s="912">
        <v>18.6226921081543</v>
      </c>
      <c r="D330" s="912">
        <v>20.7813816070557</v>
      </c>
      <c r="E330" s="912">
        <v>19.773582458496101</v>
      </c>
      <c r="F330" s="912">
        <v>17.462970733642599</v>
      </c>
      <c r="G330" s="912">
        <v>18.126573562622099</v>
      </c>
      <c r="H330" s="912">
        <v>18.238889694213899</v>
      </c>
      <c r="I330" s="912">
        <v>18.4867153167725</v>
      </c>
      <c r="J330" s="912">
        <v>19.006654739379901</v>
      </c>
      <c r="K330" s="912">
        <v>19.565620422363299</v>
      </c>
      <c r="L330" s="912">
        <v>20.355871200561499</v>
      </c>
      <c r="M330" s="912">
        <v>21.173530578613299</v>
      </c>
      <c r="N330" s="912">
        <v>22.037576675415</v>
      </c>
      <c r="O330" s="912">
        <v>22.867145538330099</v>
      </c>
      <c r="P330" s="912">
        <v>23.876249313354499</v>
      </c>
      <c r="Q330" s="912">
        <v>24.851699829101602</v>
      </c>
      <c r="R330" s="912">
        <v>25.777753829956101</v>
      </c>
      <c r="S330" s="912">
        <v>26.392097473144499</v>
      </c>
      <c r="T330" s="912">
        <v>27.017583847045898</v>
      </c>
      <c r="U330" s="912">
        <v>27.588447570800799</v>
      </c>
      <c r="V330" s="912">
        <v>28.206142425537099</v>
      </c>
      <c r="W330" s="912">
        <v>29.1773777008057</v>
      </c>
      <c r="X330" s="912">
        <v>30.336851119995099</v>
      </c>
      <c r="Y330" s="912">
        <v>31.4674072265625</v>
      </c>
      <c r="Z330" s="912">
        <v>32.538986206054702</v>
      </c>
    </row>
    <row r="332" spans="1:30" x14ac:dyDescent="0.25">
      <c r="A332" s="910" t="s">
        <v>487</v>
      </c>
    </row>
    <row r="333" spans="1:30" x14ac:dyDescent="0.25">
      <c r="A333" s="910" t="s">
        <v>617</v>
      </c>
      <c r="B333" s="912">
        <v>21.711509704589801</v>
      </c>
      <c r="C333" s="912">
        <v>25.0072345733643</v>
      </c>
      <c r="D333" s="912">
        <v>29.391622543335</v>
      </c>
      <c r="E333" s="912">
        <v>22.380046844482401</v>
      </c>
      <c r="F333" s="912">
        <v>21.3089294433594</v>
      </c>
      <c r="G333" s="912">
        <v>23.935417175293001</v>
      </c>
      <c r="H333" s="912">
        <v>26.369024276733398</v>
      </c>
      <c r="I333" s="912">
        <v>28.752412796020501</v>
      </c>
      <c r="J333" s="912">
        <v>31.0282287597656</v>
      </c>
      <c r="K333" s="912">
        <v>33.547065734863303</v>
      </c>
      <c r="L333" s="912">
        <v>35.514869689941399</v>
      </c>
      <c r="M333" s="912">
        <v>37.352748870849602</v>
      </c>
      <c r="N333" s="912">
        <v>39.287044525146499</v>
      </c>
      <c r="O333" s="912">
        <v>40.7039604187012</v>
      </c>
      <c r="P333" s="912">
        <v>42.024444580078097</v>
      </c>
      <c r="Q333" s="912">
        <v>43.379894256591797</v>
      </c>
      <c r="R333" s="912">
        <v>44.630382537841797</v>
      </c>
      <c r="S333" s="912">
        <v>46.145259857177699</v>
      </c>
      <c r="T333" s="912">
        <v>47.363857269287102</v>
      </c>
      <c r="U333" s="912">
        <v>47.7197074890137</v>
      </c>
      <c r="V333" s="912">
        <v>49.102500915527301</v>
      </c>
      <c r="W333" s="912">
        <v>50.517303466796903</v>
      </c>
      <c r="X333" s="912">
        <v>52.086456298828097</v>
      </c>
      <c r="Y333" s="912">
        <v>53.442653656005902</v>
      </c>
      <c r="Z333" s="912">
        <v>55.104091644287102</v>
      </c>
    </row>
    <row r="334" spans="1:30" x14ac:dyDescent="0.25">
      <c r="A334" s="910" t="s">
        <v>618</v>
      </c>
      <c r="B334" s="912">
        <v>24.84494972229</v>
      </c>
      <c r="C334" s="912">
        <v>26.818180084228501</v>
      </c>
      <c r="D334" s="912">
        <v>34.822681427002003</v>
      </c>
      <c r="E334" s="912">
        <v>21.049989700317401</v>
      </c>
      <c r="F334" s="912">
        <v>19.580844879150401</v>
      </c>
      <c r="G334" s="912">
        <v>23.622909545898398</v>
      </c>
      <c r="H334" s="912">
        <v>25.881950378418001</v>
      </c>
      <c r="I334" s="912">
        <v>28.009447097778299</v>
      </c>
      <c r="J334" s="912">
        <v>30.2537937164307</v>
      </c>
      <c r="K334" s="912">
        <v>28.866632461547901</v>
      </c>
      <c r="L334" s="912">
        <v>30.4276523590088</v>
      </c>
      <c r="M334" s="912">
        <v>31.969417572021499</v>
      </c>
      <c r="N334" s="912">
        <v>32.765193939208999</v>
      </c>
      <c r="O334" s="912">
        <v>35.757926940917997</v>
      </c>
      <c r="P334" s="912">
        <v>37.577915191650398</v>
      </c>
      <c r="Q334" s="912">
        <v>38.662086486816399</v>
      </c>
      <c r="R334" s="912">
        <v>39.8419189453125</v>
      </c>
      <c r="S334" s="912">
        <v>41.092353820800803</v>
      </c>
      <c r="T334" s="912">
        <v>42.114028930664098</v>
      </c>
      <c r="U334" s="912">
        <v>42.893341064453097</v>
      </c>
      <c r="V334" s="912">
        <v>44.2104301452637</v>
      </c>
      <c r="W334" s="912">
        <v>44.896373748779297</v>
      </c>
      <c r="X334" s="912">
        <v>46.4299926757813</v>
      </c>
      <c r="Y334" s="912">
        <v>48.419319152832003</v>
      </c>
      <c r="Z334" s="912">
        <v>48.957271575927699</v>
      </c>
    </row>
    <row r="335" spans="1:30" x14ac:dyDescent="0.25">
      <c r="A335" s="910" t="s">
        <v>619</v>
      </c>
      <c r="B335" s="912">
        <v>21.213121414184599</v>
      </c>
      <c r="C335" s="912">
        <v>22.982162475585898</v>
      </c>
      <c r="D335" s="912">
        <v>26.749811172485401</v>
      </c>
      <c r="E335" s="912">
        <v>16.175968170166001</v>
      </c>
      <c r="F335" s="912">
        <v>18.381326675415</v>
      </c>
      <c r="G335" s="912">
        <v>21.693702697753899</v>
      </c>
      <c r="H335" s="912">
        <v>23.709007263183601</v>
      </c>
      <c r="I335" s="912">
        <v>25.449525833129901</v>
      </c>
      <c r="J335" s="912">
        <v>27.424634933471701</v>
      </c>
      <c r="K335" s="912">
        <v>29.529468536376999</v>
      </c>
      <c r="L335" s="912">
        <v>31.27219581604</v>
      </c>
      <c r="M335" s="912">
        <v>33.093906402587898</v>
      </c>
      <c r="N335" s="912">
        <v>34.856166839599602</v>
      </c>
      <c r="O335" s="912">
        <v>36.438858032226598</v>
      </c>
      <c r="P335" s="912">
        <v>38.015861511230497</v>
      </c>
      <c r="Q335" s="912">
        <v>39.139541625976598</v>
      </c>
      <c r="R335" s="912">
        <v>40.478176116943402</v>
      </c>
      <c r="S335" s="912">
        <v>41.691452026367202</v>
      </c>
      <c r="T335" s="912">
        <v>42.679801940917997</v>
      </c>
      <c r="U335" s="912">
        <v>43.464977264404297</v>
      </c>
      <c r="V335" s="912">
        <v>44.780059814453097</v>
      </c>
      <c r="W335" s="912">
        <v>45.673988342285199</v>
      </c>
      <c r="X335" s="912">
        <v>47.254981994628899</v>
      </c>
      <c r="Y335" s="912">
        <v>49.557445526122997</v>
      </c>
      <c r="Z335" s="912">
        <v>49.9830131530762</v>
      </c>
    </row>
    <row r="336" spans="1:30" x14ac:dyDescent="0.25">
      <c r="A336" s="910" t="s">
        <v>620</v>
      </c>
      <c r="B336" s="912">
        <v>14.844763755798301</v>
      </c>
      <c r="C336" s="912">
        <v>16.0964660644531</v>
      </c>
      <c r="D336" s="912">
        <v>22.673322677612301</v>
      </c>
      <c r="E336" s="912">
        <v>10.878761291503899</v>
      </c>
      <c r="F336" s="912">
        <v>10.805939674377401</v>
      </c>
      <c r="G336" s="912">
        <v>13.641165733337401</v>
      </c>
      <c r="H336" s="912">
        <v>15.7883806228638</v>
      </c>
      <c r="I336" s="912">
        <v>17.847295761108398</v>
      </c>
      <c r="J336" s="912">
        <v>19.768560409545898</v>
      </c>
      <c r="K336" s="912">
        <v>21.6021404266357</v>
      </c>
      <c r="L336" s="912">
        <v>23.1407794952393</v>
      </c>
      <c r="M336" s="912">
        <v>24.738756179809599</v>
      </c>
      <c r="N336" s="912">
        <v>26.200944900512699</v>
      </c>
      <c r="O336" s="912">
        <v>27.323936462402301</v>
      </c>
      <c r="P336" s="912">
        <v>28.3911018371582</v>
      </c>
      <c r="Q336" s="912">
        <v>29.343944549560501</v>
      </c>
      <c r="R336" s="912">
        <v>30.208518981933601</v>
      </c>
      <c r="S336" s="912">
        <v>31.274351119995099</v>
      </c>
      <c r="T336" s="912">
        <v>32.279064178466797</v>
      </c>
      <c r="U336" s="912">
        <v>32.661514282226598</v>
      </c>
      <c r="V336" s="912">
        <v>33.853298187255902</v>
      </c>
      <c r="W336" s="912">
        <v>34.868740081787102</v>
      </c>
      <c r="X336" s="912">
        <v>36.320652008056598</v>
      </c>
      <c r="Y336" s="912">
        <v>37.773586273193402</v>
      </c>
      <c r="Z336" s="912">
        <v>39.040420532226598</v>
      </c>
    </row>
    <row r="337" spans="1:70" x14ac:dyDescent="0.25">
      <c r="A337" s="910" t="s">
        <v>724</v>
      </c>
      <c r="B337" s="912">
        <v>19.740650177001999</v>
      </c>
      <c r="C337" s="912">
        <v>20.921422958373999</v>
      </c>
      <c r="D337" s="912">
        <v>27.660943984985401</v>
      </c>
      <c r="E337" s="912">
        <v>15.872093200683601</v>
      </c>
      <c r="F337" s="912">
        <v>15.1842641830444</v>
      </c>
      <c r="G337" s="912">
        <v>17.936090469360401</v>
      </c>
      <c r="H337" s="912">
        <v>20.100133895873999</v>
      </c>
      <c r="I337" s="912">
        <v>22.737785339355501</v>
      </c>
      <c r="J337" s="912">
        <v>24.745433807373001</v>
      </c>
      <c r="K337" s="912">
        <v>26.438911437988299</v>
      </c>
      <c r="L337" s="912">
        <v>28.0228977203369</v>
      </c>
      <c r="M337" s="912">
        <v>29.7338352203369</v>
      </c>
      <c r="N337" s="912">
        <v>31.2589511871338</v>
      </c>
      <c r="O337" s="912">
        <v>32.543869018554702</v>
      </c>
      <c r="P337" s="912">
        <v>33.764415740966797</v>
      </c>
      <c r="Q337" s="912">
        <v>34.490653991699197</v>
      </c>
      <c r="R337" s="912">
        <v>35.692588806152301</v>
      </c>
      <c r="S337" s="912">
        <v>36.884777069091797</v>
      </c>
      <c r="T337" s="912">
        <v>37.7488403320313</v>
      </c>
      <c r="U337" s="912">
        <v>38.541912078857401</v>
      </c>
      <c r="V337" s="912">
        <v>39.811958312988303</v>
      </c>
      <c r="W337" s="912">
        <v>40.433952331542997</v>
      </c>
      <c r="X337" s="912">
        <v>41.980552673339801</v>
      </c>
      <c r="Y337" s="912">
        <v>44.0175971984863</v>
      </c>
      <c r="Z337" s="912">
        <v>44.845256805419901</v>
      </c>
    </row>
    <row r="338" spans="1:70" x14ac:dyDescent="0.25">
      <c r="A338" s="910" t="s">
        <v>611</v>
      </c>
      <c r="B338" s="912">
        <v>7.9912142753601101</v>
      </c>
      <c r="C338" s="912">
        <v>9.4357099533081108</v>
      </c>
      <c r="D338" s="912">
        <v>14.5987691879272</v>
      </c>
      <c r="E338" s="912">
        <v>6.5974926948547399</v>
      </c>
      <c r="F338" s="912">
        <v>6.8336348533630398</v>
      </c>
      <c r="G338" s="912">
        <v>9.1002550125122106</v>
      </c>
      <c r="H338" s="912">
        <v>10.9850196838379</v>
      </c>
      <c r="I338" s="912">
        <v>12.7856092453003</v>
      </c>
      <c r="J338" s="912">
        <v>14.3925485610962</v>
      </c>
      <c r="K338" s="912">
        <v>16.284711837768601</v>
      </c>
      <c r="L338" s="912">
        <v>17.587419509887699</v>
      </c>
      <c r="M338" s="912">
        <v>18.815961837768601</v>
      </c>
      <c r="N338" s="912">
        <v>20.079933166503899</v>
      </c>
      <c r="O338" s="912">
        <v>21.0047607421875</v>
      </c>
      <c r="P338" s="912">
        <v>21.793167114257798</v>
      </c>
      <c r="Q338" s="912">
        <v>22.696048736572301</v>
      </c>
      <c r="R338" s="912">
        <v>23.3086338043213</v>
      </c>
      <c r="S338" s="912">
        <v>24.011238098144499</v>
      </c>
      <c r="T338" s="912">
        <v>24.648492813110401</v>
      </c>
      <c r="U338" s="912">
        <v>24.8559169769287</v>
      </c>
      <c r="V338" s="912">
        <v>25.6537380218506</v>
      </c>
      <c r="W338" s="912">
        <v>26.666080474853501</v>
      </c>
      <c r="X338" s="912">
        <v>27.731492996215799</v>
      </c>
      <c r="Y338" s="912">
        <v>28.609724044799801</v>
      </c>
      <c r="Z338" s="912">
        <v>29.807550430297901</v>
      </c>
    </row>
    <row r="339" spans="1:70" x14ac:dyDescent="0.25">
      <c r="A339" s="910" t="s">
        <v>622</v>
      </c>
      <c r="B339" s="912">
        <v>15.1338348388672</v>
      </c>
      <c r="C339" s="912">
        <v>15.4958410263062</v>
      </c>
      <c r="D339" s="912">
        <v>17.260919570922901</v>
      </c>
      <c r="E339" s="912">
        <v>13.197589874267599</v>
      </c>
      <c r="F339" s="912">
        <v>14.011960029602101</v>
      </c>
      <c r="G339" s="912">
        <v>14.5198259353638</v>
      </c>
      <c r="H339" s="912">
        <v>14.7125358581543</v>
      </c>
      <c r="I339" s="912">
        <v>14.9809007644653</v>
      </c>
      <c r="J339" s="912">
        <v>15.3987216949463</v>
      </c>
      <c r="K339" s="912">
        <v>15.929105758666999</v>
      </c>
      <c r="L339" s="912">
        <v>16.444049835205099</v>
      </c>
      <c r="M339" s="912">
        <v>16.986526489257798</v>
      </c>
      <c r="N339" s="912">
        <v>17.562019348144499</v>
      </c>
      <c r="O339" s="912">
        <v>18.214298248291001</v>
      </c>
      <c r="P339" s="912">
        <v>18.978889465331999</v>
      </c>
      <c r="Q339" s="912">
        <v>19.653842926025401</v>
      </c>
      <c r="R339" s="912">
        <v>20.151586532592798</v>
      </c>
      <c r="S339" s="912">
        <v>20.264110565185501</v>
      </c>
      <c r="T339" s="912">
        <v>20.6345119476318</v>
      </c>
      <c r="U339" s="912">
        <v>20.930568695068398</v>
      </c>
      <c r="V339" s="912">
        <v>21.5493049621582</v>
      </c>
      <c r="W339" s="912">
        <v>22.330928802490199</v>
      </c>
      <c r="X339" s="912">
        <v>23.217420578002901</v>
      </c>
      <c r="Y339" s="912">
        <v>23.984209060668899</v>
      </c>
      <c r="Z339" s="912">
        <v>24.842088699340799</v>
      </c>
    </row>
    <row r="340" spans="1:70" x14ac:dyDescent="0.25">
      <c r="A340" s="910" t="s">
        <v>479</v>
      </c>
      <c r="B340" s="912">
        <v>29.552911758422901</v>
      </c>
      <c r="C340" s="912">
        <v>30.777971267700199</v>
      </c>
      <c r="D340" s="912">
        <v>34.475650787353501</v>
      </c>
      <c r="E340" s="912">
        <v>32.511272430419901</v>
      </c>
      <c r="F340" s="912">
        <v>28.3578701019287</v>
      </c>
      <c r="G340" s="912">
        <v>29.9883632659912</v>
      </c>
      <c r="H340" s="912">
        <v>30.793474197387699</v>
      </c>
      <c r="I340" s="912">
        <v>31.290824890136701</v>
      </c>
      <c r="J340" s="912">
        <v>31.788017272949201</v>
      </c>
      <c r="K340" s="912">
        <v>32.228786468505902</v>
      </c>
      <c r="L340" s="912">
        <v>33.101249694824197</v>
      </c>
      <c r="M340" s="912">
        <v>33.873565673828097</v>
      </c>
      <c r="N340" s="912">
        <v>34.876777648925803</v>
      </c>
      <c r="O340" s="912">
        <v>35.790927886962898</v>
      </c>
      <c r="P340" s="912">
        <v>37.005527496337898</v>
      </c>
      <c r="Q340" s="912">
        <v>38.374465942382798</v>
      </c>
      <c r="R340" s="912">
        <v>39.741268157958999</v>
      </c>
      <c r="S340" s="912">
        <v>40.743644714355497</v>
      </c>
      <c r="T340" s="912">
        <v>41.832027435302699</v>
      </c>
      <c r="U340" s="912">
        <v>42.8788452148438</v>
      </c>
      <c r="V340" s="912">
        <v>44.165149688720703</v>
      </c>
      <c r="W340" s="912">
        <v>45.822151184082003</v>
      </c>
      <c r="X340" s="912">
        <v>47.770866394042997</v>
      </c>
      <c r="Y340" s="912">
        <v>49.4786567687988</v>
      </c>
      <c r="Z340" s="912">
        <v>51.408214569091797</v>
      </c>
    </row>
    <row r="341" spans="1:70" x14ac:dyDescent="0.25">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5">
      <c r="A342" s="910" t="s">
        <v>623</v>
      </c>
    </row>
    <row r="343" spans="1:70" x14ac:dyDescent="0.25">
      <c r="A343" s="910" t="s">
        <v>610</v>
      </c>
      <c r="B343" s="912">
        <v>13.411901473999</v>
      </c>
      <c r="C343" s="912">
        <v>14.7725219726563</v>
      </c>
      <c r="D343" s="912">
        <v>19.598173141479499</v>
      </c>
      <c r="E343" s="912">
        <v>12.9002075195313</v>
      </c>
      <c r="F343" s="912">
        <v>10.160784721374499</v>
      </c>
      <c r="G343" s="912">
        <v>12.683879852294901</v>
      </c>
      <c r="H343" s="912">
        <v>14.742367744445801</v>
      </c>
      <c r="I343" s="912">
        <v>16.466316223144499</v>
      </c>
      <c r="J343" s="912">
        <v>18.200975418090799</v>
      </c>
      <c r="K343" s="912">
        <v>20.294946670532202</v>
      </c>
      <c r="L343" s="912">
        <v>21.762416839599599</v>
      </c>
      <c r="M343" s="912">
        <v>23.219928741455099</v>
      </c>
      <c r="N343" s="912">
        <v>24.625257492065401</v>
      </c>
      <c r="O343" s="912">
        <v>25.658937454223601</v>
      </c>
      <c r="P343" s="912">
        <v>26.641567230224599</v>
      </c>
      <c r="Q343" s="912">
        <v>27.554689407348601</v>
      </c>
      <c r="R343" s="912">
        <v>28.433355331420898</v>
      </c>
      <c r="S343" s="912">
        <v>29.525194168090799</v>
      </c>
      <c r="T343" s="912">
        <v>30.595668792724599</v>
      </c>
      <c r="U343" s="912">
        <v>30.812200546264599</v>
      </c>
      <c r="V343" s="912">
        <v>31.8765468597412</v>
      </c>
      <c r="W343" s="912">
        <v>33.023826599121101</v>
      </c>
      <c r="X343" s="912">
        <v>34.249851226806598</v>
      </c>
      <c r="Y343" s="912">
        <v>35.370849609375</v>
      </c>
      <c r="Z343" s="912">
        <v>36.733474731445298</v>
      </c>
    </row>
    <row r="344" spans="1:70" x14ac:dyDescent="0.25">
      <c r="A344" s="910" t="s">
        <v>611</v>
      </c>
      <c r="B344" s="912">
        <v>8.1584053039550799</v>
      </c>
      <c r="C344" s="912">
        <v>8.5664386749267596</v>
      </c>
      <c r="D344" s="912">
        <v>14.623919486999499</v>
      </c>
      <c r="E344" s="912">
        <v>6.72200632095337</v>
      </c>
      <c r="F344" s="912">
        <v>6.9281921386718803</v>
      </c>
      <c r="G344" s="912">
        <v>9.7774429321289098</v>
      </c>
      <c r="H344" s="912">
        <v>11.688641548156699</v>
      </c>
      <c r="I344" s="912">
        <v>13.5591955184937</v>
      </c>
      <c r="J344" s="912">
        <v>15.198254585266101</v>
      </c>
      <c r="K344" s="912">
        <v>17.122402191162099</v>
      </c>
      <c r="L344" s="912">
        <v>18.4469089508057</v>
      </c>
      <c r="M344" s="912">
        <v>19.645553588867202</v>
      </c>
      <c r="N344" s="912">
        <v>20.905046463012699</v>
      </c>
      <c r="O344" s="912">
        <v>21.461814880371101</v>
      </c>
      <c r="P344" s="912">
        <v>22.275539398193398</v>
      </c>
      <c r="Q344" s="912">
        <v>23.178005218505898</v>
      </c>
      <c r="R344" s="912">
        <v>23.921798706054702</v>
      </c>
      <c r="S344" s="912">
        <v>24.712652206420898</v>
      </c>
      <c r="T344" s="912">
        <v>25.390251159668001</v>
      </c>
      <c r="U344" s="912">
        <v>25.605690002441399</v>
      </c>
      <c r="V344" s="912">
        <v>26.419223785400401</v>
      </c>
      <c r="W344" s="912">
        <v>27.371679306030298</v>
      </c>
      <c r="X344" s="912">
        <v>28.437421798706101</v>
      </c>
      <c r="Y344" s="912">
        <v>29.318086624145501</v>
      </c>
      <c r="Z344" s="912">
        <v>30.4597358703613</v>
      </c>
    </row>
    <row r="345" spans="1:70" x14ac:dyDescent="0.25">
      <c r="A345" s="910" t="s">
        <v>510</v>
      </c>
      <c r="B345" s="912">
        <v>6.8695855140686</v>
      </c>
      <c r="C345" s="912">
        <v>7.0191597938537598</v>
      </c>
      <c r="D345" s="912">
        <v>9.0666198730468803</v>
      </c>
      <c r="E345" s="912">
        <v>4.70163822174072</v>
      </c>
      <c r="F345" s="912">
        <v>5.3228030204772896</v>
      </c>
      <c r="G345" s="912">
        <v>5.7259230613708496</v>
      </c>
      <c r="H345" s="912">
        <v>5.8670849800109899</v>
      </c>
      <c r="I345" s="912">
        <v>5.9947657585143999</v>
      </c>
      <c r="J345" s="912">
        <v>6.2809138298034703</v>
      </c>
      <c r="K345" s="912">
        <v>6.6566915512084996</v>
      </c>
      <c r="L345" s="912">
        <v>7.0282440185546902</v>
      </c>
      <c r="M345" s="912">
        <v>7.4117355346679696</v>
      </c>
      <c r="N345" s="912">
        <v>7.8389544486999503</v>
      </c>
      <c r="O345" s="912">
        <v>8.3448457717895508</v>
      </c>
      <c r="P345" s="912">
        <v>8.9240303039550799</v>
      </c>
      <c r="Q345" s="912">
        <v>9.4456386566162092</v>
      </c>
      <c r="R345" s="912">
        <v>9.7849264144897496</v>
      </c>
      <c r="S345" s="912">
        <v>9.7760477066040004</v>
      </c>
      <c r="T345" s="912">
        <v>10.055270195007299</v>
      </c>
      <c r="U345" s="912">
        <v>10.193024635314901</v>
      </c>
      <c r="V345" s="912">
        <v>10.610521316528301</v>
      </c>
      <c r="W345" s="912">
        <v>11.20911693573</v>
      </c>
      <c r="X345" s="912">
        <v>11.9389839172363</v>
      </c>
      <c r="Y345" s="912">
        <v>12.519255638122599</v>
      </c>
      <c r="Z345" s="912">
        <v>13.197782516479499</v>
      </c>
    </row>
    <row r="346" spans="1:70" x14ac:dyDescent="0.25">
      <c r="A346" s="910" t="s">
        <v>624</v>
      </c>
      <c r="B346" s="912">
        <v>1.6900001764297501</v>
      </c>
      <c r="C346" s="912">
        <v>1.7800002098083501</v>
      </c>
      <c r="D346" s="912">
        <v>1.97352075576782</v>
      </c>
      <c r="E346" s="912">
        <v>2.0458421707153298</v>
      </c>
      <c r="F346" s="912">
        <v>1.9325078725814799</v>
      </c>
      <c r="G346" s="912">
        <v>1.9669165611267101</v>
      </c>
      <c r="H346" s="912">
        <v>1.97483730316162</v>
      </c>
      <c r="I346" s="912">
        <v>2.0363006591796902</v>
      </c>
      <c r="J346" s="912">
        <v>2.1044862270355198</v>
      </c>
      <c r="K346" s="912">
        <v>2.15470170974731</v>
      </c>
      <c r="L346" s="912">
        <v>2.2153303623199498</v>
      </c>
      <c r="M346" s="912">
        <v>2.2768745422363299</v>
      </c>
      <c r="N346" s="912">
        <v>2.3487181663513201</v>
      </c>
      <c r="O346" s="912">
        <v>2.4114518165588401</v>
      </c>
      <c r="P346" s="912">
        <v>2.4841165542602499</v>
      </c>
      <c r="Q346" s="912">
        <v>2.5551335811614999</v>
      </c>
      <c r="R346" s="912">
        <v>2.63751268386841</v>
      </c>
      <c r="S346" s="912">
        <v>2.7085535526275599</v>
      </c>
      <c r="T346" s="912">
        <v>2.7758009433746298</v>
      </c>
      <c r="U346" s="912">
        <v>2.84079241752625</v>
      </c>
      <c r="V346" s="912">
        <v>2.9094073772430402</v>
      </c>
      <c r="W346" s="912">
        <v>2.9860992431640598</v>
      </c>
      <c r="X346" s="912">
        <v>3.0685904026031499</v>
      </c>
      <c r="Y346" s="912">
        <v>3.1531631946563698</v>
      </c>
      <c r="Z346" s="912">
        <v>3.23557353019714</v>
      </c>
    </row>
    <row r="348" spans="1:70" x14ac:dyDescent="0.25">
      <c r="A348" s="910" t="s">
        <v>625</v>
      </c>
    </row>
    <row r="349" spans="1:70" x14ac:dyDescent="0.25">
      <c r="A349" s="910" t="s">
        <v>609</v>
      </c>
      <c r="B349" s="912">
        <v>15.246436119079601</v>
      </c>
      <c r="C349" s="912">
        <v>18.5313529968262</v>
      </c>
      <c r="D349" s="912">
        <v>20.134397506713899</v>
      </c>
      <c r="E349" s="912">
        <v>16.9350070953369</v>
      </c>
      <c r="F349" s="912">
        <v>16.912326812744102</v>
      </c>
      <c r="G349" s="912">
        <v>19.346534729003899</v>
      </c>
      <c r="H349" s="912">
        <v>21.4945392608643</v>
      </c>
      <c r="I349" s="912">
        <v>23.604782104492202</v>
      </c>
      <c r="J349" s="912">
        <v>25.696203231811499</v>
      </c>
      <c r="K349" s="912">
        <v>28.031579971313501</v>
      </c>
      <c r="L349" s="912">
        <v>29.828712463378899</v>
      </c>
      <c r="M349" s="912">
        <v>31.479301452636701</v>
      </c>
      <c r="N349" s="912">
        <v>33.231895446777301</v>
      </c>
      <c r="O349" s="912">
        <v>34.5145874023438</v>
      </c>
      <c r="P349" s="912">
        <v>35.698520660400398</v>
      </c>
      <c r="Q349" s="912">
        <v>36.883983612060497</v>
      </c>
      <c r="R349" s="912">
        <v>37.996242523193402</v>
      </c>
      <c r="S349" s="912">
        <v>39.337680816650398</v>
      </c>
      <c r="T349" s="912">
        <v>40.431327819824197</v>
      </c>
      <c r="U349" s="912">
        <v>40.7233276367188</v>
      </c>
      <c r="V349" s="912">
        <v>41.9925727844238</v>
      </c>
      <c r="W349" s="912">
        <v>43.322719573974602</v>
      </c>
      <c r="X349" s="912">
        <v>44.788909912109403</v>
      </c>
      <c r="Y349" s="912">
        <v>45.941520690917997</v>
      </c>
      <c r="Z349" s="912">
        <v>47.553462982177699</v>
      </c>
    </row>
    <row r="350" spans="1:70" x14ac:dyDescent="0.25">
      <c r="A350" s="910" t="s">
        <v>618</v>
      </c>
      <c r="B350" s="912">
        <v>24.84494972229</v>
      </c>
      <c r="C350" s="912">
        <v>26.818180084228501</v>
      </c>
      <c r="D350" s="912">
        <v>34.822681427002003</v>
      </c>
      <c r="E350" s="912">
        <v>21.049989700317401</v>
      </c>
      <c r="F350" s="912">
        <v>19.580844879150401</v>
      </c>
      <c r="G350" s="912">
        <v>23.622909545898398</v>
      </c>
      <c r="H350" s="912">
        <v>25.881950378418001</v>
      </c>
      <c r="I350" s="912">
        <v>28.009447097778299</v>
      </c>
      <c r="J350" s="912">
        <v>30.2537937164307</v>
      </c>
      <c r="K350" s="912">
        <v>28.866632461547901</v>
      </c>
      <c r="L350" s="912">
        <v>30.4276523590088</v>
      </c>
      <c r="M350" s="912">
        <v>31.969417572021499</v>
      </c>
      <c r="N350" s="912">
        <v>32.765193939208999</v>
      </c>
      <c r="O350" s="912">
        <v>35.757926940917997</v>
      </c>
      <c r="P350" s="912">
        <v>37.577915191650398</v>
      </c>
      <c r="Q350" s="912">
        <v>38.662086486816399</v>
      </c>
      <c r="R350" s="912">
        <v>39.8419189453125</v>
      </c>
      <c r="S350" s="912">
        <v>41.092353820800803</v>
      </c>
      <c r="T350" s="912">
        <v>42.114028930664098</v>
      </c>
      <c r="U350" s="912">
        <v>42.893341064453097</v>
      </c>
      <c r="V350" s="912">
        <v>44.2104301452637</v>
      </c>
      <c r="W350" s="912">
        <v>44.896373748779297</v>
      </c>
      <c r="X350" s="912">
        <v>46.4299926757813</v>
      </c>
      <c r="Y350" s="912">
        <v>48.419319152832003</v>
      </c>
      <c r="Z350" s="912">
        <v>48.957271575927699</v>
      </c>
    </row>
    <row r="351" spans="1:70" x14ac:dyDescent="0.25">
      <c r="A351" s="910" t="s">
        <v>619</v>
      </c>
      <c r="B351" s="912">
        <v>21.081119537353501</v>
      </c>
      <c r="C351" s="912">
        <v>22.8191947937012</v>
      </c>
      <c r="D351" s="912">
        <v>26.582485198974599</v>
      </c>
      <c r="E351" s="912">
        <v>16.308473587036101</v>
      </c>
      <c r="F351" s="912">
        <v>18.3791694641113</v>
      </c>
      <c r="G351" s="912">
        <v>21.690732955932599</v>
      </c>
      <c r="H351" s="912">
        <v>23.705785751342798</v>
      </c>
      <c r="I351" s="912">
        <v>25.446578979492202</v>
      </c>
      <c r="J351" s="912">
        <v>27.421388626098601</v>
      </c>
      <c r="K351" s="912">
        <v>29.526109695434599</v>
      </c>
      <c r="L351" s="912">
        <v>31.268815994262699</v>
      </c>
      <c r="M351" s="912">
        <v>33.090030670166001</v>
      </c>
      <c r="N351" s="912">
        <v>34.852634429931598</v>
      </c>
      <c r="O351" s="912">
        <v>36.4355278015137</v>
      </c>
      <c r="P351" s="912">
        <v>38.011890411377003</v>
      </c>
      <c r="Q351" s="912">
        <v>39.135532379150398</v>
      </c>
      <c r="R351" s="912">
        <v>40.475978851318402</v>
      </c>
      <c r="S351" s="912">
        <v>41.687484741210902</v>
      </c>
      <c r="T351" s="912">
        <v>42.675270080566399</v>
      </c>
      <c r="U351" s="912">
        <v>43.460239410400398</v>
      </c>
      <c r="V351" s="912">
        <v>44.775581359863303</v>
      </c>
      <c r="W351" s="912">
        <v>45.668975830078097</v>
      </c>
      <c r="X351" s="912">
        <v>47.250167846679702</v>
      </c>
      <c r="Y351" s="912">
        <v>49.551605224609403</v>
      </c>
      <c r="Z351" s="912">
        <v>49.978668212890597</v>
      </c>
    </row>
    <row r="352" spans="1:70" x14ac:dyDescent="0.25">
      <c r="A352" s="910" t="s">
        <v>626</v>
      </c>
      <c r="B352" s="912">
        <v>14.844763755798301</v>
      </c>
      <c r="C352" s="912">
        <v>16.0964660644531</v>
      </c>
      <c r="D352" s="912">
        <v>22.673322677612301</v>
      </c>
      <c r="E352" s="912">
        <v>10.878761291503899</v>
      </c>
      <c r="F352" s="912">
        <v>10.805939674377401</v>
      </c>
      <c r="G352" s="912">
        <v>13.641165733337401</v>
      </c>
      <c r="H352" s="912">
        <v>15.7883806228638</v>
      </c>
      <c r="I352" s="912">
        <v>17.847295761108398</v>
      </c>
      <c r="J352" s="912">
        <v>19.768560409545898</v>
      </c>
      <c r="K352" s="912">
        <v>21.6021404266357</v>
      </c>
      <c r="L352" s="912">
        <v>23.1407794952393</v>
      </c>
      <c r="M352" s="912">
        <v>24.738756179809599</v>
      </c>
      <c r="N352" s="912">
        <v>26.200944900512699</v>
      </c>
      <c r="O352" s="912">
        <v>27.323936462402301</v>
      </c>
      <c r="P352" s="912">
        <v>28.3911018371582</v>
      </c>
      <c r="Q352" s="912">
        <v>29.343944549560501</v>
      </c>
      <c r="R352" s="912">
        <v>30.208518981933601</v>
      </c>
      <c r="S352" s="912">
        <v>31.274351119995099</v>
      </c>
      <c r="T352" s="912">
        <v>32.279064178466797</v>
      </c>
      <c r="U352" s="912">
        <v>32.661514282226598</v>
      </c>
      <c r="V352" s="912">
        <v>33.853298187255902</v>
      </c>
      <c r="W352" s="912">
        <v>34.868740081787102</v>
      </c>
      <c r="X352" s="912">
        <v>36.320652008056598</v>
      </c>
      <c r="Y352" s="912">
        <v>37.773586273193402</v>
      </c>
      <c r="Z352" s="912">
        <v>39.040420532226598</v>
      </c>
    </row>
    <row r="353" spans="1:70" x14ac:dyDescent="0.25">
      <c r="A353" s="910" t="s">
        <v>610</v>
      </c>
      <c r="B353" s="912">
        <v>18.668458938598601</v>
      </c>
      <c r="C353" s="912">
        <v>19.9431552886963</v>
      </c>
      <c r="D353" s="912">
        <v>26.286823272705099</v>
      </c>
      <c r="E353" s="912">
        <v>15.636975288391101</v>
      </c>
      <c r="F353" s="912">
        <v>14.1092176437378</v>
      </c>
      <c r="G353" s="912">
        <v>16.902593612670898</v>
      </c>
      <c r="H353" s="912">
        <v>19.1516017913818</v>
      </c>
      <c r="I353" s="912">
        <v>21.744958877563501</v>
      </c>
      <c r="J353" s="912">
        <v>23.745824813842798</v>
      </c>
      <c r="K353" s="912">
        <v>25.478622436523398</v>
      </c>
      <c r="L353" s="912">
        <v>27.0623779296875</v>
      </c>
      <c r="M353" s="912">
        <v>28.722316741943398</v>
      </c>
      <c r="N353" s="912">
        <v>30.288469314575199</v>
      </c>
      <c r="O353" s="912">
        <v>31.560461044311499</v>
      </c>
      <c r="P353" s="912">
        <v>32.757129669189503</v>
      </c>
      <c r="Q353" s="912">
        <v>33.523193359375</v>
      </c>
      <c r="R353" s="912">
        <v>34.769081115722699</v>
      </c>
      <c r="S353" s="912">
        <v>35.882114410400398</v>
      </c>
      <c r="T353" s="912">
        <v>36.791599273681598</v>
      </c>
      <c r="U353" s="912">
        <v>37.5217895507813</v>
      </c>
      <c r="V353" s="912">
        <v>38.800697326660199</v>
      </c>
      <c r="W353" s="912">
        <v>39.467311859130902</v>
      </c>
      <c r="X353" s="912">
        <v>40.997920989990199</v>
      </c>
      <c r="Y353" s="912">
        <v>42.937191009521499</v>
      </c>
      <c r="Z353" s="912">
        <v>43.857540130615199</v>
      </c>
    </row>
    <row r="354" spans="1:70" x14ac:dyDescent="0.25">
      <c r="A354" s="910" t="s">
        <v>611</v>
      </c>
      <c r="B354" s="912">
        <v>8.2036781311035192</v>
      </c>
      <c r="C354" s="912">
        <v>9.3672227859497106</v>
      </c>
      <c r="D354" s="912">
        <v>14.4897508621216</v>
      </c>
      <c r="E354" s="912">
        <v>6.7128052711486799</v>
      </c>
      <c r="F354" s="912">
        <v>7.1757683753967303</v>
      </c>
      <c r="G354" s="912">
        <v>9.6609458923339808</v>
      </c>
      <c r="H354" s="912">
        <v>11.544206619262701</v>
      </c>
      <c r="I354" s="912">
        <v>13.370221138000501</v>
      </c>
      <c r="J354" s="912">
        <v>14.996021270751999</v>
      </c>
      <c r="K354" s="912">
        <v>16.898206710815401</v>
      </c>
      <c r="L354" s="912">
        <v>18.207862854003899</v>
      </c>
      <c r="M354" s="912">
        <v>19.411674499511701</v>
      </c>
      <c r="N354" s="912">
        <v>20.6822299957275</v>
      </c>
      <c r="O354" s="912">
        <v>21.516969680786101</v>
      </c>
      <c r="P354" s="912">
        <v>22.335527420043899</v>
      </c>
      <c r="Q354" s="912">
        <v>23.2407321929932</v>
      </c>
      <c r="R354" s="912">
        <v>23.916133880615199</v>
      </c>
      <c r="S354" s="912">
        <v>24.6660556793213</v>
      </c>
      <c r="T354" s="912">
        <v>25.322589874267599</v>
      </c>
      <c r="U354" s="912">
        <v>25.500698089599599</v>
      </c>
      <c r="V354" s="912">
        <v>26.3019409179688</v>
      </c>
      <c r="W354" s="912">
        <v>27.270561218261701</v>
      </c>
      <c r="X354" s="912">
        <v>28.332614898681602</v>
      </c>
      <c r="Y354" s="912">
        <v>29.2080383300781</v>
      </c>
      <c r="Z354" s="912">
        <v>30.365930557251001</v>
      </c>
    </row>
    <row r="355" spans="1:70" x14ac:dyDescent="0.25">
      <c r="A355" s="910" t="s">
        <v>510</v>
      </c>
      <c r="B355" s="912">
        <v>9.2523355484008807</v>
      </c>
      <c r="C355" s="912">
        <v>9.0060253143310494</v>
      </c>
      <c r="D355" s="912">
        <v>10.405486106872599</v>
      </c>
      <c r="E355" s="912">
        <v>6.98002004623413</v>
      </c>
      <c r="F355" s="912">
        <v>7.7092094421386701</v>
      </c>
      <c r="G355" s="912">
        <v>8.12390232086182</v>
      </c>
      <c r="H355" s="912">
        <v>8.2825136184692401</v>
      </c>
      <c r="I355" s="912">
        <v>8.4401350021362305</v>
      </c>
      <c r="J355" s="912">
        <v>8.7418422698974592</v>
      </c>
      <c r="K355" s="912">
        <v>9.1197204589843803</v>
      </c>
      <c r="L355" s="912">
        <v>9.5538625717163104</v>
      </c>
      <c r="M355" s="912">
        <v>10.0050344467163</v>
      </c>
      <c r="N355" s="912">
        <v>10.4820852279663</v>
      </c>
      <c r="O355" s="912">
        <v>11.0441122055054</v>
      </c>
      <c r="P355" s="912">
        <v>11.7092485427856</v>
      </c>
      <c r="Q355" s="912">
        <v>12.280260086059601</v>
      </c>
      <c r="R355" s="912">
        <v>12.668963432311999</v>
      </c>
      <c r="S355" s="912">
        <v>12.670117378234901</v>
      </c>
      <c r="T355" s="912">
        <v>12.917200088501</v>
      </c>
      <c r="U355" s="912">
        <v>13.0803108215332</v>
      </c>
      <c r="V355" s="912">
        <v>13.574273109436</v>
      </c>
      <c r="W355" s="912">
        <v>14.23717212677</v>
      </c>
      <c r="X355" s="912">
        <v>15.0462560653687</v>
      </c>
      <c r="Y355" s="912">
        <v>15.740474700927701</v>
      </c>
      <c r="Z355" s="912">
        <v>16.4913539886475</v>
      </c>
    </row>
    <row r="356" spans="1:70" ht="13" thickBot="1" x14ac:dyDescent="0.3">
      <c r="A356" s="910" t="s">
        <v>614</v>
      </c>
      <c r="B356" s="912">
        <v>3.53999996185303</v>
      </c>
      <c r="C356" s="912">
        <v>3.6099998950958301</v>
      </c>
      <c r="D356" s="912">
        <v>4.1449666023254403</v>
      </c>
      <c r="E356" s="912">
        <v>4.1784791946411097</v>
      </c>
      <c r="F356" s="912">
        <v>4.1485314369201696</v>
      </c>
      <c r="G356" s="912">
        <v>4.3175525665283203</v>
      </c>
      <c r="H356" s="912">
        <v>4.44484186172485</v>
      </c>
      <c r="I356" s="912">
        <v>4.5821456909179696</v>
      </c>
      <c r="J356" s="912">
        <v>4.7206311225891104</v>
      </c>
      <c r="K356" s="912">
        <v>4.8563599586486799</v>
      </c>
      <c r="L356" s="912">
        <v>4.9913563728332502</v>
      </c>
      <c r="M356" s="912">
        <v>5.1233406066894496</v>
      </c>
      <c r="N356" s="912">
        <v>5.2680139541626003</v>
      </c>
      <c r="O356" s="912">
        <v>5.4137320518493697</v>
      </c>
      <c r="P356" s="912">
        <v>5.5743689537048304</v>
      </c>
      <c r="Q356" s="912">
        <v>5.7906579971313503</v>
      </c>
      <c r="R356" s="912">
        <v>6.0209679603576696</v>
      </c>
      <c r="S356" s="912">
        <v>6.20045709609985</v>
      </c>
      <c r="T356" s="912">
        <v>6.3775997161865199</v>
      </c>
      <c r="U356" s="912">
        <v>6.5161404609680202</v>
      </c>
      <c r="V356" s="912">
        <v>6.6299972534179696</v>
      </c>
      <c r="W356" s="912">
        <v>6.7667918205261204</v>
      </c>
      <c r="X356" s="912">
        <v>6.88553714752197</v>
      </c>
      <c r="Y356" s="912">
        <v>6.9704546928405797</v>
      </c>
      <c r="Z356" s="912">
        <v>7.0137753486633301</v>
      </c>
    </row>
    <row r="357" spans="1:70" ht="13" thickBot="1" x14ac:dyDescent="0.3">
      <c r="A357" s="910" t="s">
        <v>627</v>
      </c>
      <c r="B357" s="912">
        <v>1.73100674152374</v>
      </c>
      <c r="C357" s="912">
        <v>1.81885313987732</v>
      </c>
      <c r="D357" s="912">
        <v>2.01088166236877</v>
      </c>
      <c r="E357" s="912">
        <v>2.0711190700531001</v>
      </c>
      <c r="F357" s="912">
        <v>1.96068322658539</v>
      </c>
      <c r="G357" s="912">
        <v>1.99932932853699</v>
      </c>
      <c r="H357" s="912">
        <v>2.0096416473388699</v>
      </c>
      <c r="I357" s="912">
        <v>2.07272601127625</v>
      </c>
      <c r="J357" s="912">
        <v>2.1420636177063002</v>
      </c>
      <c r="K357" s="912">
        <v>2.1925818920135498</v>
      </c>
      <c r="L357" s="912">
        <v>2.2534883022308301</v>
      </c>
      <c r="M357" s="912">
        <v>2.3155770301818799</v>
      </c>
      <c r="N357" s="912">
        <v>2.38794946670532</v>
      </c>
      <c r="O357" s="912">
        <v>2.4510562419891402</v>
      </c>
      <c r="P357" s="912">
        <v>2.52451372146606</v>
      </c>
      <c r="Q357" s="912">
        <v>2.5963439941406299</v>
      </c>
      <c r="R357" s="912">
        <v>2.6790707111358598</v>
      </c>
      <c r="S357" s="912">
        <v>2.7507226467132599</v>
      </c>
      <c r="T357" s="912">
        <v>2.8189043998718302</v>
      </c>
      <c r="U357" s="912">
        <v>2.8845274448394802</v>
      </c>
      <c r="V357" s="912">
        <v>2.9543473720550502</v>
      </c>
      <c r="W357" s="912">
        <v>3.0319309234619101</v>
      </c>
      <c r="X357" s="912">
        <v>3.1151678562164302</v>
      </c>
      <c r="Y357" s="912">
        <v>3.20047926902771</v>
      </c>
      <c r="Z357" s="912">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 thickBot="1" x14ac:dyDescent="0.3">
      <c r="A358" s="910" t="s">
        <v>616</v>
      </c>
      <c r="B358" s="912">
        <v>0</v>
      </c>
      <c r="C358" s="912">
        <v>0</v>
      </c>
      <c r="D358" s="912">
        <v>0</v>
      </c>
      <c r="E358" s="912">
        <v>0</v>
      </c>
      <c r="F358" s="912">
        <v>0</v>
      </c>
      <c r="G358" s="912">
        <v>1.5889266729354901</v>
      </c>
      <c r="H358" s="912">
        <v>1.46094393730164</v>
      </c>
      <c r="I358" s="912">
        <v>1.28843116760254</v>
      </c>
      <c r="J358" s="912">
        <v>1.5101318359375</v>
      </c>
      <c r="K358" s="912">
        <v>1.50810551643372</v>
      </c>
      <c r="L358" s="912">
        <v>1.5213859081268299</v>
      </c>
      <c r="M358" s="912">
        <v>1.53951179981232</v>
      </c>
      <c r="N358" s="912">
        <v>1.58338570594788</v>
      </c>
      <c r="O358" s="912">
        <v>1.63723039627075</v>
      </c>
      <c r="P358" s="912">
        <v>1.71289122104645</v>
      </c>
      <c r="Q358" s="912">
        <v>1.76114201545715</v>
      </c>
      <c r="R358" s="912">
        <v>1.8119050264358501</v>
      </c>
      <c r="S358" s="912">
        <v>1.8629466295242301</v>
      </c>
      <c r="T358" s="912">
        <v>1.9169825315475499</v>
      </c>
      <c r="U358" s="912">
        <v>1.9466364383697501</v>
      </c>
      <c r="V358" s="912">
        <v>1.9911848306655899</v>
      </c>
      <c r="W358" s="912">
        <v>2.0416746139526398</v>
      </c>
      <c r="X358" s="912">
        <v>2.09020328521729</v>
      </c>
      <c r="Y358" s="912">
        <v>2.1373581886291499</v>
      </c>
      <c r="Z358" s="912">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5">
      <c r="A359" s="910" t="s">
        <v>479</v>
      </c>
      <c r="B359" s="912">
        <v>25.973251342773398</v>
      </c>
      <c r="C359" s="912">
        <v>26.680915832519499</v>
      </c>
      <c r="D359" s="912">
        <v>28.4103908538818</v>
      </c>
      <c r="E359" s="912">
        <v>27.544679641723601</v>
      </c>
      <c r="F359" s="912">
        <v>25.191349029541001</v>
      </c>
      <c r="G359" s="912">
        <v>26.348068237304702</v>
      </c>
      <c r="H359" s="912">
        <v>26.6303806304932</v>
      </c>
      <c r="I359" s="912">
        <v>27.154542922973601</v>
      </c>
      <c r="J359" s="912">
        <v>28.002742767333999</v>
      </c>
      <c r="K359" s="912">
        <v>28.757371902465799</v>
      </c>
      <c r="L359" s="912">
        <v>29.780685424804702</v>
      </c>
      <c r="M359" s="912">
        <v>30.870384216308601</v>
      </c>
      <c r="N359" s="912">
        <v>32.039138793945298</v>
      </c>
      <c r="O359" s="912">
        <v>33.131908416747997</v>
      </c>
      <c r="P359" s="912">
        <v>34.493354797363303</v>
      </c>
      <c r="Q359" s="912">
        <v>35.847507476806598</v>
      </c>
      <c r="R359" s="912">
        <v>37.095943450927699</v>
      </c>
      <c r="S359" s="912">
        <v>37.945499420166001</v>
      </c>
      <c r="T359" s="912">
        <v>38.854724884033203</v>
      </c>
      <c r="U359" s="912">
        <v>39.667263031005902</v>
      </c>
      <c r="V359" s="912">
        <v>40.613765716552699</v>
      </c>
      <c r="W359" s="912">
        <v>41.989593505859403</v>
      </c>
      <c r="X359" s="912">
        <v>43.556324005127003</v>
      </c>
      <c r="Y359" s="912">
        <v>45.098350524902301</v>
      </c>
      <c r="Z359" s="912">
        <v>46.616588592529297</v>
      </c>
    </row>
    <row r="361" spans="1:70" x14ac:dyDescent="0.25">
      <c r="A361" s="910" t="s">
        <v>513</v>
      </c>
    </row>
    <row r="362" spans="1:70" x14ac:dyDescent="0.25">
      <c r="A362" s="910" t="s">
        <v>727</v>
      </c>
    </row>
    <row r="363" spans="1:70" x14ac:dyDescent="0.25">
      <c r="A363" s="910" t="s">
        <v>473</v>
      </c>
      <c r="B363" s="912">
        <v>225.03859096661196</v>
      </c>
      <c r="C363" s="912">
        <v>238.40081787109398</v>
      </c>
      <c r="D363" s="912">
        <v>255.49913625772319</v>
      </c>
      <c r="E363" s="912">
        <v>230.9929746666815</v>
      </c>
      <c r="F363" s="912">
        <v>223.41247611699868</v>
      </c>
      <c r="G363" s="912">
        <v>235.2892736225177</v>
      </c>
      <c r="H363" s="912">
        <v>241.6920712265439</v>
      </c>
      <c r="I363" s="912">
        <v>246.56659612211084</v>
      </c>
      <c r="J363" s="912">
        <v>255.55094332875294</v>
      </c>
      <c r="K363" s="912">
        <v>264.57905396662414</v>
      </c>
      <c r="L363" s="912">
        <v>275.89920726734971</v>
      </c>
      <c r="M363" s="912">
        <v>287.49516661999758</v>
      </c>
      <c r="N363" s="912">
        <v>300.32909110683801</v>
      </c>
      <c r="O363" s="912">
        <v>313.11554742582229</v>
      </c>
      <c r="P363" s="912">
        <v>328.18192619930682</v>
      </c>
      <c r="Q363" s="912">
        <v>341.8235015289352</v>
      </c>
      <c r="R363" s="912">
        <v>355.09694320426638</v>
      </c>
      <c r="S363" s="912">
        <v>365.44612056098629</v>
      </c>
      <c r="T363" s="912">
        <v>378.29315112389759</v>
      </c>
      <c r="U363" s="912">
        <v>388.37155634393389</v>
      </c>
      <c r="V363" s="912">
        <v>402.59953615177363</v>
      </c>
      <c r="W363" s="912">
        <v>419.77981120164446</v>
      </c>
      <c r="X363" s="912">
        <v>438.87123825530841</v>
      </c>
      <c r="Y363" s="912">
        <v>455.24534715742953</v>
      </c>
      <c r="Z363" s="912">
        <v>473.03338245571979</v>
      </c>
    </row>
    <row r="364" spans="1:70" x14ac:dyDescent="0.25">
      <c r="A364" s="910" t="s">
        <v>480</v>
      </c>
      <c r="B364" s="912">
        <v>165.81601818957134</v>
      </c>
      <c r="C364" s="912">
        <v>172.89260864257801</v>
      </c>
      <c r="D364" s="912">
        <v>187.38257557629601</v>
      </c>
      <c r="E364" s="912">
        <v>169.14737359110225</v>
      </c>
      <c r="F364" s="912">
        <v>163.07263216137929</v>
      </c>
      <c r="G364" s="912">
        <v>172.91593328178766</v>
      </c>
      <c r="H364" s="912">
        <v>176.9297785804325</v>
      </c>
      <c r="I364" s="912">
        <v>182.88131988639063</v>
      </c>
      <c r="J364" s="912">
        <v>191.23749630338142</v>
      </c>
      <c r="K364" s="912">
        <v>199.89645601118545</v>
      </c>
      <c r="L364" s="912">
        <v>210.36479941888081</v>
      </c>
      <c r="M364" s="912">
        <v>221.36240217535854</v>
      </c>
      <c r="N364" s="912">
        <v>233.19080564556924</v>
      </c>
      <c r="O364" s="912">
        <v>244.70314616363081</v>
      </c>
      <c r="P364" s="912">
        <v>258.1051490216438</v>
      </c>
      <c r="Q364" s="912">
        <v>271.26123343313407</v>
      </c>
      <c r="R364" s="912">
        <v>283.50995205362011</v>
      </c>
      <c r="S364" s="912">
        <v>292.88584879534454</v>
      </c>
      <c r="T364" s="912">
        <v>303.70259464185926</v>
      </c>
      <c r="U364" s="912">
        <v>313.58347456242666</v>
      </c>
      <c r="V364" s="912">
        <v>325.89089746765683</v>
      </c>
      <c r="W364" s="912">
        <v>341.11550736031069</v>
      </c>
      <c r="X364" s="912">
        <v>358.21009848865214</v>
      </c>
      <c r="Y364" s="912">
        <v>374.9131546581271</v>
      </c>
      <c r="Z364" s="912">
        <v>392.1016075075479</v>
      </c>
    </row>
    <row r="365" spans="1:70" ht="13" thickBot="1" x14ac:dyDescent="0.3">
      <c r="A365" s="910" t="s">
        <v>515</v>
      </c>
      <c r="B365" s="912">
        <v>210.41252056252281</v>
      </c>
      <c r="C365" s="912">
        <v>226.88609313964801</v>
      </c>
      <c r="D365" s="912">
        <v>254.13497179068762</v>
      </c>
      <c r="E365" s="912">
        <v>187.2100922767749</v>
      </c>
      <c r="F365" s="912">
        <v>157.4270874391178</v>
      </c>
      <c r="G365" s="912">
        <v>180.83829470805441</v>
      </c>
      <c r="H365" s="912">
        <v>198.41655822177904</v>
      </c>
      <c r="I365" s="912">
        <v>216.64201952030527</v>
      </c>
      <c r="J365" s="912">
        <v>228.79975664936245</v>
      </c>
      <c r="K365" s="912">
        <v>241.15463361452254</v>
      </c>
      <c r="L365" s="912">
        <v>252.64480203410886</v>
      </c>
      <c r="M365" s="912">
        <v>265.1637238738445</v>
      </c>
      <c r="N365" s="912">
        <v>278.29776899368039</v>
      </c>
      <c r="O365" s="912">
        <v>289.61773721654419</v>
      </c>
      <c r="P365" s="912">
        <v>303.56832242347855</v>
      </c>
      <c r="Q365" s="912">
        <v>314.41390898844122</v>
      </c>
      <c r="R365" s="912">
        <v>323.63277263436424</v>
      </c>
      <c r="S365" s="912">
        <v>331.42426143912343</v>
      </c>
      <c r="T365" s="912">
        <v>339.57307272400601</v>
      </c>
      <c r="U365" s="912">
        <v>343.93727888891527</v>
      </c>
      <c r="V365" s="912">
        <v>351.82746805051073</v>
      </c>
      <c r="W365" s="912">
        <v>360.73339056833169</v>
      </c>
      <c r="X365" s="912">
        <v>371.92375563686846</v>
      </c>
      <c r="Y365" s="912">
        <v>381.22301587849751</v>
      </c>
      <c r="Z365" s="912">
        <v>389.10731115707301</v>
      </c>
    </row>
    <row r="366" spans="1:70" ht="13" thickBot="1" x14ac:dyDescent="0.3">
      <c r="A366" s="910" t="s">
        <v>487</v>
      </c>
      <c r="B366" s="912">
        <v>549.81888270324475</v>
      </c>
      <c r="C366" s="912">
        <v>596.84759521484398</v>
      </c>
      <c r="D366" s="912">
        <v>708.90187629235277</v>
      </c>
      <c r="E366" s="912">
        <v>406.38667462869051</v>
      </c>
      <c r="F366" s="912">
        <v>447.16295305198071</v>
      </c>
      <c r="G366" s="912">
        <v>542.65678113398656</v>
      </c>
      <c r="H366" s="912">
        <v>604.00010341071868</v>
      </c>
      <c r="I366" s="912">
        <v>661.06483901631009</v>
      </c>
      <c r="J366" s="912">
        <v>714.35686387994281</v>
      </c>
      <c r="K366" s="912">
        <v>764.16924059162022</v>
      </c>
      <c r="L366" s="912">
        <v>805.13331786340132</v>
      </c>
      <c r="M366" s="912">
        <v>850.39970498506295</v>
      </c>
      <c r="N366" s="912">
        <v>892.06783074940802</v>
      </c>
      <c r="O366" s="912">
        <v>929.55049698437085</v>
      </c>
      <c r="P366" s="912">
        <v>964.20679928883487</v>
      </c>
      <c r="Q366" s="912">
        <v>990.06920191633094</v>
      </c>
      <c r="R366" s="912">
        <v>1016.1557534719609</v>
      </c>
      <c r="S366" s="912">
        <v>1054.8326731961108</v>
      </c>
      <c r="T366" s="912">
        <v>1091.2729592511287</v>
      </c>
      <c r="U366" s="912">
        <v>1118.0349113947391</v>
      </c>
      <c r="V366" s="912">
        <v>1161.085260138974</v>
      </c>
      <c r="W366" s="912">
        <v>1181.9301954596156</v>
      </c>
      <c r="X366" s="912">
        <v>1232.4560893451367</v>
      </c>
      <c r="Y366" s="912">
        <v>1290.1595195386233</v>
      </c>
      <c r="Z366" s="912">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5">
      <c r="A367" s="910" t="s">
        <v>516</v>
      </c>
      <c r="B367" s="912">
        <v>1151.0859678463546</v>
      </c>
      <c r="C367" s="912">
        <v>1235.02709960938</v>
      </c>
      <c r="D367" s="912">
        <v>1405.9186066996403</v>
      </c>
      <c r="E367" s="912">
        <v>993.73713091111074</v>
      </c>
      <c r="F367" s="912">
        <v>991.07514876947641</v>
      </c>
      <c r="G367" s="912">
        <v>1131.7003147881212</v>
      </c>
      <c r="H367" s="912">
        <v>1221.038560105055</v>
      </c>
      <c r="I367" s="912">
        <v>1307.1547250090439</v>
      </c>
      <c r="J367" s="912">
        <v>1389.9450601614428</v>
      </c>
      <c r="K367" s="912">
        <v>1469.7993497059265</v>
      </c>
      <c r="L367" s="912">
        <v>1544.0421618496678</v>
      </c>
      <c r="M367" s="912">
        <v>1624.4209976542634</v>
      </c>
      <c r="N367" s="912">
        <v>1703.8854780296228</v>
      </c>
      <c r="O367" s="912">
        <v>1776.9868521708881</v>
      </c>
      <c r="P367" s="912">
        <v>1854.0622550605767</v>
      </c>
      <c r="Q367" s="912">
        <v>1917.5679054742993</v>
      </c>
      <c r="R367" s="912">
        <v>1978.3954213642144</v>
      </c>
      <c r="S367" s="912">
        <v>2044.5889248527621</v>
      </c>
      <c r="T367" s="912">
        <v>2112.8417777408945</v>
      </c>
      <c r="U367" s="912">
        <v>2163.9271994062915</v>
      </c>
      <c r="V367" s="912">
        <v>2241.4031618089139</v>
      </c>
      <c r="W367" s="912">
        <v>2303.558949985179</v>
      </c>
      <c r="X367" s="912">
        <v>2401.4612280803153</v>
      </c>
      <c r="Y367" s="912">
        <v>2501.5410135735665</v>
      </c>
      <c r="Z367" s="912">
        <v>2576.2560875804752</v>
      </c>
    </row>
    <row r="368" spans="1:70" ht="13" thickBot="1" x14ac:dyDescent="0.3">
      <c r="A368" s="910" t="s">
        <v>629</v>
      </c>
      <c r="B368" s="912">
        <v>3.1288517293273019E-2</v>
      </c>
      <c r="C368" s="912">
        <v>4.0145620703697205E-2</v>
      </c>
      <c r="D368" s="912">
        <v>3.8515830891447944E-2</v>
      </c>
      <c r="E368" s="912">
        <v>2.6303627333810531E-2</v>
      </c>
      <c r="F368" s="912">
        <v>5.6047443014104255E-2</v>
      </c>
      <c r="G368" s="912">
        <v>7.1119337023784479E-2</v>
      </c>
      <c r="H368" s="912">
        <v>8.8428224145552056E-2</v>
      </c>
      <c r="I368" s="912">
        <v>0.10266115711707489</v>
      </c>
      <c r="J368" s="912">
        <v>0.12491143634290662</v>
      </c>
      <c r="K368" s="912">
        <v>2.2293869286864165</v>
      </c>
      <c r="L368" s="912">
        <v>5.6123954184121017</v>
      </c>
      <c r="M368" s="912">
        <v>7.9566359351664051</v>
      </c>
      <c r="N368" s="912">
        <v>12.724991751969894</v>
      </c>
      <c r="O368" s="912">
        <v>19.495647700796784</v>
      </c>
      <c r="P368" s="912">
        <v>28.06371652814466</v>
      </c>
      <c r="Q368" s="912">
        <v>33.841758141316177</v>
      </c>
      <c r="R368" s="912">
        <v>47.452021910622882</v>
      </c>
      <c r="S368" s="912">
        <v>48.667640008057987</v>
      </c>
      <c r="T368" s="912">
        <v>47.767774332439714</v>
      </c>
      <c r="U368" s="912">
        <v>50.842459413568172</v>
      </c>
      <c r="V368" s="912">
        <v>54.12672288853372</v>
      </c>
      <c r="W368" s="912">
        <v>67.349033728123644</v>
      </c>
      <c r="X368" s="912">
        <v>72.870357898145016</v>
      </c>
      <c r="Y368" s="912">
        <v>82.472655922369356</v>
      </c>
      <c r="Z368" s="912">
        <v>85.74303480046683</v>
      </c>
    </row>
    <row r="369" spans="1:70" ht="13" thickBot="1" x14ac:dyDescent="0.3">
      <c r="A369" s="910" t="s">
        <v>518</v>
      </c>
      <c r="B369" s="912">
        <v>1151.1172301979784</v>
      </c>
      <c r="C369" s="912">
        <v>1235.06726074219</v>
      </c>
      <c r="D369" s="912">
        <v>1405.957155546361</v>
      </c>
      <c r="E369" s="912">
        <v>993.76346133595302</v>
      </c>
      <c r="F369" s="912">
        <v>991.13120249830877</v>
      </c>
      <c r="G369" s="912">
        <v>1131.7714475332546</v>
      </c>
      <c r="H369" s="912">
        <v>1221.1269368042056</v>
      </c>
      <c r="I369" s="912">
        <v>1307.2573637523753</v>
      </c>
      <c r="J369" s="912">
        <v>1390.0699789505047</v>
      </c>
      <c r="K369" s="912">
        <v>1472.0286986549243</v>
      </c>
      <c r="L369" s="912">
        <v>1549.6545225531884</v>
      </c>
      <c r="M369" s="912">
        <v>1632.3776685401217</v>
      </c>
      <c r="N369" s="912">
        <v>1716.6105344121597</v>
      </c>
      <c r="O369" s="912">
        <v>1796.4824632434897</v>
      </c>
      <c r="P369" s="912">
        <v>1882.1259667447755</v>
      </c>
      <c r="Q369" s="912">
        <v>1951.4096785174786</v>
      </c>
      <c r="R369" s="912">
        <v>2025.8475094892897</v>
      </c>
      <c r="S369" s="912">
        <v>2093.2565961526161</v>
      </c>
      <c r="T369" s="912">
        <v>2160.609578738799</v>
      </c>
      <c r="U369" s="912">
        <v>2214.7697023873047</v>
      </c>
      <c r="V369" s="912">
        <v>2295.5298624598372</v>
      </c>
      <c r="W369" s="912">
        <v>2370.9079156203875</v>
      </c>
      <c r="X369" s="912">
        <v>2474.3315685955818</v>
      </c>
      <c r="Y369" s="912">
        <v>2584.0136458368329</v>
      </c>
      <c r="Z369" s="912">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 thickBot="1" x14ac:dyDescent="0.3">
      <c r="A373" s="910" t="s">
        <v>630</v>
      </c>
    </row>
    <row r="374" spans="1:70" ht="13" thickBot="1" x14ac:dyDescent="0.3">
      <c r="A374" s="910" t="s">
        <v>631</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 thickBot="1" x14ac:dyDescent="0.3">
      <c r="A375" s="910" t="s">
        <v>632</v>
      </c>
    </row>
    <row r="376" spans="1:70" ht="13" thickBot="1" x14ac:dyDescent="0.3">
      <c r="A376" s="910" t="s">
        <v>728</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5">
      <c r="A377" s="910" t="s">
        <v>729</v>
      </c>
    </row>
    <row r="378" spans="1:70" x14ac:dyDescent="0.25">
      <c r="A378" s="910" t="s">
        <v>649</v>
      </c>
    </row>
    <row r="379" spans="1:70" ht="13" thickBot="1" x14ac:dyDescent="0.3">
      <c r="A379" s="910" t="s">
        <v>650</v>
      </c>
    </row>
    <row r="380" spans="1:70" ht="13" thickBot="1" x14ac:dyDescent="0.3">
      <c r="A380" s="910" t="s">
        <v>651</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5">
      <c r="A381" s="910" t="s">
        <v>652</v>
      </c>
    </row>
    <row r="382" spans="1:70" x14ac:dyDescent="0.25">
      <c r="A382" s="910" t="s">
        <v>653</v>
      </c>
    </row>
    <row r="383" spans="1:70" x14ac:dyDescent="0.25">
      <c r="A383" s="910" t="s">
        <v>654</v>
      </c>
    </row>
    <row r="384" spans="1:70" x14ac:dyDescent="0.25">
      <c r="A384" s="910" t="s">
        <v>545</v>
      </c>
    </row>
    <row r="385" spans="1:70" x14ac:dyDescent="0.25">
      <c r="A385" s="910" t="s">
        <v>730</v>
      </c>
    </row>
    <row r="386" spans="1:70" x14ac:dyDescent="0.25">
      <c r="A386" s="910" t="s">
        <v>731</v>
      </c>
    </row>
    <row r="387" spans="1:70" x14ac:dyDescent="0.25">
      <c r="A387" s="910" t="s">
        <v>732</v>
      </c>
    </row>
    <row r="388" spans="1:70" x14ac:dyDescent="0.25">
      <c r="A388" s="910" t="s">
        <v>733</v>
      </c>
    </row>
    <row r="389" spans="1:70" x14ac:dyDescent="0.25">
      <c r="A389" s="910" t="s">
        <v>734</v>
      </c>
    </row>
    <row r="390" spans="1:70" x14ac:dyDescent="0.25">
      <c r="A390" s="910" t="s">
        <v>735</v>
      </c>
    </row>
    <row r="391" spans="1:70" ht="13" thickBot="1" x14ac:dyDescent="0.3">
      <c r="A391" s="910" t="s">
        <v>736</v>
      </c>
    </row>
    <row r="392" spans="1:70" ht="13" thickBot="1" x14ac:dyDescent="0.3">
      <c r="A392" s="910" t="s">
        <v>737</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 thickBot="1" x14ac:dyDescent="0.3">
      <c r="A393" s="910" t="s">
        <v>738</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5">
      <c r="A394" s="910" t="s">
        <v>739</v>
      </c>
    </row>
    <row r="395" spans="1:70" x14ac:dyDescent="0.25">
      <c r="A395" s="910" t="s">
        <v>740</v>
      </c>
    </row>
    <row r="396" spans="1:70" x14ac:dyDescent="0.25">
      <c r="A396" s="910" t="s">
        <v>741</v>
      </c>
    </row>
    <row r="397" spans="1:70" x14ac:dyDescent="0.25">
      <c r="A397" s="910" t="s">
        <v>742</v>
      </c>
    </row>
    <row r="403" spans="1:26" x14ac:dyDescent="0.25">
      <c r="A403" s="306" t="s">
        <v>862</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5">
      <c r="A404" s="306" t="s">
        <v>601</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5">
      <c r="A405" s="306" t="s">
        <v>602</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5">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5">
      <c r="A407" s="306" t="s">
        <v>447</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5">
      <c r="A408" s="306" t="s">
        <v>603</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5">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5">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5">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5">
      <c r="A412" s="306"/>
      <c r="B412" s="306"/>
      <c r="C412" s="306"/>
      <c r="D412" s="306" t="s">
        <v>451</v>
      </c>
      <c r="E412" s="306" t="s">
        <v>452</v>
      </c>
      <c r="F412" s="306" t="s">
        <v>453</v>
      </c>
      <c r="G412" s="306" t="s">
        <v>454</v>
      </c>
      <c r="H412" s="306" t="s">
        <v>455</v>
      </c>
      <c r="I412" s="306" t="s">
        <v>456</v>
      </c>
      <c r="J412" s="306" t="s">
        <v>457</v>
      </c>
      <c r="K412" s="306" t="s">
        <v>458</v>
      </c>
      <c r="L412" s="306" t="s">
        <v>459</v>
      </c>
      <c r="M412" s="306" t="s">
        <v>460</v>
      </c>
      <c r="N412" s="306" t="s">
        <v>461</v>
      </c>
      <c r="O412" s="306" t="s">
        <v>462</v>
      </c>
      <c r="P412" s="306" t="s">
        <v>463</v>
      </c>
      <c r="Q412" s="306" t="s">
        <v>464</v>
      </c>
      <c r="R412" s="306" t="s">
        <v>465</v>
      </c>
      <c r="S412" s="306" t="s">
        <v>466</v>
      </c>
      <c r="T412" s="306" t="s">
        <v>467</v>
      </c>
      <c r="U412" s="306" t="s">
        <v>468</v>
      </c>
      <c r="V412" s="306" t="s">
        <v>469</v>
      </c>
      <c r="W412" s="306" t="s">
        <v>470</v>
      </c>
      <c r="X412" s="306" t="s">
        <v>471</v>
      </c>
      <c r="Y412" s="306" t="s">
        <v>472</v>
      </c>
      <c r="Z412" s="306" t="s">
        <v>604</v>
      </c>
    </row>
    <row r="413" spans="1:26" x14ac:dyDescent="0.25">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5">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5">
      <c r="A415" s="306" t="s">
        <v>473</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5">
      <c r="A416" s="306" t="s">
        <v>609</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5">
      <c r="A417" s="306" t="s">
        <v>610</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5">
      <c r="A418" s="306" t="s">
        <v>510</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5">
      <c r="A419" s="306" t="s">
        <v>479</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5">
      <c r="A420" s="306" t="s">
        <v>480</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5">
      <c r="A421" s="306" t="s">
        <v>610</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5">
      <c r="A422" s="306" t="s">
        <v>611</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5">
      <c r="A423" s="308" t="s">
        <v>510</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5">
      <c r="A424" s="307" t="s">
        <v>479</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5">
      <c r="A425" s="306" t="s">
        <v>612</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5">
      <c r="A426" s="306" t="s">
        <v>609</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5">
      <c r="A427" s="306" t="s">
        <v>610</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5">
      <c r="A428" s="306" t="s">
        <v>611</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5">
      <c r="A429" s="308" t="s">
        <v>613</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5">
      <c r="A430" s="306" t="s">
        <v>614</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5">
      <c r="A431" s="306" t="s">
        <v>615</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5">
      <c r="A432" s="306" t="s">
        <v>616</v>
      </c>
      <c r="B432" s="306"/>
      <c r="C432" s="306"/>
      <c r="D432" s="306" t="s">
        <v>1081</v>
      </c>
      <c r="E432" s="306" t="s">
        <v>1081</v>
      </c>
      <c r="F432" s="306" t="s">
        <v>1081</v>
      </c>
      <c r="G432" s="306" t="s">
        <v>1081</v>
      </c>
      <c r="H432" s="306" t="s">
        <v>1081</v>
      </c>
      <c r="I432" s="306" t="s">
        <v>1081</v>
      </c>
      <c r="J432" s="306" t="s">
        <v>1081</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5">
      <c r="A433" s="307" t="s">
        <v>479</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5">
      <c r="A434" s="306" t="s">
        <v>487</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5">
      <c r="A435" s="306" t="s">
        <v>617</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5">
      <c r="A436" s="310" t="s">
        <v>618</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5">
      <c r="A437" s="309" t="s">
        <v>619</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5">
      <c r="A438" s="306" t="s">
        <v>620</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5">
      <c r="A439" s="309" t="s">
        <v>621</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5">
      <c r="A440" s="306" t="s">
        <v>611</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5">
      <c r="A441" s="306" t="s">
        <v>622</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5">
      <c r="A442" s="306" t="s">
        <v>479</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5">
      <c r="A443" s="306" t="s">
        <v>623</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5">
      <c r="A444" s="306" t="s">
        <v>610</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5">
      <c r="A445" s="306" t="s">
        <v>611</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5">
      <c r="A446" s="308" t="s">
        <v>510</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5">
      <c r="A447" s="311" t="s">
        <v>624</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5">
      <c r="A448" s="306" t="s">
        <v>625</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5">
      <c r="A449" s="306" t="s">
        <v>609</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5">
      <c r="A450" s="306" t="s">
        <v>618</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5">
      <c r="A451" s="306" t="s">
        <v>619</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5">
      <c r="A452" s="306" t="s">
        <v>626</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5">
      <c r="A453" s="306" t="s">
        <v>610</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5">
      <c r="A454" s="306" t="s">
        <v>611</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5">
      <c r="A455" s="306" t="s">
        <v>510</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5">
      <c r="A456" s="306" t="s">
        <v>614</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5">
      <c r="A457" s="306" t="s">
        <v>627</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5">
      <c r="A458" s="306" t="s">
        <v>616</v>
      </c>
      <c r="B458" s="306"/>
      <c r="C458" s="306"/>
      <c r="D458" s="306" t="s">
        <v>1081</v>
      </c>
      <c r="E458" s="306" t="s">
        <v>1081</v>
      </c>
      <c r="F458" s="306" t="s">
        <v>1081</v>
      </c>
      <c r="G458" s="306" t="s">
        <v>1081</v>
      </c>
      <c r="H458" s="306" t="s">
        <v>1081</v>
      </c>
      <c r="I458" s="306" t="s">
        <v>1081</v>
      </c>
      <c r="J458" s="306" t="s">
        <v>1081</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5">
      <c r="A459" s="306" t="s">
        <v>479</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5">
      <c r="A460" s="306" t="s">
        <v>513</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5">
      <c r="A461" s="306" t="s">
        <v>628</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5">
      <c r="A462" s="306" t="s">
        <v>473</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5">
      <c r="A463" s="306" t="s">
        <v>480</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5">
      <c r="A464" s="306" t="s">
        <v>515</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5">
      <c r="A465" s="306" t="s">
        <v>487</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5">
      <c r="A466" s="306" t="s">
        <v>516</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5">
      <c r="A467" s="306" t="s">
        <v>629</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5">
      <c r="A468" s="306" t="s">
        <v>518</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5">
      <c r="A469" s="293" t="s">
        <v>1080</v>
      </c>
      <c r="B469" s="253" t="s">
        <v>593</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 thickBot="1" x14ac:dyDescent="0.3">
      <c r="A470" s="282" t="s">
        <v>311</v>
      </c>
      <c r="B470" s="253" t="s">
        <v>593</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 thickBot="1" x14ac:dyDescent="0.3">
      <c r="A471" s="306" t="s">
        <v>975</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 thickBot="1" x14ac:dyDescent="0.3">
      <c r="A472" s="306" t="s">
        <v>630</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5">
      <c r="A473" s="306" t="s">
        <v>631</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5">
      <c r="A474" s="306" t="s">
        <v>632</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5">
      <c r="A475" s="306" t="s">
        <v>648</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5">
      <c r="A476" s="306" t="s">
        <v>542</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5">
      <c r="A477" s="306" t="s">
        <v>649</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5">
      <c r="A478" s="306" t="s">
        <v>650</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 thickBot="1" x14ac:dyDescent="0.3">
      <c r="A479" s="306" t="s">
        <v>651</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 thickBot="1" x14ac:dyDescent="0.3">
      <c r="A480" s="306" t="s">
        <v>652</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5">
      <c r="A481" s="306" t="s">
        <v>653</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 thickBot="1" x14ac:dyDescent="0.3">
      <c r="A482" s="306" t="s">
        <v>654</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 thickBot="1" x14ac:dyDescent="0.3">
      <c r="A483" s="306" t="s">
        <v>545</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5">
      <c r="A484" s="306" t="s">
        <v>655</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5">
      <c r="A485" s="306" t="s">
        <v>656</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5">
      <c r="A486" s="306" t="s">
        <v>657</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 thickBot="1" x14ac:dyDescent="0.3">
      <c r="A487" s="306" t="s">
        <v>658</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 thickBot="1" x14ac:dyDescent="0.3">
      <c r="A488" s="306" t="s">
        <v>659</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 thickBot="1" x14ac:dyDescent="0.3">
      <c r="A489" s="306" t="s">
        <v>660</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 thickBot="1" x14ac:dyDescent="0.3">
      <c r="A490" s="306" t="s">
        <v>661</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5">
      <c r="A491" s="306" t="s">
        <v>663</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5">
      <c r="A492" s="306" t="s">
        <v>925</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 thickBot="1" x14ac:dyDescent="0.3">
      <c r="A493" s="306" t="s">
        <v>926</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 thickBot="1" x14ac:dyDescent="0.3">
      <c r="A494" s="306" t="s">
        <v>948</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5">
      <c r="A495" s="306" t="s">
        <v>949</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5">
      <c r="A496" s="306" t="s">
        <v>974</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 thickBot="1" x14ac:dyDescent="0.3"/>
    <row r="500" spans="1:70" ht="13" x14ac:dyDescent="0.3">
      <c r="A500" s="246" t="s">
        <v>442</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5">
      <c r="A501" s="249" t="s">
        <v>443</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5">
      <c r="A502" s="249" t="s">
        <v>858</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5">
      <c r="A503" s="249" t="s">
        <v>859</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5">
      <c r="A504" s="249" t="s">
        <v>444</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 thickBot="1" x14ac:dyDescent="0.3">
      <c r="A505" s="249" t="s">
        <v>445</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 thickBot="1" x14ac:dyDescent="0.3">
      <c r="A506" s="251" t="s">
        <v>446</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 thickBot="1" x14ac:dyDescent="0.3">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5">
      <c r="A508" s="252" t="s">
        <v>447</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5">
      <c r="A509" s="252" t="s">
        <v>448</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5">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5">
      <c r="A511" s="249" t="s">
        <v>440</v>
      </c>
      <c r="B511" s="250" t="s">
        <v>449</v>
      </c>
      <c r="C511" s="250" t="s">
        <v>450</v>
      </c>
      <c r="D511" s="250" t="s">
        <v>451</v>
      </c>
      <c r="E511" s="250" t="s">
        <v>452</v>
      </c>
      <c r="F511" s="250" t="s">
        <v>453</v>
      </c>
      <c r="G511" s="250" t="s">
        <v>454</v>
      </c>
      <c r="H511" s="250" t="s">
        <v>455</v>
      </c>
      <c r="I511" s="250" t="s">
        <v>456</v>
      </c>
      <c r="J511" s="250" t="s">
        <v>457</v>
      </c>
      <c r="K511" s="250" t="s">
        <v>458</v>
      </c>
      <c r="L511" s="250" t="s">
        <v>459</v>
      </c>
      <c r="M511" s="250" t="s">
        <v>460</v>
      </c>
      <c r="N511" s="250" t="s">
        <v>461</v>
      </c>
      <c r="O511" s="250" t="s">
        <v>462</v>
      </c>
      <c r="P511" s="250" t="s">
        <v>463</v>
      </c>
      <c r="Q511" s="250" t="s">
        <v>464</v>
      </c>
      <c r="R511" s="250" t="s">
        <v>465</v>
      </c>
      <c r="S511" s="250" t="s">
        <v>466</v>
      </c>
      <c r="T511" s="250" t="s">
        <v>467</v>
      </c>
      <c r="U511" s="250" t="s">
        <v>468</v>
      </c>
      <c r="V511" s="250" t="s">
        <v>469</v>
      </c>
      <c r="W511" s="250" t="s">
        <v>470</v>
      </c>
      <c r="X511" s="250" t="s">
        <v>471</v>
      </c>
      <c r="Y511" s="250" t="s">
        <v>472</v>
      </c>
      <c r="Z511">
        <v>2026</v>
      </c>
    </row>
    <row r="512" spans="1:70" x14ac:dyDescent="0.25">
      <c r="A512" s="249" t="s">
        <v>440</v>
      </c>
      <c r="B512" s="250" t="s">
        <v>440</v>
      </c>
      <c r="C512" s="250" t="s">
        <v>440</v>
      </c>
      <c r="D512" s="250" t="s">
        <v>440</v>
      </c>
      <c r="E512" s="250" t="s">
        <v>440</v>
      </c>
      <c r="F512" s="250" t="s">
        <v>440</v>
      </c>
      <c r="G512" s="250" t="s">
        <v>440</v>
      </c>
      <c r="H512" s="250" t="s">
        <v>440</v>
      </c>
      <c r="I512" s="250" t="s">
        <v>440</v>
      </c>
      <c r="J512" s="250" t="s">
        <v>440</v>
      </c>
      <c r="K512" s="250" t="s">
        <v>440</v>
      </c>
      <c r="L512" s="250" t="s">
        <v>440</v>
      </c>
      <c r="M512" s="250" t="s">
        <v>440</v>
      </c>
      <c r="N512" s="250" t="s">
        <v>440</v>
      </c>
      <c r="O512" s="250" t="s">
        <v>440</v>
      </c>
      <c r="P512" s="250" t="s">
        <v>440</v>
      </c>
      <c r="Q512" s="250" t="s">
        <v>440</v>
      </c>
      <c r="R512" s="250" t="s">
        <v>440</v>
      </c>
      <c r="S512" s="250" t="s">
        <v>440</v>
      </c>
      <c r="T512" s="250" t="s">
        <v>440</v>
      </c>
      <c r="U512" s="250" t="s">
        <v>440</v>
      </c>
      <c r="V512" s="250" t="s">
        <v>440</v>
      </c>
      <c r="W512" s="250" t="s">
        <v>440</v>
      </c>
      <c r="X512" s="250" t="s">
        <v>440</v>
      </c>
      <c r="Y512" s="250" t="s">
        <v>440</v>
      </c>
    </row>
    <row r="513" spans="1:26" x14ac:dyDescent="0.25">
      <c r="A513" s="249" t="s">
        <v>440</v>
      </c>
      <c r="B513" s="250" t="s">
        <v>440</v>
      </c>
      <c r="C513" s="250" t="s">
        <v>440</v>
      </c>
      <c r="D513" s="250" t="s">
        <v>440</v>
      </c>
      <c r="E513" s="250" t="s">
        <v>440</v>
      </c>
      <c r="F513" s="250" t="s">
        <v>440</v>
      </c>
      <c r="G513" s="250" t="s">
        <v>440</v>
      </c>
      <c r="H513" s="250" t="s">
        <v>440</v>
      </c>
      <c r="I513" s="250" t="s">
        <v>440</v>
      </c>
      <c r="J513" s="250" t="s">
        <v>440</v>
      </c>
      <c r="K513" s="250" t="s">
        <v>440</v>
      </c>
      <c r="L513" s="250" t="s">
        <v>440</v>
      </c>
      <c r="M513" s="250" t="s">
        <v>440</v>
      </c>
      <c r="N513" s="250" t="s">
        <v>440</v>
      </c>
      <c r="O513" s="250" t="s">
        <v>440</v>
      </c>
      <c r="P513" s="250" t="s">
        <v>440</v>
      </c>
      <c r="Q513" s="250" t="s">
        <v>440</v>
      </c>
      <c r="R513" s="250" t="s">
        <v>440</v>
      </c>
      <c r="S513" s="250" t="s">
        <v>440</v>
      </c>
      <c r="T513" s="250" t="s">
        <v>440</v>
      </c>
      <c r="U513" s="250" t="s">
        <v>440</v>
      </c>
      <c r="V513" s="250" t="s">
        <v>440</v>
      </c>
      <c r="W513" s="250" t="s">
        <v>440</v>
      </c>
      <c r="X513" s="250" t="s">
        <v>440</v>
      </c>
      <c r="Y513" s="250" t="s">
        <v>440</v>
      </c>
    </row>
    <row r="514" spans="1:26" x14ac:dyDescent="0.25">
      <c r="A514" s="249" t="s">
        <v>473</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5">
      <c r="A515" s="249" t="s">
        <v>474</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5">
      <c r="A516" s="249" t="s">
        <v>475</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5">
      <c r="A517" s="249" t="s">
        <v>476</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5">
      <c r="A518" s="249" t="s">
        <v>477</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5">
      <c r="A519" s="249" t="s">
        <v>478</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5">
      <c r="A520" s="249" t="s">
        <v>479</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5">
      <c r="A521" s="249" t="s">
        <v>440</v>
      </c>
      <c r="B521" s="253" t="s">
        <v>440</v>
      </c>
      <c r="C521" s="253" t="s">
        <v>440</v>
      </c>
      <c r="D521" s="253" t="s">
        <v>440</v>
      </c>
      <c r="E521" s="253" t="s">
        <v>440</v>
      </c>
      <c r="F521" s="253" t="s">
        <v>440</v>
      </c>
      <c r="G521" s="253" t="s">
        <v>440</v>
      </c>
      <c r="H521" s="253" t="s">
        <v>440</v>
      </c>
      <c r="I521" s="253" t="s">
        <v>440</v>
      </c>
      <c r="J521" s="253" t="s">
        <v>440</v>
      </c>
      <c r="K521" s="253" t="s">
        <v>440</v>
      </c>
      <c r="L521" s="253" t="s">
        <v>440</v>
      </c>
      <c r="M521" s="253" t="s">
        <v>440</v>
      </c>
      <c r="N521" s="253" t="s">
        <v>440</v>
      </c>
      <c r="O521" s="253" t="s">
        <v>440</v>
      </c>
      <c r="P521" s="253" t="s">
        <v>440</v>
      </c>
      <c r="Q521" s="253" t="s">
        <v>440</v>
      </c>
      <c r="R521" s="253" t="s">
        <v>440</v>
      </c>
      <c r="S521" s="253" t="s">
        <v>440</v>
      </c>
      <c r="T521" s="253" t="s">
        <v>440</v>
      </c>
      <c r="U521" s="253" t="s">
        <v>440</v>
      </c>
      <c r="V521" s="253" t="s">
        <v>440</v>
      </c>
      <c r="W521" s="253" t="s">
        <v>440</v>
      </c>
      <c r="X521" s="253" t="s">
        <v>440</v>
      </c>
      <c r="Y521" s="253" t="s">
        <v>440</v>
      </c>
    </row>
    <row r="522" spans="1:26" x14ac:dyDescent="0.25">
      <c r="A522" s="249" t="s">
        <v>480</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5">
      <c r="A523" s="249" t="s">
        <v>474</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5">
      <c r="A524" s="249" t="s">
        <v>475</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5">
      <c r="A525" s="249" t="s">
        <v>476</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5">
      <c r="A526" s="249" t="s">
        <v>481</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5">
      <c r="A527" s="274" t="s">
        <v>478</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5">
      <c r="A528" s="276" t="s">
        <v>479</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5">
      <c r="A529" s="249" t="s">
        <v>440</v>
      </c>
      <c r="B529" s="253" t="s">
        <v>440</v>
      </c>
      <c r="C529" s="253" t="s">
        <v>440</v>
      </c>
      <c r="D529" s="253" t="s">
        <v>440</v>
      </c>
      <c r="E529" s="253" t="s">
        <v>440</v>
      </c>
      <c r="F529" s="253" t="s">
        <v>440</v>
      </c>
      <c r="G529" s="253" t="s">
        <v>440</v>
      </c>
      <c r="H529" s="253" t="s">
        <v>440</v>
      </c>
      <c r="I529" s="253" t="s">
        <v>440</v>
      </c>
      <c r="J529" s="253" t="s">
        <v>440</v>
      </c>
      <c r="K529" s="253" t="s">
        <v>440</v>
      </c>
      <c r="L529" s="253" t="s">
        <v>440</v>
      </c>
      <c r="M529" s="253" t="s">
        <v>440</v>
      </c>
      <c r="N529" s="253" t="s">
        <v>440</v>
      </c>
      <c r="O529" s="253" t="s">
        <v>440</v>
      </c>
      <c r="P529" s="253" t="s">
        <v>440</v>
      </c>
      <c r="Q529" s="253" t="s">
        <v>440</v>
      </c>
      <c r="R529" s="253" t="s">
        <v>440</v>
      </c>
      <c r="S529" s="253" t="s">
        <v>440</v>
      </c>
      <c r="T529" s="253" t="s">
        <v>440</v>
      </c>
      <c r="U529" s="253" t="s">
        <v>440</v>
      </c>
      <c r="V529" s="253" t="s">
        <v>440</v>
      </c>
      <c r="W529" s="253" t="s">
        <v>440</v>
      </c>
      <c r="X529" s="253" t="s">
        <v>440</v>
      </c>
      <c r="Y529" s="253" t="s">
        <v>440</v>
      </c>
    </row>
    <row r="530" spans="1:71" ht="13" thickBot="1" x14ac:dyDescent="0.3">
      <c r="A530" s="249" t="s">
        <v>482</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 thickBot="1" x14ac:dyDescent="0.3">
      <c r="A531" s="249" t="s">
        <v>483</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5">
      <c r="A532" s="249" t="s">
        <v>475</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5">
      <c r="A533" s="249" t="s">
        <v>476</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5">
      <c r="A534" s="249" t="s">
        <v>477</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5">
      <c r="A535" s="249" t="s">
        <v>481</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5">
      <c r="A536" s="274" t="s">
        <v>484</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5">
      <c r="A537" s="249" t="s">
        <v>485</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5">
      <c r="A538" s="249" t="s">
        <v>486</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5">
      <c r="A539" s="276" t="s">
        <v>479</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5">
      <c r="A540" s="249" t="s">
        <v>440</v>
      </c>
      <c r="B540" s="253" t="s">
        <v>440</v>
      </c>
      <c r="C540" s="253" t="s">
        <v>440</v>
      </c>
      <c r="D540" s="253" t="s">
        <v>440</v>
      </c>
      <c r="E540" s="253" t="s">
        <v>440</v>
      </c>
      <c r="F540" s="253" t="s">
        <v>440</v>
      </c>
      <c r="G540" s="253" t="s">
        <v>440</v>
      </c>
      <c r="H540" s="253" t="s">
        <v>440</v>
      </c>
      <c r="I540" s="253" t="s">
        <v>440</v>
      </c>
      <c r="J540" s="253" t="s">
        <v>440</v>
      </c>
      <c r="K540" s="253" t="s">
        <v>440</v>
      </c>
      <c r="L540" s="253" t="s">
        <v>440</v>
      </c>
      <c r="M540" s="253" t="s">
        <v>440</v>
      </c>
      <c r="N540" s="253" t="s">
        <v>440</v>
      </c>
      <c r="O540" s="253" t="s">
        <v>440</v>
      </c>
      <c r="P540" s="253" t="s">
        <v>440</v>
      </c>
      <c r="Q540" s="253" t="s">
        <v>440</v>
      </c>
      <c r="R540" s="253" t="s">
        <v>440</v>
      </c>
      <c r="S540" s="253" t="s">
        <v>440</v>
      </c>
      <c r="T540" s="253" t="s">
        <v>440</v>
      </c>
      <c r="U540" s="253" t="s">
        <v>440</v>
      </c>
      <c r="V540" s="253" t="s">
        <v>440</v>
      </c>
      <c r="W540" s="253" t="s">
        <v>440</v>
      </c>
      <c r="X540" s="253" t="s">
        <v>440</v>
      </c>
      <c r="Y540" s="253" t="s">
        <v>440</v>
      </c>
    </row>
    <row r="541" spans="1:71" x14ac:dyDescent="0.25">
      <c r="A541" s="249" t="s">
        <v>487</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5">
      <c r="A542" s="249" t="s">
        <v>483</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5">
      <c r="A543" s="249" t="s">
        <v>475</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5">
      <c r="A544" s="280" t="s">
        <v>488</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5">
      <c r="A545" s="249" t="s">
        <v>489</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5">
      <c r="A546" s="280" t="s">
        <v>490</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5">
      <c r="A547" s="249" t="s">
        <v>481</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5">
      <c r="A548" s="249" t="s">
        <v>491</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5">
      <c r="A549" s="249" t="s">
        <v>492</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5">
      <c r="A550" s="282" t="s">
        <v>497</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5">
      <c r="A551" s="249" t="s">
        <v>479</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5">
      <c r="A552" s="249" t="s">
        <v>440</v>
      </c>
      <c r="B552" s="253" t="s">
        <v>440</v>
      </c>
      <c r="C552" s="253" t="s">
        <v>440</v>
      </c>
      <c r="D552" s="253" t="s">
        <v>440</v>
      </c>
      <c r="E552" s="253" t="s">
        <v>440</v>
      </c>
      <c r="F552" s="253" t="s">
        <v>440</v>
      </c>
      <c r="G552" s="253" t="s">
        <v>440</v>
      </c>
      <c r="H552" s="253" t="s">
        <v>440</v>
      </c>
      <c r="I552" s="253" t="s">
        <v>440</v>
      </c>
      <c r="J552" s="253" t="s">
        <v>440</v>
      </c>
      <c r="K552" s="253" t="s">
        <v>440</v>
      </c>
      <c r="L552" s="253" t="s">
        <v>440</v>
      </c>
      <c r="M552" s="253" t="s">
        <v>440</v>
      </c>
      <c r="N552" s="253" t="s">
        <v>440</v>
      </c>
      <c r="O552" s="253" t="s">
        <v>440</v>
      </c>
      <c r="P552" s="253" t="s">
        <v>440</v>
      </c>
      <c r="Q552" s="253" t="s">
        <v>440</v>
      </c>
      <c r="R552" s="253" t="s">
        <v>440</v>
      </c>
      <c r="S552" s="253" t="s">
        <v>440</v>
      </c>
      <c r="T552" s="253" t="s">
        <v>440</v>
      </c>
      <c r="U552" s="253" t="s">
        <v>440</v>
      </c>
      <c r="V552" s="253" t="s">
        <v>440</v>
      </c>
      <c r="W552" s="253" t="s">
        <v>440</v>
      </c>
      <c r="X552" s="253" t="s">
        <v>440</v>
      </c>
      <c r="Y552" s="253" t="s">
        <v>440</v>
      </c>
    </row>
    <row r="553" spans="1:26" x14ac:dyDescent="0.25">
      <c r="A553" s="249" t="s">
        <v>498</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5">
      <c r="A554" s="249" t="s">
        <v>483</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5">
      <c r="A555" s="249" t="s">
        <v>479</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5">
      <c r="A556" s="249" t="s">
        <v>440</v>
      </c>
      <c r="B556" s="253" t="s">
        <v>440</v>
      </c>
      <c r="C556" s="253" t="s">
        <v>440</v>
      </c>
      <c r="D556" s="253" t="s">
        <v>440</v>
      </c>
      <c r="E556" s="253" t="s">
        <v>440</v>
      </c>
      <c r="F556" s="253" t="s">
        <v>440</v>
      </c>
      <c r="G556" s="253" t="s">
        <v>440</v>
      </c>
      <c r="H556" s="253" t="s">
        <v>440</v>
      </c>
      <c r="I556" s="253" t="s">
        <v>440</v>
      </c>
      <c r="J556" s="253" t="s">
        <v>440</v>
      </c>
      <c r="K556" s="253" t="s">
        <v>440</v>
      </c>
      <c r="L556" s="253" t="s">
        <v>440</v>
      </c>
      <c r="M556" s="253" t="s">
        <v>440</v>
      </c>
      <c r="N556" s="253" t="s">
        <v>440</v>
      </c>
      <c r="O556" s="253" t="s">
        <v>440</v>
      </c>
      <c r="P556" s="253" t="s">
        <v>440</v>
      </c>
      <c r="Q556" s="253" t="s">
        <v>440</v>
      </c>
      <c r="R556" s="253" t="s">
        <v>440</v>
      </c>
      <c r="S556" s="253" t="s">
        <v>440</v>
      </c>
      <c r="T556" s="253" t="s">
        <v>440</v>
      </c>
      <c r="U556" s="253" t="s">
        <v>440</v>
      </c>
      <c r="V556" s="253" t="s">
        <v>440</v>
      </c>
      <c r="W556" s="253" t="s">
        <v>440</v>
      </c>
      <c r="X556" s="253" t="s">
        <v>440</v>
      </c>
      <c r="Y556" s="253" t="s">
        <v>440</v>
      </c>
    </row>
    <row r="557" spans="1:26" x14ac:dyDescent="0.25">
      <c r="A557" s="249" t="s">
        <v>499</v>
      </c>
      <c r="B557" s="253" t="s">
        <v>440</v>
      </c>
      <c r="C557" s="253" t="s">
        <v>440</v>
      </c>
      <c r="D557" s="253" t="s">
        <v>440</v>
      </c>
      <c r="E557" s="253" t="s">
        <v>440</v>
      </c>
      <c r="F557" s="253" t="s">
        <v>440</v>
      </c>
      <c r="G557" s="253" t="s">
        <v>440</v>
      </c>
      <c r="H557" s="253" t="s">
        <v>440</v>
      </c>
      <c r="I557" s="253" t="s">
        <v>440</v>
      </c>
      <c r="J557" s="253" t="s">
        <v>440</v>
      </c>
      <c r="K557" s="253" t="s">
        <v>440</v>
      </c>
      <c r="L557" s="253" t="s">
        <v>440</v>
      </c>
      <c r="M557" s="253" t="s">
        <v>440</v>
      </c>
      <c r="N557" s="253" t="s">
        <v>440</v>
      </c>
      <c r="O557" s="253" t="s">
        <v>440</v>
      </c>
      <c r="P557" s="253" t="s">
        <v>440</v>
      </c>
      <c r="Q557" s="253" t="s">
        <v>440</v>
      </c>
      <c r="R557" s="253" t="s">
        <v>440</v>
      </c>
      <c r="S557" s="253" t="s">
        <v>440</v>
      </c>
      <c r="T557" s="253" t="s">
        <v>440</v>
      </c>
      <c r="U557" s="253" t="s">
        <v>440</v>
      </c>
      <c r="V557" s="253" t="s">
        <v>440</v>
      </c>
      <c r="W557" s="253" t="s">
        <v>440</v>
      </c>
      <c r="X557" s="253" t="s">
        <v>440</v>
      </c>
      <c r="Y557" s="253" t="s">
        <v>440</v>
      </c>
    </row>
    <row r="558" spans="1:26" x14ac:dyDescent="0.25">
      <c r="A558" s="249" t="s">
        <v>500</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5">
      <c r="A559" s="249" t="s">
        <v>502</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5">
      <c r="A560" s="249" t="s">
        <v>476</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5">
      <c r="A561" s="249" t="s">
        <v>481</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5">
      <c r="A562" s="274" t="s">
        <v>478</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5">
      <c r="A563" s="278" t="s">
        <v>486</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5">
      <c r="A564" s="249" t="s">
        <v>440</v>
      </c>
      <c r="B564" s="253" t="s">
        <v>440</v>
      </c>
      <c r="C564" s="253" t="s">
        <v>440</v>
      </c>
      <c r="D564" s="253" t="s">
        <v>440</v>
      </c>
      <c r="E564" s="253" t="s">
        <v>440</v>
      </c>
      <c r="F564" s="253" t="s">
        <v>440</v>
      </c>
      <c r="G564" s="253" t="s">
        <v>440</v>
      </c>
      <c r="H564" s="253" t="s">
        <v>440</v>
      </c>
      <c r="I564" s="253" t="s">
        <v>440</v>
      </c>
      <c r="J564" s="253" t="s">
        <v>440</v>
      </c>
      <c r="K564" s="253" t="s">
        <v>440</v>
      </c>
      <c r="L564" s="253" t="s">
        <v>440</v>
      </c>
      <c r="M564" s="253" t="s">
        <v>440</v>
      </c>
      <c r="N564" s="253" t="s">
        <v>440</v>
      </c>
      <c r="O564" s="253" t="s">
        <v>440</v>
      </c>
      <c r="P564" s="253" t="s">
        <v>440</v>
      </c>
      <c r="Q564" s="253" t="s">
        <v>440</v>
      </c>
      <c r="R564" s="253" t="s">
        <v>440</v>
      </c>
      <c r="S564" s="253" t="s">
        <v>440</v>
      </c>
      <c r="T564" s="253" t="s">
        <v>440</v>
      </c>
      <c r="U564" s="253" t="s">
        <v>440</v>
      </c>
      <c r="V564" s="253" t="s">
        <v>440</v>
      </c>
      <c r="W564" s="253" t="s">
        <v>440</v>
      </c>
      <c r="X564" s="253" t="s">
        <v>440</v>
      </c>
      <c r="Y564" s="253" t="s">
        <v>440</v>
      </c>
    </row>
    <row r="565" spans="1:26" x14ac:dyDescent="0.25">
      <c r="A565" s="249" t="s">
        <v>503</v>
      </c>
      <c r="B565" s="253" t="s">
        <v>440</v>
      </c>
      <c r="C565" s="253" t="s">
        <v>440</v>
      </c>
      <c r="D565" s="253" t="s">
        <v>440</v>
      </c>
      <c r="E565" s="253" t="s">
        <v>440</v>
      </c>
      <c r="F565" s="253" t="s">
        <v>440</v>
      </c>
      <c r="G565" s="253" t="s">
        <v>440</v>
      </c>
      <c r="H565" s="253" t="s">
        <v>440</v>
      </c>
      <c r="I565" s="253" t="s">
        <v>440</v>
      </c>
      <c r="J565" s="253" t="s">
        <v>440</v>
      </c>
      <c r="K565" s="253" t="s">
        <v>440</v>
      </c>
      <c r="L565" s="253" t="s">
        <v>440</v>
      </c>
      <c r="M565" s="253" t="s">
        <v>440</v>
      </c>
      <c r="N565" s="253" t="s">
        <v>440</v>
      </c>
      <c r="O565" s="253" t="s">
        <v>440</v>
      </c>
      <c r="P565" s="253" t="s">
        <v>440</v>
      </c>
      <c r="Q565" s="253" t="s">
        <v>440</v>
      </c>
      <c r="R565" s="253" t="s">
        <v>440</v>
      </c>
      <c r="S565" s="253" t="s">
        <v>440</v>
      </c>
      <c r="T565" s="253" t="s">
        <v>440</v>
      </c>
      <c r="U565" s="253" t="s">
        <v>440</v>
      </c>
      <c r="V565" s="253" t="s">
        <v>440</v>
      </c>
      <c r="W565" s="253" t="s">
        <v>440</v>
      </c>
      <c r="X565" s="253" t="s">
        <v>440</v>
      </c>
      <c r="Y565" s="253" t="s">
        <v>440</v>
      </c>
    </row>
    <row r="566" spans="1:26" x14ac:dyDescent="0.25">
      <c r="A566" s="249" t="s">
        <v>504</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5">
      <c r="A567" s="249" t="s">
        <v>505</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5">
      <c r="A568" s="249" t="s">
        <v>506</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5">
      <c r="A569" s="249" t="s">
        <v>507</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5">
      <c r="A570" s="249" t="s">
        <v>508</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5">
      <c r="A571" s="249" t="s">
        <v>509</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5">
      <c r="A572" s="249" t="s">
        <v>510</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5">
      <c r="A573" s="249" t="s">
        <v>511</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5">
      <c r="A574" s="249" t="s">
        <v>512</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5">
      <c r="A575" s="249" t="s">
        <v>479</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5">
      <c r="A576" s="249" t="s">
        <v>440</v>
      </c>
      <c r="B576" s="253" t="s">
        <v>440</v>
      </c>
      <c r="C576" s="253" t="s">
        <v>440</v>
      </c>
      <c r="D576" s="253" t="s">
        <v>440</v>
      </c>
      <c r="E576" s="253" t="s">
        <v>440</v>
      </c>
      <c r="F576" s="253" t="s">
        <v>440</v>
      </c>
      <c r="G576" s="253" t="s">
        <v>440</v>
      </c>
      <c r="H576" s="253" t="s">
        <v>440</v>
      </c>
      <c r="I576" s="253" t="s">
        <v>440</v>
      </c>
      <c r="J576" s="253" t="s">
        <v>440</v>
      </c>
      <c r="K576" s="253" t="s">
        <v>440</v>
      </c>
      <c r="L576" s="253" t="s">
        <v>440</v>
      </c>
      <c r="M576" s="253" t="s">
        <v>440</v>
      </c>
      <c r="N576" s="253" t="s">
        <v>440</v>
      </c>
      <c r="O576" s="253" t="s">
        <v>440</v>
      </c>
      <c r="P576" s="253" t="s">
        <v>440</v>
      </c>
      <c r="Q576" s="253" t="s">
        <v>440</v>
      </c>
      <c r="R576" s="253" t="s">
        <v>440</v>
      </c>
      <c r="S576" s="253" t="s">
        <v>440</v>
      </c>
      <c r="T576" s="253" t="s">
        <v>440</v>
      </c>
      <c r="U576" s="253" t="s">
        <v>440</v>
      </c>
      <c r="V576" s="253" t="s">
        <v>440</v>
      </c>
      <c r="W576" s="253" t="s">
        <v>440</v>
      </c>
      <c r="X576" s="253" t="s">
        <v>440</v>
      </c>
      <c r="Y576" s="253" t="s">
        <v>440</v>
      </c>
    </row>
    <row r="577" spans="1:25" x14ac:dyDescent="0.25">
      <c r="A577" s="249" t="s">
        <v>513</v>
      </c>
      <c r="B577" s="253" t="s">
        <v>440</v>
      </c>
      <c r="C577" s="253" t="s">
        <v>440</v>
      </c>
      <c r="D577" s="253" t="s">
        <v>440</v>
      </c>
      <c r="E577" s="253" t="s">
        <v>440</v>
      </c>
      <c r="F577" s="253" t="s">
        <v>440</v>
      </c>
      <c r="G577" s="253" t="s">
        <v>440</v>
      </c>
      <c r="H577" s="253" t="s">
        <v>440</v>
      </c>
      <c r="I577" s="253" t="s">
        <v>440</v>
      </c>
      <c r="J577" s="253" t="s">
        <v>440</v>
      </c>
      <c r="K577" s="253" t="s">
        <v>440</v>
      </c>
      <c r="L577" s="253" t="s">
        <v>440</v>
      </c>
      <c r="M577" s="253" t="s">
        <v>440</v>
      </c>
      <c r="N577" s="253" t="s">
        <v>440</v>
      </c>
      <c r="O577" s="253" t="s">
        <v>440</v>
      </c>
      <c r="P577" s="253" t="s">
        <v>440</v>
      </c>
      <c r="Q577" s="253" t="s">
        <v>440</v>
      </c>
      <c r="R577" s="253" t="s">
        <v>440</v>
      </c>
      <c r="S577" s="253" t="s">
        <v>440</v>
      </c>
      <c r="T577" s="253" t="s">
        <v>440</v>
      </c>
      <c r="U577" s="253" t="s">
        <v>440</v>
      </c>
      <c r="V577" s="253" t="s">
        <v>440</v>
      </c>
      <c r="W577" s="253" t="s">
        <v>440</v>
      </c>
      <c r="X577" s="253" t="s">
        <v>440</v>
      </c>
      <c r="Y577" s="253" t="s">
        <v>440</v>
      </c>
    </row>
    <row r="578" spans="1:25" x14ac:dyDescent="0.25">
      <c r="A578" s="249" t="s">
        <v>514</v>
      </c>
      <c r="B578" s="253" t="s">
        <v>440</v>
      </c>
      <c r="C578" s="253" t="s">
        <v>440</v>
      </c>
      <c r="D578" s="253" t="s">
        <v>440</v>
      </c>
      <c r="E578" s="253" t="s">
        <v>440</v>
      </c>
      <c r="F578" s="253" t="s">
        <v>440</v>
      </c>
      <c r="G578" s="253" t="s">
        <v>440</v>
      </c>
      <c r="H578" s="253" t="s">
        <v>440</v>
      </c>
      <c r="I578" s="253" t="s">
        <v>440</v>
      </c>
      <c r="J578" s="253" t="s">
        <v>440</v>
      </c>
      <c r="K578" s="253" t="s">
        <v>440</v>
      </c>
      <c r="L578" s="253" t="s">
        <v>440</v>
      </c>
      <c r="M578" s="253" t="s">
        <v>440</v>
      </c>
      <c r="N578" s="253" t="s">
        <v>440</v>
      </c>
      <c r="O578" s="253" t="s">
        <v>440</v>
      </c>
      <c r="P578" s="253" t="s">
        <v>440</v>
      </c>
      <c r="Q578" s="253" t="s">
        <v>440</v>
      </c>
      <c r="R578" s="253" t="s">
        <v>440</v>
      </c>
      <c r="S578" s="253" t="s">
        <v>440</v>
      </c>
      <c r="T578" s="253" t="s">
        <v>440</v>
      </c>
      <c r="U578" s="253" t="s">
        <v>440</v>
      </c>
      <c r="V578" s="253" t="s">
        <v>440</v>
      </c>
      <c r="W578" s="253" t="s">
        <v>440</v>
      </c>
      <c r="X578" s="253" t="s">
        <v>440</v>
      </c>
      <c r="Y578" s="253" t="s">
        <v>440</v>
      </c>
    </row>
    <row r="579" spans="1:25" x14ac:dyDescent="0.25">
      <c r="A579" s="249" t="s">
        <v>473</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5">
      <c r="A580" s="249" t="s">
        <v>480</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5">
      <c r="A581" s="249" t="s">
        <v>515</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5">
      <c r="A582" s="249" t="s">
        <v>487</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5">
      <c r="A583" s="249" t="s">
        <v>516</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5">
      <c r="A584" s="249" t="s">
        <v>517</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5">
      <c r="A585" s="249" t="s">
        <v>518</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5">
      <c r="A586" s="293" t="s">
        <v>1080</v>
      </c>
      <c r="B586" s="253" t="s">
        <v>593</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5">
      <c r="A587" s="282" t="s">
        <v>311</v>
      </c>
      <c r="B587" s="253" t="s">
        <v>593</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5">
      <c r="A588" s="249" t="s">
        <v>440</v>
      </c>
      <c r="B588" s="253" t="s">
        <v>440</v>
      </c>
      <c r="C588" s="253" t="s">
        <v>440</v>
      </c>
      <c r="D588" s="253" t="s">
        <v>440</v>
      </c>
      <c r="E588" s="253" t="s">
        <v>440</v>
      </c>
      <c r="F588" s="253" t="s">
        <v>440</v>
      </c>
      <c r="G588" s="253" t="s">
        <v>440</v>
      </c>
      <c r="H588" s="253" t="s">
        <v>440</v>
      </c>
      <c r="I588" s="253" t="s">
        <v>440</v>
      </c>
      <c r="J588" s="253" t="s">
        <v>440</v>
      </c>
      <c r="K588" s="253" t="s">
        <v>440</v>
      </c>
      <c r="L588" s="253" t="s">
        <v>440</v>
      </c>
      <c r="M588" s="253" t="s">
        <v>440</v>
      </c>
      <c r="N588" s="253" t="s">
        <v>440</v>
      </c>
      <c r="O588" s="253" t="s">
        <v>440</v>
      </c>
      <c r="P588" s="253" t="s">
        <v>440</v>
      </c>
      <c r="Q588" s="253" t="s">
        <v>440</v>
      </c>
      <c r="R588" s="253" t="s">
        <v>440</v>
      </c>
      <c r="S588" s="253" t="s">
        <v>440</v>
      </c>
      <c r="T588" s="253" t="s">
        <v>440</v>
      </c>
      <c r="U588" s="253" t="s">
        <v>440</v>
      </c>
      <c r="V588" s="253" t="s">
        <v>440</v>
      </c>
      <c r="W588" s="253" t="s">
        <v>440</v>
      </c>
      <c r="X588" s="253" t="s">
        <v>440</v>
      </c>
      <c r="Y588" s="253" t="s">
        <v>440</v>
      </c>
    </row>
    <row r="589" spans="1:25" x14ac:dyDescent="0.25">
      <c r="A589" s="249" t="s">
        <v>519</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5">
      <c r="A590" s="249" t="s">
        <v>520</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5">
      <c r="A591" s="249" t="s">
        <v>521</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5">
      <c r="A592" s="249" t="s">
        <v>522</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5">
      <c r="A593" s="249" t="s">
        <v>523</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5">
      <c r="A594" s="249" t="s">
        <v>524</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5">
      <c r="A595" s="249" t="s">
        <v>525</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5">
      <c r="A596" s="249" t="s">
        <v>526</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5">
      <c r="A597" s="249" t="s">
        <v>527</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5">
      <c r="A598" s="249" t="s">
        <v>532</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5">
      <c r="A599" s="249" t="s">
        <v>542</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5">
      <c r="A600" s="249" t="s">
        <v>543</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5">
      <c r="A601" s="249" t="s">
        <v>544</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5">
      <c r="A602" s="249" t="s">
        <v>545</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5">
      <c r="A603" s="249" t="s">
        <v>546</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5">
      <c r="A604" s="249" t="s">
        <v>547</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5">
      <c r="A605" s="249" t="s">
        <v>548</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5">
      <c r="A606" s="249" t="s">
        <v>552</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5">
      <c r="A607" s="249" t="s">
        <v>553</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5">
      <c r="A608" s="249" t="s">
        <v>554</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5">
      <c r="A609" s="249" t="s">
        <v>555</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5">
      <c r="A610" s="249" t="s">
        <v>556</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5">
      <c r="A611" s="249" t="s">
        <v>557</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5">
      <c r="A612" s="249" t="s">
        <v>558</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5">
      <c r="A613" s="249" t="s">
        <v>559</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 thickBot="1" x14ac:dyDescent="0.3">
      <c r="A614" s="254" t="s">
        <v>560</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5">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5">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 thickBot="1" x14ac:dyDescent="0.3">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ht="13" x14ac:dyDescent="0.3">
      <c r="A618" s="256" t="s">
        <v>561</v>
      </c>
      <c r="B618" s="257"/>
      <c r="C618" s="257" t="s">
        <v>860</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ht="13" x14ac:dyDescent="0.3">
      <c r="A619" s="258" t="s">
        <v>562</v>
      </c>
      <c r="B619" s="250"/>
      <c r="C619" s="1689" t="s">
        <v>865</v>
      </c>
      <c r="D619" s="1689"/>
      <c r="E619" s="1689"/>
      <c r="F619" s="1689"/>
      <c r="G619" s="1689"/>
      <c r="H619" s="1689"/>
      <c r="I619" s="1689"/>
      <c r="J619" s="1689"/>
      <c r="K619" s="1689"/>
      <c r="L619" s="1689"/>
      <c r="M619" s="1689"/>
      <c r="N619" s="1689"/>
      <c r="O619" s="1689"/>
      <c r="P619" s="1689"/>
      <c r="Q619" s="1689"/>
      <c r="R619" s="1689"/>
      <c r="S619" s="1689"/>
      <c r="T619" s="1689"/>
      <c r="U619" s="1689"/>
      <c r="V619" s="1689"/>
      <c r="W619" s="1689"/>
      <c r="X619" s="1689"/>
      <c r="Y619" s="1689"/>
    </row>
    <row r="620" spans="1:26" x14ac:dyDescent="0.25">
      <c r="A620" s="249" t="s">
        <v>563</v>
      </c>
      <c r="B620" s="250"/>
      <c r="C620" s="1689" t="s">
        <v>866</v>
      </c>
      <c r="D620" s="1689"/>
      <c r="E620" s="1689"/>
      <c r="F620" s="1689"/>
      <c r="G620" s="1689"/>
      <c r="H620" s="1689"/>
      <c r="I620" s="1689"/>
      <c r="J620" s="1689"/>
      <c r="K620" s="1689"/>
      <c r="L620" s="1689"/>
      <c r="M620" s="1689"/>
      <c r="N620" s="1689"/>
      <c r="O620" s="1689"/>
      <c r="P620" s="1689"/>
      <c r="Q620" s="1689"/>
      <c r="R620" s="1689"/>
      <c r="S620" s="1689"/>
      <c r="T620" s="1689"/>
      <c r="U620" s="1689"/>
      <c r="V620" s="1689"/>
      <c r="W620" s="1689"/>
      <c r="X620" s="1689"/>
      <c r="Y620" s="1689"/>
    </row>
    <row r="621" spans="1:26" x14ac:dyDescent="0.25">
      <c r="A621" s="251" t="s">
        <v>446</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5">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5">
      <c r="A623" s="249" t="s">
        <v>447</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5">
      <c r="A624" s="249" t="s">
        <v>448</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5">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591</v>
      </c>
    </row>
    <row r="626" spans="1:26" x14ac:dyDescent="0.25">
      <c r="A626" s="249" t="s">
        <v>440</v>
      </c>
      <c r="B626" s="250" t="s">
        <v>449</v>
      </c>
      <c r="C626" s="250" t="s">
        <v>450</v>
      </c>
      <c r="D626" s="250" t="s">
        <v>451</v>
      </c>
      <c r="E626" s="250" t="s">
        <v>452</v>
      </c>
      <c r="F626" s="250" t="s">
        <v>453</v>
      </c>
      <c r="G626" s="250" t="s">
        <v>454</v>
      </c>
      <c r="H626" s="250" t="s">
        <v>455</v>
      </c>
      <c r="I626" s="250" t="s">
        <v>456</v>
      </c>
      <c r="J626" s="250" t="s">
        <v>457</v>
      </c>
      <c r="K626" s="250" t="s">
        <v>458</v>
      </c>
      <c r="L626" s="250" t="s">
        <v>459</v>
      </c>
      <c r="M626" s="250" t="s">
        <v>460</v>
      </c>
      <c r="N626" s="250" t="s">
        <v>461</v>
      </c>
      <c r="O626" s="250" t="s">
        <v>462</v>
      </c>
      <c r="P626" s="250" t="s">
        <v>463</v>
      </c>
      <c r="Q626" s="250" t="s">
        <v>464</v>
      </c>
      <c r="R626" s="250" t="s">
        <v>465</v>
      </c>
      <c r="S626" s="250" t="s">
        <v>466</v>
      </c>
      <c r="T626" s="250" t="s">
        <v>467</v>
      </c>
      <c r="U626" s="250" t="s">
        <v>468</v>
      </c>
      <c r="V626" s="250" t="s">
        <v>469</v>
      </c>
      <c r="W626" s="250" t="s">
        <v>470</v>
      </c>
      <c r="X626" s="250" t="s">
        <v>471</v>
      </c>
      <c r="Y626" s="250" t="s">
        <v>472</v>
      </c>
      <c r="Z626">
        <v>2026</v>
      </c>
    </row>
    <row r="627" spans="1:26" x14ac:dyDescent="0.25">
      <c r="A627" s="249" t="s">
        <v>440</v>
      </c>
      <c r="B627" s="250" t="s">
        <v>440</v>
      </c>
      <c r="C627" s="250" t="s">
        <v>440</v>
      </c>
      <c r="D627" s="250" t="s">
        <v>440</v>
      </c>
      <c r="E627" s="250" t="s">
        <v>440</v>
      </c>
      <c r="F627" s="250" t="s">
        <v>440</v>
      </c>
      <c r="G627" s="250" t="s">
        <v>440</v>
      </c>
      <c r="H627" s="250" t="s">
        <v>440</v>
      </c>
      <c r="I627" s="250" t="s">
        <v>440</v>
      </c>
      <c r="J627" s="250" t="s">
        <v>440</v>
      </c>
      <c r="K627" s="250" t="s">
        <v>440</v>
      </c>
      <c r="L627" s="250" t="s">
        <v>440</v>
      </c>
      <c r="M627" s="250" t="s">
        <v>440</v>
      </c>
      <c r="N627" s="250" t="s">
        <v>440</v>
      </c>
      <c r="O627" s="250" t="s">
        <v>440</v>
      </c>
      <c r="P627" s="250" t="s">
        <v>440</v>
      </c>
      <c r="Q627" s="250" t="s">
        <v>440</v>
      </c>
      <c r="R627" s="250" t="s">
        <v>440</v>
      </c>
      <c r="S627" s="250" t="s">
        <v>440</v>
      </c>
      <c r="T627" s="250" t="s">
        <v>440</v>
      </c>
      <c r="U627" s="250" t="s">
        <v>440</v>
      </c>
      <c r="V627" s="250" t="s">
        <v>440</v>
      </c>
      <c r="W627" s="250" t="s">
        <v>440</v>
      </c>
      <c r="X627" s="250" t="s">
        <v>440</v>
      </c>
      <c r="Y627" s="250" t="s">
        <v>440</v>
      </c>
    </row>
    <row r="628" spans="1:26" x14ac:dyDescent="0.25">
      <c r="A628" s="249" t="s">
        <v>473</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5">
      <c r="A629" s="249" t="s">
        <v>474</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5">
      <c r="A630" s="249" t="s">
        <v>475</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5">
      <c r="A631" s="249" t="s">
        <v>476</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5">
      <c r="A632" s="249" t="s">
        <v>477</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5">
      <c r="A633" s="249" t="s">
        <v>478</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5">
      <c r="A634" s="249" t="s">
        <v>479</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5">
      <c r="A635" s="249" t="s">
        <v>440</v>
      </c>
      <c r="B635" s="253" t="s">
        <v>440</v>
      </c>
      <c r="C635" s="253" t="s">
        <v>440</v>
      </c>
      <c r="D635" s="253" t="s">
        <v>440</v>
      </c>
      <c r="E635" s="253" t="s">
        <v>440</v>
      </c>
      <c r="F635" s="253" t="s">
        <v>440</v>
      </c>
      <c r="G635" s="253" t="s">
        <v>440</v>
      </c>
      <c r="H635" s="253" t="s">
        <v>440</v>
      </c>
      <c r="I635" s="253" t="s">
        <v>440</v>
      </c>
      <c r="J635" s="253" t="s">
        <v>440</v>
      </c>
      <c r="K635" s="253" t="s">
        <v>440</v>
      </c>
      <c r="L635" s="253" t="s">
        <v>440</v>
      </c>
      <c r="M635" s="253" t="s">
        <v>440</v>
      </c>
      <c r="N635" s="253" t="s">
        <v>440</v>
      </c>
      <c r="O635" s="253" t="s">
        <v>440</v>
      </c>
      <c r="P635" s="253" t="s">
        <v>440</v>
      </c>
      <c r="Q635" s="253" t="s">
        <v>440</v>
      </c>
      <c r="R635" s="253" t="s">
        <v>440</v>
      </c>
      <c r="S635" s="253" t="s">
        <v>440</v>
      </c>
      <c r="T635" s="253" t="s">
        <v>440</v>
      </c>
      <c r="U635" s="253" t="s">
        <v>440</v>
      </c>
      <c r="V635" s="253" t="s">
        <v>440</v>
      </c>
      <c r="W635" s="253" t="s">
        <v>440</v>
      </c>
      <c r="X635" s="253" t="s">
        <v>440</v>
      </c>
      <c r="Y635" s="253" t="s">
        <v>440</v>
      </c>
    </row>
    <row r="636" spans="1:26" x14ac:dyDescent="0.25">
      <c r="A636" s="249" t="s">
        <v>480</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5">
      <c r="A637" s="249" t="s">
        <v>474</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5">
      <c r="A638" s="249" t="s">
        <v>475</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5">
      <c r="A639" s="249" t="s">
        <v>476</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5">
      <c r="A640" s="249" t="s">
        <v>481</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5">
      <c r="A641" s="274" t="s">
        <v>478</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5">
      <c r="A642" s="276" t="s">
        <v>479</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5">
      <c r="A643" s="249" t="s">
        <v>440</v>
      </c>
      <c r="B643" s="253" t="s">
        <v>440</v>
      </c>
      <c r="C643" s="253" t="s">
        <v>440</v>
      </c>
      <c r="D643" s="253" t="s">
        <v>440</v>
      </c>
      <c r="E643" s="253" t="s">
        <v>440</v>
      </c>
      <c r="F643" s="253" t="s">
        <v>440</v>
      </c>
      <c r="G643" s="253" t="s">
        <v>440</v>
      </c>
      <c r="H643" s="253" t="s">
        <v>440</v>
      </c>
      <c r="I643" s="253" t="s">
        <v>440</v>
      </c>
      <c r="J643" s="253" t="s">
        <v>440</v>
      </c>
      <c r="K643" s="253" t="s">
        <v>440</v>
      </c>
      <c r="L643" s="253" t="s">
        <v>440</v>
      </c>
      <c r="M643" s="253" t="s">
        <v>440</v>
      </c>
      <c r="N643" s="253" t="s">
        <v>440</v>
      </c>
      <c r="O643" s="253" t="s">
        <v>440</v>
      </c>
      <c r="P643" s="253" t="s">
        <v>440</v>
      </c>
      <c r="Q643" s="253" t="s">
        <v>440</v>
      </c>
      <c r="R643" s="253" t="s">
        <v>440</v>
      </c>
      <c r="S643" s="253" t="s">
        <v>440</v>
      </c>
      <c r="T643" s="253" t="s">
        <v>440</v>
      </c>
      <c r="U643" s="253" t="s">
        <v>440</v>
      </c>
      <c r="V643" s="253" t="s">
        <v>440</v>
      </c>
      <c r="W643" s="253" t="s">
        <v>440</v>
      </c>
      <c r="X643" s="253" t="s">
        <v>440</v>
      </c>
      <c r="Y643" s="253" t="s">
        <v>440</v>
      </c>
    </row>
    <row r="644" spans="1:26" x14ac:dyDescent="0.25">
      <c r="A644" s="249" t="s">
        <v>482</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5">
      <c r="A645" s="249" t="s">
        <v>483</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5">
      <c r="A646" s="249" t="s">
        <v>475</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5">
      <c r="A647" s="249" t="s">
        <v>476</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5">
      <c r="A648" s="249" t="s">
        <v>477</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5">
      <c r="A649" s="249" t="s">
        <v>481</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5">
      <c r="A650" s="274" t="s">
        <v>484</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5">
      <c r="A651" s="249" t="s">
        <v>485</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5">
      <c r="A652" s="249" t="s">
        <v>486</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5">
      <c r="A653" s="276" t="s">
        <v>479</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5">
      <c r="A654" s="249" t="s">
        <v>440</v>
      </c>
      <c r="B654" s="253" t="s">
        <v>440</v>
      </c>
      <c r="C654" s="253" t="s">
        <v>440</v>
      </c>
      <c r="D654" s="253" t="s">
        <v>440</v>
      </c>
      <c r="E654" s="253" t="s">
        <v>440</v>
      </c>
      <c r="F654" s="253" t="s">
        <v>440</v>
      </c>
      <c r="G654" s="253" t="s">
        <v>440</v>
      </c>
      <c r="H654" s="253" t="s">
        <v>440</v>
      </c>
      <c r="I654" s="253" t="s">
        <v>440</v>
      </c>
      <c r="J654" s="253" t="s">
        <v>440</v>
      </c>
      <c r="K654" s="253" t="s">
        <v>440</v>
      </c>
      <c r="L654" s="253" t="s">
        <v>440</v>
      </c>
      <c r="M654" s="253" t="s">
        <v>440</v>
      </c>
      <c r="N654" s="253" t="s">
        <v>440</v>
      </c>
      <c r="O654" s="253" t="s">
        <v>440</v>
      </c>
      <c r="P654" s="253" t="s">
        <v>440</v>
      </c>
      <c r="Q654" s="253" t="s">
        <v>440</v>
      </c>
      <c r="R654" s="253" t="s">
        <v>440</v>
      </c>
      <c r="S654" s="253" t="s">
        <v>440</v>
      </c>
      <c r="T654" s="253" t="s">
        <v>440</v>
      </c>
      <c r="U654" s="253" t="s">
        <v>440</v>
      </c>
      <c r="V654" s="253" t="s">
        <v>440</v>
      </c>
      <c r="W654" s="253" t="s">
        <v>440</v>
      </c>
      <c r="X654" s="253" t="s">
        <v>440</v>
      </c>
      <c r="Y654" s="253" t="s">
        <v>440</v>
      </c>
    </row>
    <row r="655" spans="1:26" x14ac:dyDescent="0.25">
      <c r="A655" s="249" t="s">
        <v>487</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5">
      <c r="A656" s="249" t="s">
        <v>483</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5">
      <c r="A657" s="249" t="s">
        <v>475</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5">
      <c r="A658" s="280" t="s">
        <v>488</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5">
      <c r="A659" s="249" t="s">
        <v>489</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5">
      <c r="A660" s="280" t="s">
        <v>490</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5">
      <c r="A661" s="249" t="s">
        <v>481</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5">
      <c r="A662" s="249" t="s">
        <v>491</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5">
      <c r="A663" s="249" t="s">
        <v>492</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5">
      <c r="A664" s="282" t="s">
        <v>497</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5">
      <c r="A665" s="249" t="s">
        <v>479</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5">
      <c r="A666" s="249" t="s">
        <v>440</v>
      </c>
      <c r="B666" s="253" t="s">
        <v>440</v>
      </c>
      <c r="C666" s="253" t="s">
        <v>440</v>
      </c>
      <c r="D666" s="253" t="s">
        <v>440</v>
      </c>
      <c r="E666" s="253" t="s">
        <v>440</v>
      </c>
      <c r="F666" s="253" t="s">
        <v>440</v>
      </c>
      <c r="G666" s="253" t="s">
        <v>440</v>
      </c>
      <c r="H666" s="253" t="s">
        <v>440</v>
      </c>
      <c r="I666" s="253" t="s">
        <v>440</v>
      </c>
      <c r="J666" s="253" t="s">
        <v>440</v>
      </c>
      <c r="K666" s="253" t="s">
        <v>440</v>
      </c>
      <c r="L666" s="253" t="s">
        <v>440</v>
      </c>
      <c r="M666" s="253" t="s">
        <v>440</v>
      </c>
      <c r="N666" s="253" t="s">
        <v>440</v>
      </c>
      <c r="O666" s="253" t="s">
        <v>440</v>
      </c>
      <c r="P666" s="253" t="s">
        <v>440</v>
      </c>
      <c r="Q666" s="253" t="s">
        <v>440</v>
      </c>
      <c r="R666" s="253" t="s">
        <v>440</v>
      </c>
      <c r="S666" s="253" t="s">
        <v>440</v>
      </c>
      <c r="T666" s="253" t="s">
        <v>440</v>
      </c>
      <c r="U666" s="253" t="s">
        <v>440</v>
      </c>
      <c r="V666" s="253" t="s">
        <v>440</v>
      </c>
      <c r="W666" s="253" t="s">
        <v>440</v>
      </c>
      <c r="X666" s="253" t="s">
        <v>440</v>
      </c>
      <c r="Y666" s="253" t="s">
        <v>440</v>
      </c>
    </row>
    <row r="667" spans="1:26" x14ac:dyDescent="0.25">
      <c r="A667" s="249" t="s">
        <v>498</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5">
      <c r="A668" s="249" t="s">
        <v>483</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5">
      <c r="A669" s="249" t="s">
        <v>479</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5">
      <c r="A670" s="249" t="s">
        <v>440</v>
      </c>
      <c r="B670" s="253" t="s">
        <v>440</v>
      </c>
      <c r="C670" s="253" t="s">
        <v>440</v>
      </c>
      <c r="D670" s="253" t="s">
        <v>440</v>
      </c>
      <c r="E670" s="253" t="s">
        <v>440</v>
      </c>
      <c r="F670" s="253" t="s">
        <v>440</v>
      </c>
      <c r="G670" s="253" t="s">
        <v>440</v>
      </c>
      <c r="H670" s="253" t="s">
        <v>440</v>
      </c>
      <c r="I670" s="253" t="s">
        <v>440</v>
      </c>
      <c r="J670" s="253" t="s">
        <v>440</v>
      </c>
      <c r="K670" s="253" t="s">
        <v>440</v>
      </c>
      <c r="L670" s="253" t="s">
        <v>440</v>
      </c>
      <c r="M670" s="253" t="s">
        <v>440</v>
      </c>
      <c r="N670" s="253" t="s">
        <v>440</v>
      </c>
      <c r="O670" s="253" t="s">
        <v>440</v>
      </c>
      <c r="P670" s="253" t="s">
        <v>440</v>
      </c>
      <c r="Q670" s="253" t="s">
        <v>440</v>
      </c>
      <c r="R670" s="253" t="s">
        <v>440</v>
      </c>
      <c r="S670" s="253" t="s">
        <v>440</v>
      </c>
      <c r="T670" s="253" t="s">
        <v>440</v>
      </c>
      <c r="U670" s="253" t="s">
        <v>440</v>
      </c>
      <c r="V670" s="253" t="s">
        <v>440</v>
      </c>
      <c r="W670" s="253" t="s">
        <v>440</v>
      </c>
      <c r="X670" s="253" t="s">
        <v>440</v>
      </c>
      <c r="Y670" s="253" t="s">
        <v>440</v>
      </c>
    </row>
    <row r="671" spans="1:26" x14ac:dyDescent="0.25">
      <c r="A671" s="249" t="s">
        <v>499</v>
      </c>
      <c r="B671" s="253" t="s">
        <v>440</v>
      </c>
      <c r="C671" s="253" t="s">
        <v>440</v>
      </c>
      <c r="D671" s="253" t="s">
        <v>440</v>
      </c>
      <c r="E671" s="253" t="s">
        <v>440</v>
      </c>
      <c r="F671" s="253" t="s">
        <v>440</v>
      </c>
      <c r="G671" s="253" t="s">
        <v>440</v>
      </c>
      <c r="H671" s="253" t="s">
        <v>440</v>
      </c>
      <c r="I671" s="253" t="s">
        <v>440</v>
      </c>
      <c r="J671" s="253" t="s">
        <v>440</v>
      </c>
      <c r="K671" s="253" t="s">
        <v>440</v>
      </c>
      <c r="L671" s="253" t="s">
        <v>440</v>
      </c>
      <c r="M671" s="253" t="s">
        <v>440</v>
      </c>
      <c r="N671" s="253" t="s">
        <v>440</v>
      </c>
      <c r="O671" s="253" t="s">
        <v>440</v>
      </c>
      <c r="P671" s="253" t="s">
        <v>440</v>
      </c>
      <c r="Q671" s="253" t="s">
        <v>440</v>
      </c>
      <c r="R671" s="253" t="s">
        <v>440</v>
      </c>
      <c r="S671" s="253" t="s">
        <v>440</v>
      </c>
      <c r="T671" s="253" t="s">
        <v>440</v>
      </c>
      <c r="U671" s="253" t="s">
        <v>440</v>
      </c>
      <c r="V671" s="253" t="s">
        <v>440</v>
      </c>
      <c r="W671" s="253" t="s">
        <v>440</v>
      </c>
      <c r="X671" s="253" t="s">
        <v>440</v>
      </c>
      <c r="Y671" s="253" t="s">
        <v>440</v>
      </c>
    </row>
    <row r="672" spans="1:26" x14ac:dyDescent="0.25">
      <c r="A672" s="249" t="s">
        <v>500</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5">
      <c r="A673" s="249" t="s">
        <v>502</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5">
      <c r="A674" s="249" t="s">
        <v>476</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5">
      <c r="A675" s="249" t="s">
        <v>481</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5">
      <c r="A676" s="274" t="s">
        <v>478</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5">
      <c r="A677" s="278" t="s">
        <v>486</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5">
      <c r="A678" s="249" t="s">
        <v>440</v>
      </c>
      <c r="B678" s="253" t="s">
        <v>440</v>
      </c>
      <c r="C678" s="253" t="s">
        <v>440</v>
      </c>
      <c r="D678" s="253" t="s">
        <v>440</v>
      </c>
      <c r="E678" s="253" t="s">
        <v>440</v>
      </c>
      <c r="F678" s="253" t="s">
        <v>440</v>
      </c>
      <c r="G678" s="253" t="s">
        <v>440</v>
      </c>
      <c r="H678" s="253" t="s">
        <v>440</v>
      </c>
      <c r="I678" s="253" t="s">
        <v>440</v>
      </c>
      <c r="J678" s="253" t="s">
        <v>440</v>
      </c>
      <c r="K678" s="253" t="s">
        <v>440</v>
      </c>
      <c r="L678" s="253" t="s">
        <v>440</v>
      </c>
      <c r="M678" s="253" t="s">
        <v>440</v>
      </c>
      <c r="N678" s="253" t="s">
        <v>440</v>
      </c>
      <c r="O678" s="253" t="s">
        <v>440</v>
      </c>
      <c r="P678" s="253" t="s">
        <v>440</v>
      </c>
      <c r="Q678" s="253" t="s">
        <v>440</v>
      </c>
      <c r="R678" s="253" t="s">
        <v>440</v>
      </c>
      <c r="S678" s="253" t="s">
        <v>440</v>
      </c>
      <c r="T678" s="253" t="s">
        <v>440</v>
      </c>
      <c r="U678" s="253" t="s">
        <v>440</v>
      </c>
      <c r="V678" s="253" t="s">
        <v>440</v>
      </c>
      <c r="W678" s="253" t="s">
        <v>440</v>
      </c>
      <c r="X678" s="253" t="s">
        <v>440</v>
      </c>
      <c r="Y678" s="253" t="s">
        <v>440</v>
      </c>
    </row>
    <row r="679" spans="1:26" x14ac:dyDescent="0.25">
      <c r="A679" s="249" t="s">
        <v>503</v>
      </c>
      <c r="B679" s="253" t="s">
        <v>440</v>
      </c>
      <c r="C679" s="253" t="s">
        <v>440</v>
      </c>
      <c r="D679" s="253" t="s">
        <v>440</v>
      </c>
      <c r="E679" s="253" t="s">
        <v>440</v>
      </c>
      <c r="F679" s="253" t="s">
        <v>440</v>
      </c>
      <c r="G679" s="253" t="s">
        <v>440</v>
      </c>
      <c r="H679" s="253" t="s">
        <v>440</v>
      </c>
      <c r="I679" s="253" t="s">
        <v>440</v>
      </c>
      <c r="J679" s="253" t="s">
        <v>440</v>
      </c>
      <c r="K679" s="253" t="s">
        <v>440</v>
      </c>
      <c r="L679" s="253" t="s">
        <v>440</v>
      </c>
      <c r="M679" s="253" t="s">
        <v>440</v>
      </c>
      <c r="N679" s="253" t="s">
        <v>440</v>
      </c>
      <c r="O679" s="253" t="s">
        <v>440</v>
      </c>
      <c r="P679" s="253" t="s">
        <v>440</v>
      </c>
      <c r="Q679" s="253" t="s">
        <v>440</v>
      </c>
      <c r="R679" s="253" t="s">
        <v>440</v>
      </c>
      <c r="S679" s="253" t="s">
        <v>440</v>
      </c>
      <c r="T679" s="253" t="s">
        <v>440</v>
      </c>
      <c r="U679" s="253" t="s">
        <v>440</v>
      </c>
      <c r="V679" s="253" t="s">
        <v>440</v>
      </c>
      <c r="W679" s="253" t="s">
        <v>440</v>
      </c>
      <c r="X679" s="253" t="s">
        <v>440</v>
      </c>
      <c r="Y679" s="253" t="s">
        <v>440</v>
      </c>
    </row>
    <row r="680" spans="1:26" x14ac:dyDescent="0.25">
      <c r="A680" s="249" t="s">
        <v>504</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5">
      <c r="A681" s="249" t="s">
        <v>505</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5">
      <c r="A682" s="249" t="s">
        <v>506</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5">
      <c r="A683" s="249" t="s">
        <v>507</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5">
      <c r="A684" s="249" t="s">
        <v>508</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5">
      <c r="A685" s="249" t="s">
        <v>509</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5">
      <c r="A686" s="249" t="s">
        <v>510</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5">
      <c r="A687" s="249" t="s">
        <v>511</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5">
      <c r="A688" s="249" t="s">
        <v>512</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5">
      <c r="A689" s="249" t="s">
        <v>479</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5">
      <c r="A690" s="249" t="s">
        <v>440</v>
      </c>
      <c r="B690" s="253" t="s">
        <v>440</v>
      </c>
      <c r="C690" s="253" t="s">
        <v>440</v>
      </c>
      <c r="D690" s="253" t="s">
        <v>440</v>
      </c>
      <c r="E690" s="253" t="s">
        <v>440</v>
      </c>
      <c r="F690" s="253" t="s">
        <v>440</v>
      </c>
      <c r="G690" s="253" t="s">
        <v>440</v>
      </c>
      <c r="H690" s="253" t="s">
        <v>440</v>
      </c>
      <c r="I690" s="253" t="s">
        <v>440</v>
      </c>
      <c r="J690" s="253" t="s">
        <v>440</v>
      </c>
      <c r="K690" s="253" t="s">
        <v>440</v>
      </c>
      <c r="L690" s="253" t="s">
        <v>440</v>
      </c>
      <c r="M690" s="253" t="s">
        <v>440</v>
      </c>
      <c r="N690" s="253" t="s">
        <v>440</v>
      </c>
      <c r="O690" s="253" t="s">
        <v>440</v>
      </c>
      <c r="P690" s="253" t="s">
        <v>440</v>
      </c>
      <c r="Q690" s="253" t="s">
        <v>440</v>
      </c>
      <c r="R690" s="253" t="s">
        <v>440</v>
      </c>
      <c r="S690" s="253" t="s">
        <v>440</v>
      </c>
      <c r="T690" s="253" t="s">
        <v>440</v>
      </c>
      <c r="U690" s="253" t="s">
        <v>440</v>
      </c>
      <c r="V690" s="253" t="s">
        <v>440</v>
      </c>
      <c r="W690" s="253" t="s">
        <v>440</v>
      </c>
      <c r="X690" s="253" t="s">
        <v>440</v>
      </c>
      <c r="Y690" s="253" t="s">
        <v>440</v>
      </c>
    </row>
    <row r="691" spans="1:28" x14ac:dyDescent="0.25">
      <c r="A691" s="249" t="s">
        <v>513</v>
      </c>
      <c r="B691" s="253" t="s">
        <v>440</v>
      </c>
      <c r="C691" s="253" t="s">
        <v>440</v>
      </c>
      <c r="D691" s="253" t="s">
        <v>440</v>
      </c>
      <c r="E691" s="253" t="s">
        <v>440</v>
      </c>
      <c r="F691" s="253" t="s">
        <v>440</v>
      </c>
      <c r="G691" s="253" t="s">
        <v>440</v>
      </c>
      <c r="H691" s="253" t="s">
        <v>440</v>
      </c>
      <c r="I691" s="253" t="s">
        <v>440</v>
      </c>
      <c r="J691" s="253" t="s">
        <v>440</v>
      </c>
      <c r="K691" s="253" t="s">
        <v>440</v>
      </c>
      <c r="L691" s="253" t="s">
        <v>440</v>
      </c>
      <c r="M691" s="253" t="s">
        <v>440</v>
      </c>
      <c r="N691" s="253" t="s">
        <v>440</v>
      </c>
      <c r="O691" s="253" t="s">
        <v>440</v>
      </c>
      <c r="P691" s="253" t="s">
        <v>440</v>
      </c>
      <c r="Q691" s="253" t="s">
        <v>440</v>
      </c>
      <c r="R691" s="253" t="s">
        <v>440</v>
      </c>
      <c r="S691" s="253" t="s">
        <v>440</v>
      </c>
      <c r="T691" s="253" t="s">
        <v>440</v>
      </c>
      <c r="U691" s="253" t="s">
        <v>440</v>
      </c>
      <c r="V691" s="253" t="s">
        <v>440</v>
      </c>
      <c r="W691" s="253" t="s">
        <v>440</v>
      </c>
      <c r="X691" s="253" t="s">
        <v>440</v>
      </c>
      <c r="Y691" s="253" t="s">
        <v>440</v>
      </c>
    </row>
    <row r="692" spans="1:28" x14ac:dyDescent="0.25">
      <c r="A692" s="249" t="s">
        <v>514</v>
      </c>
      <c r="B692" s="253" t="s">
        <v>440</v>
      </c>
      <c r="C692" s="253" t="s">
        <v>440</v>
      </c>
      <c r="D692" s="253" t="s">
        <v>440</v>
      </c>
      <c r="E692" s="253" t="s">
        <v>440</v>
      </c>
      <c r="F692" s="253" t="s">
        <v>440</v>
      </c>
      <c r="G692" s="253" t="s">
        <v>440</v>
      </c>
      <c r="H692" s="253" t="s">
        <v>440</v>
      </c>
      <c r="I692" s="253" t="s">
        <v>440</v>
      </c>
      <c r="J692" s="253" t="s">
        <v>440</v>
      </c>
      <c r="K692" s="253" t="s">
        <v>440</v>
      </c>
      <c r="L692" s="253" t="s">
        <v>440</v>
      </c>
      <c r="M692" s="253" t="s">
        <v>440</v>
      </c>
      <c r="N692" s="253" t="s">
        <v>440</v>
      </c>
      <c r="O692" s="253" t="s">
        <v>440</v>
      </c>
      <c r="P692" s="253" t="s">
        <v>440</v>
      </c>
      <c r="Q692" s="253" t="s">
        <v>440</v>
      </c>
      <c r="R692" s="253" t="s">
        <v>440</v>
      </c>
      <c r="S692" s="253" t="s">
        <v>440</v>
      </c>
      <c r="T692" s="253" t="s">
        <v>440</v>
      </c>
      <c r="U692" s="253" t="s">
        <v>440</v>
      </c>
      <c r="V692" s="253" t="s">
        <v>440</v>
      </c>
      <c r="W692" s="253" t="s">
        <v>440</v>
      </c>
      <c r="X692" s="253" t="s">
        <v>440</v>
      </c>
      <c r="Y692" s="253" t="s">
        <v>440</v>
      </c>
    </row>
    <row r="693" spans="1:28" x14ac:dyDescent="0.25">
      <c r="A693" s="249" t="s">
        <v>473</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5">
      <c r="A694" s="249" t="s">
        <v>480</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5">
      <c r="A695" s="249" t="s">
        <v>515</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5">
      <c r="A696" s="249" t="s">
        <v>487</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5">
      <c r="A697" s="249" t="s">
        <v>516</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5">
      <c r="A698" s="249" t="s">
        <v>517</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5">
      <c r="A699" s="249" t="s">
        <v>518</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5">
      <c r="A700" s="249" t="s">
        <v>592</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5">
      <c r="A701" s="302" t="s">
        <v>1080</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5">
      <c r="A702" s="282" t="s">
        <v>311</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5">
      <c r="A703" s="303" t="s">
        <v>594</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5">
      <c r="A704" s="304" t="s">
        <v>595</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5">
      <c r="A705" s="302" t="s">
        <v>596</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5">
      <c r="A706" s="249" t="s">
        <v>519</v>
      </c>
      <c r="B706" s="253"/>
      <c r="C706" s="253"/>
      <c r="D706" s="253"/>
      <c r="E706" s="253" t="s">
        <v>440</v>
      </c>
      <c r="F706" s="253" t="s">
        <v>440</v>
      </c>
      <c r="G706" s="253" t="s">
        <v>440</v>
      </c>
      <c r="H706" s="253" t="s">
        <v>440</v>
      </c>
      <c r="I706" s="253" t="s">
        <v>440</v>
      </c>
      <c r="J706" s="253" t="s">
        <v>440</v>
      </c>
      <c r="K706" s="253" t="s">
        <v>440</v>
      </c>
      <c r="L706" s="253" t="s">
        <v>440</v>
      </c>
      <c r="M706" s="253" t="s">
        <v>440</v>
      </c>
      <c r="N706" s="253" t="s">
        <v>440</v>
      </c>
      <c r="O706" s="253" t="s">
        <v>440</v>
      </c>
      <c r="P706" s="253" t="s">
        <v>440</v>
      </c>
      <c r="Q706" s="253" t="s">
        <v>440</v>
      </c>
      <c r="R706" s="253" t="s">
        <v>440</v>
      </c>
      <c r="S706" s="253" t="s">
        <v>440</v>
      </c>
      <c r="T706" s="253" t="s">
        <v>440</v>
      </c>
      <c r="U706" s="253" t="s">
        <v>440</v>
      </c>
      <c r="V706" s="253" t="s">
        <v>440</v>
      </c>
      <c r="W706" s="253" t="s">
        <v>440</v>
      </c>
      <c r="X706" s="253" t="s">
        <v>440</v>
      </c>
      <c r="Y706" s="253" t="s">
        <v>440</v>
      </c>
    </row>
    <row r="707" spans="1:26" x14ac:dyDescent="0.25">
      <c r="A707" s="249" t="s">
        <v>520</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5">
      <c r="A708" s="249" t="s">
        <v>521</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5">
      <c r="A709" s="249" t="s">
        <v>522</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5">
      <c r="A710" s="249" t="s">
        <v>523</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5">
      <c r="A711" s="249" t="s">
        <v>524</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5">
      <c r="A712" s="249" t="s">
        <v>525</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5">
      <c r="A713" s="249" t="s">
        <v>526</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5">
      <c r="A714" s="249" t="s">
        <v>527</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5">
      <c r="A715" s="249" t="s">
        <v>532</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5">
      <c r="A716" s="249" t="s">
        <v>542</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5">
      <c r="A717" s="249" t="s">
        <v>543</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5">
      <c r="A718" s="249" t="s">
        <v>544</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5">
      <c r="A719" s="249" t="s">
        <v>545</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5">
      <c r="A720" s="249" t="s">
        <v>546</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5">
      <c r="A721" s="249" t="s">
        <v>547</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5">
      <c r="A722" s="249" t="s">
        <v>548</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5">
      <c r="A723" s="249" t="s">
        <v>552</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5">
      <c r="A724" s="249" t="s">
        <v>553</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5">
      <c r="A725" s="249" t="s">
        <v>554</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5">
      <c r="A726" s="249" t="s">
        <v>555</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5">
      <c r="A727" s="249" t="s">
        <v>556</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5">
      <c r="A728" s="249" t="s">
        <v>557</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5">
      <c r="A729" s="249" t="s">
        <v>558</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5">
      <c r="A730" s="249" t="s">
        <v>559</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 thickBot="1" x14ac:dyDescent="0.3">
      <c r="A731" s="254" t="s">
        <v>564</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5">
      <c r="A732" s="1688" t="s">
        <v>437</v>
      </c>
      <c r="B732" s="1688"/>
      <c r="C732" s="1688"/>
      <c r="D732" s="1688"/>
      <c r="E732" s="1688"/>
      <c r="F732" s="1688"/>
      <c r="G732" s="1688"/>
      <c r="H732" s="1688"/>
      <c r="I732" s="1688"/>
      <c r="J732" s="1688"/>
      <c r="K732" s="1688"/>
      <c r="L732" s="1688"/>
      <c r="M732" s="1688"/>
      <c r="N732" s="295"/>
      <c r="O732" s="295"/>
      <c r="P732" s="295"/>
      <c r="Q732" s="295"/>
      <c r="R732" s="295"/>
      <c r="S732" s="295"/>
      <c r="T732" s="295"/>
      <c r="U732" s="295"/>
      <c r="V732" s="295"/>
      <c r="W732" s="295"/>
      <c r="X732" s="295"/>
      <c r="Y732" s="295"/>
    </row>
    <row r="733" spans="1:25" x14ac:dyDescent="0.25">
      <c r="A733" s="295" t="s">
        <v>1088</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3.5" thickBot="1" x14ac:dyDescent="0.35">
      <c r="A736" s="1686" t="s">
        <v>565</v>
      </c>
      <c r="B736" s="1687"/>
      <c r="C736" s="1687"/>
      <c r="D736" s="260"/>
      <c r="E736" s="260"/>
      <c r="F736" s="260"/>
      <c r="G736" s="260"/>
      <c r="H736" s="260"/>
      <c r="I736" s="260"/>
      <c r="J736" s="260"/>
    </row>
    <row r="737" spans="1:10" ht="50.5" thickTop="1" x14ac:dyDescent="0.25">
      <c r="A737" s="261"/>
      <c r="B737" s="262" t="s">
        <v>566</v>
      </c>
      <c r="C737" s="262" t="s">
        <v>567</v>
      </c>
      <c r="D737" s="262" t="s">
        <v>568</v>
      </c>
      <c r="E737" s="262" t="s">
        <v>590</v>
      </c>
      <c r="F737" s="263"/>
      <c r="G737" s="263"/>
      <c r="H737" s="263"/>
      <c r="I737" s="263"/>
      <c r="J737" s="264"/>
    </row>
    <row r="738" spans="1:10" x14ac:dyDescent="0.25">
      <c r="A738" s="265"/>
      <c r="B738" s="266"/>
      <c r="C738" s="266"/>
      <c r="D738" s="266"/>
      <c r="E738" s="266"/>
      <c r="F738" s="266"/>
      <c r="G738" s="266"/>
      <c r="H738" s="266"/>
      <c r="I738" s="266"/>
      <c r="J738" s="267"/>
    </row>
    <row r="739" spans="1:10" x14ac:dyDescent="0.25">
      <c r="A739" s="265"/>
      <c r="B739" s="266"/>
      <c r="C739" s="266"/>
      <c r="D739" s="266"/>
      <c r="E739" s="266"/>
      <c r="F739" s="266"/>
      <c r="G739" s="266"/>
      <c r="H739" s="266"/>
      <c r="I739" s="266"/>
      <c r="J739" s="267"/>
    </row>
    <row r="740" spans="1:10" x14ac:dyDescent="0.25">
      <c r="A740" s="265" t="s">
        <v>569</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5">
      <c r="A741" s="265" t="s">
        <v>570</v>
      </c>
      <c r="B741" s="266">
        <v>1.2097805877102306</v>
      </c>
      <c r="C741" s="266">
        <v>1.1729343042703535</v>
      </c>
      <c r="D741" s="266">
        <v>1.0576447680901178</v>
      </c>
      <c r="E741" s="266">
        <f t="shared" si="82"/>
        <v>1.1340871534488071</v>
      </c>
      <c r="F741" s="266"/>
      <c r="G741" s="266"/>
      <c r="H741" s="266"/>
      <c r="I741" s="266"/>
      <c r="J741" s="267"/>
    </row>
    <row r="742" spans="1:10" x14ac:dyDescent="0.25">
      <c r="A742" s="265" t="s">
        <v>571</v>
      </c>
      <c r="B742" s="273">
        <v>1.1697889782905726</v>
      </c>
      <c r="C742" s="273">
        <v>1.1485262991479412</v>
      </c>
      <c r="D742" s="273">
        <v>1.049508766382647</v>
      </c>
      <c r="E742" s="273">
        <f t="shared" si="82"/>
        <v>1.1040561955262993</v>
      </c>
      <c r="F742" s="266"/>
      <c r="G742" s="266"/>
      <c r="H742" s="266"/>
      <c r="I742" s="266"/>
      <c r="J742" s="267"/>
    </row>
    <row r="743" spans="1:10" x14ac:dyDescent="0.25">
      <c r="A743" s="265" t="s">
        <v>572</v>
      </c>
      <c r="B743" s="266">
        <v>1.1587647303602575</v>
      </c>
      <c r="C743" s="266">
        <v>1.0854096786599328</v>
      </c>
      <c r="D743" s="266">
        <v>1.0284698928866443</v>
      </c>
      <c r="E743" s="266">
        <f t="shared" si="82"/>
        <v>1.363594657351775</v>
      </c>
      <c r="F743" s="266"/>
      <c r="G743" s="266"/>
      <c r="H743" s="266"/>
      <c r="I743" s="266"/>
      <c r="J743" s="267"/>
    </row>
    <row r="744" spans="1:10" x14ac:dyDescent="0.25">
      <c r="A744" s="265" t="s">
        <v>573</v>
      </c>
      <c r="B744" s="279">
        <v>1.1587647303602575</v>
      </c>
      <c r="C744" s="279">
        <v>1.0854096786599328</v>
      </c>
      <c r="D744" s="279">
        <v>1.0284698928866443</v>
      </c>
      <c r="E744" s="279">
        <f t="shared" si="82"/>
        <v>1.3635946573517748</v>
      </c>
      <c r="F744" s="266"/>
      <c r="G744" s="266"/>
      <c r="H744" s="266"/>
      <c r="I744" s="266"/>
      <c r="J744" s="267"/>
    </row>
    <row r="745" spans="1:10" x14ac:dyDescent="0.25">
      <c r="A745" s="265" t="s">
        <v>574</v>
      </c>
      <c r="B745" s="275">
        <v>0.99410318905494366</v>
      </c>
      <c r="C745" s="275">
        <v>1.0095287120834378</v>
      </c>
      <c r="D745" s="275">
        <v>1.0031762373611459</v>
      </c>
      <c r="E745" s="275">
        <f t="shared" si="82"/>
        <v>0.97316968165904427</v>
      </c>
      <c r="F745" s="266"/>
      <c r="G745" s="266"/>
      <c r="H745" s="266"/>
      <c r="I745" s="266"/>
      <c r="J745" s="267"/>
    </row>
    <row r="746" spans="1:10" x14ac:dyDescent="0.25">
      <c r="A746" s="265" t="s">
        <v>575</v>
      </c>
      <c r="B746" s="297">
        <v>1.0099752422488564</v>
      </c>
      <c r="C746" s="297">
        <v>1.0050974522479115</v>
      </c>
      <c r="D746" s="297">
        <v>1.0016991507493038</v>
      </c>
      <c r="E746" s="297">
        <f t="shared" si="82"/>
        <v>0.99922998787640482</v>
      </c>
      <c r="F746" s="266"/>
      <c r="G746" s="266"/>
      <c r="H746" s="266"/>
      <c r="I746" s="266"/>
      <c r="J746" s="267"/>
    </row>
    <row r="747" spans="1:10" x14ac:dyDescent="0.25">
      <c r="A747" s="265" t="s">
        <v>312</v>
      </c>
      <c r="B747" s="281">
        <v>1.0099752422488564</v>
      </c>
      <c r="C747" s="281">
        <v>1.0050974522479115</v>
      </c>
      <c r="D747" s="281">
        <v>1.0016991507493038</v>
      </c>
      <c r="E747" s="281">
        <f t="shared" si="82"/>
        <v>0.99922998787640471</v>
      </c>
      <c r="F747" s="266"/>
      <c r="G747" s="266"/>
      <c r="H747" s="266"/>
      <c r="I747" s="266"/>
      <c r="J747" s="267"/>
    </row>
    <row r="748" spans="1:10" x14ac:dyDescent="0.25">
      <c r="A748" s="265"/>
      <c r="B748" s="266"/>
      <c r="C748" s="266"/>
      <c r="D748" s="266"/>
      <c r="E748" s="266"/>
      <c r="F748" s="266"/>
      <c r="G748" s="266"/>
      <c r="H748" s="266"/>
      <c r="I748" s="266"/>
      <c r="J748" s="267"/>
    </row>
    <row r="749" spans="1:10" x14ac:dyDescent="0.25">
      <c r="A749" s="265"/>
      <c r="B749" s="266"/>
      <c r="C749" s="266"/>
      <c r="D749" s="266"/>
      <c r="E749" s="1685" t="s">
        <v>576</v>
      </c>
      <c r="F749" s="1685"/>
      <c r="G749" s="1685"/>
      <c r="H749" s="1685"/>
      <c r="I749" s="1685"/>
      <c r="J749" s="268"/>
    </row>
    <row r="750" spans="1:10" x14ac:dyDescent="0.25">
      <c r="A750" s="265" t="s">
        <v>577</v>
      </c>
      <c r="B750" s="266"/>
      <c r="C750" s="266" t="s">
        <v>578</v>
      </c>
      <c r="D750" s="266" t="s">
        <v>578</v>
      </c>
      <c r="E750" s="266"/>
      <c r="F750" s="266"/>
      <c r="G750" s="266"/>
      <c r="H750" s="266"/>
      <c r="I750" s="266"/>
      <c r="J750" s="267"/>
    </row>
    <row r="751" spans="1:10" x14ac:dyDescent="0.25">
      <c r="A751" s="265"/>
      <c r="B751" s="266" t="s">
        <v>1048</v>
      </c>
      <c r="C751" s="266">
        <v>2000</v>
      </c>
      <c r="D751" s="266">
        <v>2005</v>
      </c>
      <c r="E751" s="266">
        <v>2020</v>
      </c>
      <c r="F751" s="266">
        <v>2035</v>
      </c>
      <c r="G751" s="266">
        <v>2050</v>
      </c>
      <c r="H751" s="266">
        <v>2065</v>
      </c>
      <c r="I751" s="266">
        <v>2080</v>
      </c>
      <c r="J751" s="267"/>
    </row>
    <row r="752" spans="1:10" x14ac:dyDescent="0.25">
      <c r="A752" s="265" t="s">
        <v>569</v>
      </c>
      <c r="B752" s="266" t="s">
        <v>579</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5">
      <c r="A753" s="265" t="s">
        <v>570</v>
      </c>
      <c r="B753" s="266" t="s">
        <v>580</v>
      </c>
      <c r="C753" s="266">
        <v>3.83</v>
      </c>
      <c r="D753" s="266">
        <v>2.88</v>
      </c>
      <c r="E753" s="266">
        <v>3.1020351176470586</v>
      </c>
      <c r="F753" s="266">
        <v>3.5179781764705877</v>
      </c>
      <c r="G753" s="266">
        <v>4.2559817058823528</v>
      </c>
      <c r="H753" s="266">
        <v>4.9919869411764699</v>
      </c>
      <c r="I753" s="266">
        <v>5.7211905294117642</v>
      </c>
      <c r="J753" s="267"/>
    </row>
    <row r="754" spans="1:10" x14ac:dyDescent="0.25">
      <c r="A754" s="265" t="s">
        <v>571</v>
      </c>
      <c r="B754" s="266" t="s">
        <v>580</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5">
      <c r="A755" s="265" t="s">
        <v>572</v>
      </c>
      <c r="B755" s="266" t="s">
        <v>581</v>
      </c>
      <c r="C755" s="266">
        <v>28.35</v>
      </c>
      <c r="D755" s="266">
        <v>23.27</v>
      </c>
      <c r="E755" s="266">
        <v>17.294973600000002</v>
      </c>
      <c r="F755" s="266">
        <v>23.583333599999996</v>
      </c>
      <c r="G755" s="266">
        <v>27.327535199999996</v>
      </c>
      <c r="H755" s="266">
        <v>29.661571199999997</v>
      </c>
      <c r="I755" s="266"/>
      <c r="J755" s="267"/>
    </row>
    <row r="756" spans="1:10" x14ac:dyDescent="0.25">
      <c r="A756" s="265" t="s">
        <v>573</v>
      </c>
      <c r="B756" s="266" t="s">
        <v>582</v>
      </c>
      <c r="C756" s="266">
        <v>1.5176666666666667</v>
      </c>
      <c r="D756" s="266">
        <v>1.2925714285714285</v>
      </c>
      <c r="E756" s="266">
        <v>0.93587519480519499</v>
      </c>
      <c r="F756" s="266">
        <v>1.2761544155844153</v>
      </c>
      <c r="G756" s="266">
        <v>1.4787627272727271</v>
      </c>
      <c r="H756" s="266">
        <v>1.6050633766233764</v>
      </c>
      <c r="I756" s="266"/>
      <c r="J756" s="267"/>
    </row>
    <row r="757" spans="1:10" x14ac:dyDescent="0.25">
      <c r="A757" s="265" t="s">
        <v>574</v>
      </c>
      <c r="B757" s="266" t="s">
        <v>583</v>
      </c>
      <c r="C757" s="266">
        <v>6.9</v>
      </c>
      <c r="D757" s="266">
        <v>6.4</v>
      </c>
      <c r="E757" s="266">
        <v>6.9130361604720001</v>
      </c>
      <c r="F757" s="266">
        <v>6.7275571995839982</v>
      </c>
      <c r="G757" s="266">
        <v>6.6878860666559987</v>
      </c>
      <c r="H757" s="266">
        <v>6.7516130074319989</v>
      </c>
      <c r="I757" s="266">
        <v>6.8294477356799987</v>
      </c>
      <c r="J757" s="267"/>
    </row>
    <row r="758" spans="1:10" x14ac:dyDescent="0.25">
      <c r="A758" s="265" t="s">
        <v>575</v>
      </c>
      <c r="B758" s="266" t="s">
        <v>584</v>
      </c>
      <c r="C758" s="266"/>
      <c r="D758" s="266"/>
      <c r="E758" s="266">
        <v>3.8637053999999993</v>
      </c>
      <c r="F758" s="266">
        <v>3.8607302999999993</v>
      </c>
      <c r="G758" s="266">
        <v>3.8992420199999995</v>
      </c>
      <c r="H758" s="266">
        <v>3.9191182199999997</v>
      </c>
      <c r="I758" s="266">
        <v>4.4580291000000001</v>
      </c>
      <c r="J758" s="267"/>
    </row>
    <row r="759" spans="1:10" x14ac:dyDescent="0.25">
      <c r="A759" s="265" t="s">
        <v>312</v>
      </c>
      <c r="B759" s="266" t="s">
        <v>584</v>
      </c>
      <c r="C759" s="266"/>
      <c r="D759" s="266"/>
      <c r="E759" s="266">
        <v>19.318526999999996</v>
      </c>
      <c r="F759" s="266">
        <v>19.303651499999994</v>
      </c>
      <c r="G759" s="266">
        <v>19.496210099999995</v>
      </c>
      <c r="H759" s="266">
        <v>19.595591099999996</v>
      </c>
      <c r="I759" s="266">
        <v>22.290145499999998</v>
      </c>
      <c r="J759" s="267"/>
    </row>
    <row r="760" spans="1:10" x14ac:dyDescent="0.25">
      <c r="A760" s="265"/>
      <c r="B760" s="266"/>
      <c r="C760" s="266"/>
      <c r="D760" s="266"/>
      <c r="E760" s="266"/>
      <c r="F760" s="266"/>
      <c r="G760" s="266"/>
      <c r="H760" s="266"/>
      <c r="I760" s="266"/>
      <c r="J760" s="267"/>
    </row>
    <row r="761" spans="1:10" ht="37.5" x14ac:dyDescent="0.25">
      <c r="A761" s="269" t="s">
        <v>585</v>
      </c>
      <c r="B761" s="266" t="s">
        <v>579</v>
      </c>
      <c r="C761" s="266"/>
      <c r="D761" s="266"/>
      <c r="E761" s="266">
        <v>76.455732879999985</v>
      </c>
      <c r="F761" s="266">
        <v>76.404561159999986</v>
      </c>
      <c r="G761" s="266">
        <v>77.066962743999994</v>
      </c>
      <c r="H761" s="266">
        <v>77.40883338399999</v>
      </c>
      <c r="I761" s="266">
        <v>86.678100520000001</v>
      </c>
      <c r="J761" s="267"/>
    </row>
    <row r="762" spans="1:10" ht="13" thickBot="1" x14ac:dyDescent="0.3">
      <c r="A762" s="270"/>
      <c r="B762" s="271">
        <v>17.2</v>
      </c>
      <c r="C762" s="271" t="s">
        <v>586</v>
      </c>
      <c r="D762" s="271"/>
      <c r="E762" s="271"/>
      <c r="F762" s="271"/>
      <c r="G762" s="271"/>
      <c r="H762" s="271"/>
      <c r="I762" s="271"/>
      <c r="J762" s="272"/>
    </row>
    <row r="763" spans="1:10" ht="13" thickTop="1" x14ac:dyDescent="0.25"/>
    <row r="764" spans="1:10" x14ac:dyDescent="0.25">
      <c r="A764" s="462" t="s">
        <v>813</v>
      </c>
    </row>
    <row r="765" spans="1:10" x14ac:dyDescent="0.25">
      <c r="A765" t="s">
        <v>807</v>
      </c>
    </row>
    <row r="766" spans="1:10" x14ac:dyDescent="0.25">
      <c r="A766" t="s">
        <v>808</v>
      </c>
    </row>
    <row r="767" spans="1:10" x14ac:dyDescent="0.25">
      <c r="A767" t="s">
        <v>809</v>
      </c>
    </row>
    <row r="769" spans="1:27" x14ac:dyDescent="0.25">
      <c r="A769" t="s">
        <v>447</v>
      </c>
    </row>
    <row r="770" spans="1:27" x14ac:dyDescent="0.25">
      <c r="A770" t="s">
        <v>722</v>
      </c>
    </row>
    <row r="773" spans="1:27" x14ac:dyDescent="0.25">
      <c r="AA773" t="s">
        <v>810</v>
      </c>
    </row>
    <row r="774" spans="1:27" x14ac:dyDescent="0.25">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5">
      <c r="A777" t="s">
        <v>473</v>
      </c>
    </row>
    <row r="778" spans="1:27" x14ac:dyDescent="0.25">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5">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5">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5">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5">
      <c r="A783" t="s">
        <v>480</v>
      </c>
    </row>
    <row r="784" spans="1:27" x14ac:dyDescent="0.25">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5">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5">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5">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5">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5">
      <c r="A790" t="s">
        <v>612</v>
      </c>
    </row>
    <row r="791" spans="1:27" x14ac:dyDescent="0.25">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5">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5">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5">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5">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5">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5">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5">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5">
      <c r="A800" t="s">
        <v>487</v>
      </c>
    </row>
    <row r="801" spans="1:27" x14ac:dyDescent="0.25">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5">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5">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5">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5">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5">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5">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5">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5">
      <c r="A810" t="s">
        <v>623</v>
      </c>
    </row>
    <row r="811" spans="1:27" x14ac:dyDescent="0.25">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5">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5">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5">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5">
      <c r="A816" t="s">
        <v>625</v>
      </c>
    </row>
    <row r="817" spans="1:27" x14ac:dyDescent="0.25">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5">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5">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5">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5">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5">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5">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5">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5">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5">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5">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5">
      <c r="A829" t="s">
        <v>513</v>
      </c>
    </row>
    <row r="830" spans="1:27" x14ac:dyDescent="0.25">
      <c r="A830" t="s">
        <v>725</v>
      </c>
    </row>
    <row r="831" spans="1:27" x14ac:dyDescent="0.25">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5">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5">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5">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5">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5">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5">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5">
      <c r="A840" t="s">
        <v>726</v>
      </c>
    </row>
    <row r="841" spans="1:27" x14ac:dyDescent="0.25">
      <c r="A841" t="s">
        <v>473</v>
      </c>
    </row>
    <row r="842" spans="1:27" x14ac:dyDescent="0.25">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5">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5">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5">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5">
      <c r="A847" t="s">
        <v>480</v>
      </c>
    </row>
    <row r="848" spans="1:27" x14ac:dyDescent="0.25">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5">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5">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5">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5">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5">
      <c r="A854" t="s">
        <v>612</v>
      </c>
    </row>
    <row r="855" spans="1:27" x14ac:dyDescent="0.25">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5">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5">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5">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5">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5">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5">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5">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5">
      <c r="A864" s="305" t="s">
        <v>487</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5">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5">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5">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5">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5">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5">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5">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5">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5">
      <c r="A874" t="s">
        <v>623</v>
      </c>
    </row>
    <row r="875" spans="1:27" x14ac:dyDescent="0.25">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5">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5">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5">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5">
      <c r="A880" t="s">
        <v>625</v>
      </c>
    </row>
    <row r="881" spans="1:27" x14ac:dyDescent="0.25">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5">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5">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5">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5">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5">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5">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5">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5">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5">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5">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5">
      <c r="A893" t="s">
        <v>513</v>
      </c>
    </row>
    <row r="894" spans="1:27" x14ac:dyDescent="0.25">
      <c r="A894" t="s">
        <v>727</v>
      </c>
    </row>
    <row r="895" spans="1:27" x14ac:dyDescent="0.25">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5">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5">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5">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5">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5">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5">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5">
      <c r="A905" t="s">
        <v>630</v>
      </c>
    </row>
    <row r="906" spans="1:27" x14ac:dyDescent="0.25">
      <c r="A906" t="s">
        <v>631</v>
      </c>
    </row>
    <row r="907" spans="1:27" x14ac:dyDescent="0.25">
      <c r="A907" t="s">
        <v>632</v>
      </c>
    </row>
    <row r="908" spans="1:27" x14ac:dyDescent="0.25">
      <c r="A908" t="s">
        <v>728</v>
      </c>
    </row>
    <row r="909" spans="1:27" x14ac:dyDescent="0.25">
      <c r="A909" t="s">
        <v>729</v>
      </c>
    </row>
    <row r="910" spans="1:27" x14ac:dyDescent="0.25">
      <c r="A910" t="s">
        <v>649</v>
      </c>
    </row>
    <row r="911" spans="1:27" x14ac:dyDescent="0.25">
      <c r="A911" t="s">
        <v>650</v>
      </c>
    </row>
    <row r="912" spans="1:27" x14ac:dyDescent="0.25">
      <c r="A912" t="s">
        <v>651</v>
      </c>
    </row>
    <row r="913" spans="1:1" x14ac:dyDescent="0.25">
      <c r="A913" t="s">
        <v>652</v>
      </c>
    </row>
    <row r="914" spans="1:1" x14ac:dyDescent="0.25">
      <c r="A914" t="s">
        <v>653</v>
      </c>
    </row>
    <row r="915" spans="1:1" x14ac:dyDescent="0.25">
      <c r="A915" t="s">
        <v>654</v>
      </c>
    </row>
    <row r="916" spans="1:1" x14ac:dyDescent="0.25">
      <c r="A916" t="s">
        <v>545</v>
      </c>
    </row>
    <row r="917" spans="1:1" x14ac:dyDescent="0.25">
      <c r="A917" t="s">
        <v>730</v>
      </c>
    </row>
    <row r="918" spans="1:1" x14ac:dyDescent="0.25">
      <c r="A918" t="s">
        <v>731</v>
      </c>
    </row>
    <row r="919" spans="1:1" x14ac:dyDescent="0.25">
      <c r="A919" t="s">
        <v>732</v>
      </c>
    </row>
    <row r="920" spans="1:1" x14ac:dyDescent="0.25">
      <c r="A920" t="s">
        <v>733</v>
      </c>
    </row>
    <row r="921" spans="1:1" x14ac:dyDescent="0.25">
      <c r="A921" t="s">
        <v>734</v>
      </c>
    </row>
    <row r="922" spans="1:1" x14ac:dyDescent="0.25">
      <c r="A922" t="s">
        <v>735</v>
      </c>
    </row>
    <row r="923" spans="1:1" x14ac:dyDescent="0.25">
      <c r="A923" t="s">
        <v>736</v>
      </c>
    </row>
    <row r="924" spans="1:1" x14ac:dyDescent="0.25">
      <c r="A924" t="s">
        <v>737</v>
      </c>
    </row>
    <row r="925" spans="1:1" x14ac:dyDescent="0.25">
      <c r="A925" t="s">
        <v>738</v>
      </c>
    </row>
    <row r="926" spans="1:1" x14ac:dyDescent="0.25">
      <c r="A926" t="s">
        <v>739</v>
      </c>
    </row>
    <row r="927" spans="1:1" x14ac:dyDescent="0.25">
      <c r="A927" t="s">
        <v>811</v>
      </c>
    </row>
    <row r="928" spans="1:1" x14ac:dyDescent="0.25">
      <c r="A928" t="s">
        <v>741</v>
      </c>
    </row>
    <row r="929" spans="1:1" x14ac:dyDescent="0.25">
      <c r="A929" t="s">
        <v>812</v>
      </c>
    </row>
  </sheetData>
  <mergeCells count="26">
    <mergeCell ref="J27:K27"/>
    <mergeCell ref="J28:J29"/>
    <mergeCell ref="K28:K29"/>
    <mergeCell ref="A36:D37"/>
    <mergeCell ref="A56:K56"/>
    <mergeCell ref="A38:B38"/>
    <mergeCell ref="E38:I38"/>
    <mergeCell ref="J45:K48"/>
    <mergeCell ref="A53:K53"/>
    <mergeCell ref="A54:K55"/>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85" zoomScaleNormal="85" workbookViewId="0">
      <selection activeCell="D124" sqref="D124"/>
    </sheetView>
  </sheetViews>
  <sheetFormatPr defaultRowHeight="12.5" x14ac:dyDescent="0.25"/>
  <cols>
    <col min="1" max="1" width="33" customWidth="1"/>
    <col min="2" max="2" width="28.54296875" customWidth="1"/>
    <col min="3" max="3" width="14" customWidth="1"/>
    <col min="4" max="4" width="12.81640625" customWidth="1"/>
    <col min="5" max="5" width="15.1796875" customWidth="1"/>
    <col min="6" max="6" width="21.453125" customWidth="1"/>
    <col min="7" max="8" width="14" customWidth="1"/>
    <col min="9" max="9" width="15.1796875" customWidth="1"/>
    <col min="10" max="10" width="17.7265625" customWidth="1"/>
    <col min="11" max="11" width="19.26953125" customWidth="1"/>
    <col min="12" max="12" width="17.1796875" customWidth="1"/>
    <col min="13" max="14" width="18.7265625" customWidth="1"/>
    <col min="15" max="15" width="8.54296875" customWidth="1"/>
    <col min="16" max="18" width="18.7265625" customWidth="1"/>
    <col min="19" max="20" width="13.453125" customWidth="1"/>
    <col min="23" max="23" width="12.453125" bestFit="1" customWidth="1"/>
  </cols>
  <sheetData>
    <row r="1" spans="1:23" ht="14" x14ac:dyDescent="0.3">
      <c r="A1" s="538" t="s">
        <v>301</v>
      </c>
      <c r="B1" s="539"/>
      <c r="C1" s="539"/>
      <c r="D1" s="540"/>
      <c r="E1" s="539"/>
      <c r="F1" s="539"/>
      <c r="G1" s="539"/>
      <c r="H1" s="539"/>
      <c r="I1" s="539"/>
      <c r="J1" s="539"/>
      <c r="K1" s="539"/>
    </row>
    <row r="2" spans="1:23" ht="12.75" customHeight="1" x14ac:dyDescent="0.35">
      <c r="A2" s="1735" t="s">
        <v>867</v>
      </c>
      <c r="B2" s="1736"/>
      <c r="C2" s="1736"/>
      <c r="D2" s="1736"/>
      <c r="E2" s="1736"/>
      <c r="F2" s="1736"/>
      <c r="G2" s="1736"/>
      <c r="H2" s="1736"/>
      <c r="I2" s="1736"/>
      <c r="J2" s="1736"/>
      <c r="K2" s="1736"/>
    </row>
    <row r="3" spans="1:23" ht="13" thickBot="1" x14ac:dyDescent="0.3">
      <c r="A3" s="1737"/>
      <c r="B3" s="1737"/>
      <c r="C3" s="1737"/>
      <c r="D3" s="1737"/>
      <c r="E3" s="1737"/>
      <c r="F3" s="1737"/>
      <c r="G3" s="1737"/>
      <c r="H3" s="1737"/>
      <c r="I3" s="1737"/>
      <c r="J3" s="1737"/>
      <c r="K3" s="1737"/>
    </row>
    <row r="4" spans="1:23" ht="14" x14ac:dyDescent="0.3">
      <c r="A4" s="3" t="s">
        <v>302</v>
      </c>
      <c r="B4" s="4"/>
      <c r="C4" s="1738" t="s">
        <v>303</v>
      </c>
      <c r="D4" s="1738"/>
      <c r="E4" s="1738"/>
      <c r="F4" s="5"/>
      <c r="G4" s="1738" t="s">
        <v>304</v>
      </c>
      <c r="H4" s="1738"/>
      <c r="I4" s="1738"/>
      <c r="J4" s="5"/>
      <c r="K4" s="6" t="s">
        <v>305</v>
      </c>
      <c r="O4" s="2" t="s">
        <v>633</v>
      </c>
    </row>
    <row r="5" spans="1:23" ht="13" x14ac:dyDescent="0.3">
      <c r="A5" s="7" t="s">
        <v>868</v>
      </c>
      <c r="B5" s="8"/>
      <c r="C5" s="9" t="s">
        <v>869</v>
      </c>
      <c r="D5" s="9" t="s">
        <v>306</v>
      </c>
      <c r="E5" s="9" t="s">
        <v>307</v>
      </c>
      <c r="F5" s="9"/>
      <c r="G5" s="9" t="s">
        <v>869</v>
      </c>
      <c r="H5" s="9" t="s">
        <v>306</v>
      </c>
      <c r="I5" s="9" t="s">
        <v>307</v>
      </c>
      <c r="J5" s="9"/>
      <c r="K5" s="10" t="s">
        <v>870</v>
      </c>
      <c r="O5" s="1"/>
      <c r="P5" s="1"/>
      <c r="Q5" s="549"/>
      <c r="R5" s="549">
        <v>2005</v>
      </c>
      <c r="S5" s="549">
        <v>2007</v>
      </c>
      <c r="T5" s="549">
        <v>2005</v>
      </c>
      <c r="U5" s="549">
        <v>2007</v>
      </c>
      <c r="V5" s="548"/>
      <c r="W5" s="548"/>
    </row>
    <row r="6" spans="1:23" ht="13" x14ac:dyDescent="0.3">
      <c r="A6" s="15" t="s">
        <v>529</v>
      </c>
      <c r="B6" s="12"/>
      <c r="C6" s="13">
        <v>983</v>
      </c>
      <c r="D6" s="14">
        <f>C6/$K6*453.59</f>
        <v>20267.225909090906</v>
      </c>
      <c r="E6" s="541">
        <f>D6*1.05506/1000*2.2046</f>
        <v>47.141269049911173</v>
      </c>
      <c r="F6" s="13"/>
      <c r="G6" s="13">
        <v>1089</v>
      </c>
      <c r="H6" s="14">
        <f>G6/$K6*453.59</f>
        <v>22452.704999999998</v>
      </c>
      <c r="I6" s="541">
        <f>H6*1.05506/1000*2.2046</f>
        <v>52.224661236371581</v>
      </c>
      <c r="J6" s="13"/>
      <c r="K6" s="542">
        <v>22</v>
      </c>
      <c r="O6" s="1" t="s">
        <v>248</v>
      </c>
      <c r="P6" s="1" t="s">
        <v>1048</v>
      </c>
      <c r="Q6" s="549" t="s">
        <v>637</v>
      </c>
      <c r="R6" s="549" t="s">
        <v>636</v>
      </c>
      <c r="S6" s="549" t="s">
        <v>636</v>
      </c>
      <c r="T6" s="549" t="s">
        <v>1037</v>
      </c>
      <c r="U6" s="549" t="s">
        <v>1037</v>
      </c>
      <c r="V6" s="548"/>
      <c r="W6" s="548"/>
    </row>
    <row r="7" spans="1:23" ht="13" x14ac:dyDescent="0.25">
      <c r="A7" s="15" t="s">
        <v>871</v>
      </c>
      <c r="B7" s="16"/>
      <c r="C7" s="543">
        <v>290</v>
      </c>
      <c r="D7" s="17">
        <f t="shared" ref="D7:D40" si="0">C7/K7*453.59</f>
        <v>51682.028917177428</v>
      </c>
      <c r="E7" s="544">
        <f t="shared" ref="E7:E40" si="1">D7*1.05506/1000*2.2046</f>
        <v>120.21163829516094</v>
      </c>
      <c r="F7" s="18"/>
      <c r="G7" s="19">
        <v>343</v>
      </c>
      <c r="H7" s="17">
        <f t="shared" ref="H7:H40" si="2">G7/$K7*453.59</f>
        <v>61127.365236523648</v>
      </c>
      <c r="I7" s="544">
        <f t="shared" ref="I7:I40" si="3">H7*1.05506/1000*2.2046</f>
        <v>142.1813515008283</v>
      </c>
      <c r="J7" s="18"/>
      <c r="K7" s="545">
        <v>2.5451999999999999</v>
      </c>
      <c r="O7" t="s">
        <v>850</v>
      </c>
      <c r="P7" t="s">
        <v>638</v>
      </c>
      <c r="Q7" s="548">
        <v>930</v>
      </c>
      <c r="R7" s="548">
        <v>1027</v>
      </c>
      <c r="S7" s="548">
        <v>1030</v>
      </c>
      <c r="T7" s="548">
        <f>R7/Q7</f>
        <v>1.1043010752688172</v>
      </c>
      <c r="U7" s="548">
        <f>S7/Q7</f>
        <v>1.10752688172043</v>
      </c>
      <c r="V7" s="548"/>
      <c r="W7" s="548"/>
    </row>
    <row r="8" spans="1:23" ht="13" x14ac:dyDescent="0.25">
      <c r="A8" s="15" t="s">
        <v>872</v>
      </c>
      <c r="B8" s="16"/>
      <c r="C8" s="543">
        <v>1458</v>
      </c>
      <c r="D8" s="17">
        <f t="shared" si="0"/>
        <v>20162.628658536585</v>
      </c>
      <c r="E8" s="541">
        <f t="shared" si="1"/>
        <v>46.897977385211739</v>
      </c>
      <c r="F8" s="18"/>
      <c r="G8" s="19">
        <v>1584</v>
      </c>
      <c r="H8" s="17">
        <f t="shared" si="2"/>
        <v>21905.078048780488</v>
      </c>
      <c r="I8" s="541">
        <f t="shared" si="3"/>
        <v>50.950889011094226</v>
      </c>
      <c r="J8" s="18"/>
      <c r="K8" s="20">
        <v>32.799999999999997</v>
      </c>
      <c r="O8" t="s">
        <v>851</v>
      </c>
      <c r="P8" t="s">
        <v>638</v>
      </c>
      <c r="Q8" s="548">
        <v>930</v>
      </c>
      <c r="R8" s="548">
        <v>1027</v>
      </c>
      <c r="S8" s="548">
        <v>1030</v>
      </c>
      <c r="T8" s="548">
        <f>R8/Q8</f>
        <v>1.1043010752688172</v>
      </c>
      <c r="U8" s="548">
        <f>S8/Q8</f>
        <v>1.10752688172043</v>
      </c>
      <c r="V8" s="548"/>
      <c r="W8" s="548"/>
    </row>
    <row r="9" spans="1:23" ht="13" x14ac:dyDescent="0.25">
      <c r="A9" s="7" t="s">
        <v>308</v>
      </c>
      <c r="B9" s="8"/>
      <c r="C9" s="9" t="s">
        <v>309</v>
      </c>
      <c r="D9" s="9" t="s">
        <v>306</v>
      </c>
      <c r="E9" s="9" t="s">
        <v>307</v>
      </c>
      <c r="F9" s="9"/>
      <c r="G9" s="9" t="s">
        <v>309</v>
      </c>
      <c r="H9" s="9" t="s">
        <v>306</v>
      </c>
      <c r="I9" s="9" t="s">
        <v>307</v>
      </c>
      <c r="J9" s="9"/>
      <c r="K9" s="10" t="s">
        <v>310</v>
      </c>
      <c r="O9" t="s">
        <v>852</v>
      </c>
      <c r="P9" t="s">
        <v>638</v>
      </c>
      <c r="Q9" s="548">
        <v>930</v>
      </c>
      <c r="R9" s="548">
        <v>1027</v>
      </c>
      <c r="S9" s="548">
        <v>1030</v>
      </c>
      <c r="T9" s="548">
        <f>R9/Q9</f>
        <v>1.1043010752688172</v>
      </c>
      <c r="U9" s="548">
        <f>S9/Q9</f>
        <v>1.10752688172043</v>
      </c>
      <c r="V9" s="548"/>
      <c r="W9" s="548"/>
    </row>
    <row r="10" spans="1:23" ht="13" x14ac:dyDescent="0.25">
      <c r="A10" s="11" t="s">
        <v>873</v>
      </c>
      <c r="B10" s="16"/>
      <c r="C10" s="19">
        <v>129670</v>
      </c>
      <c r="D10" s="17">
        <f t="shared" si="0"/>
        <v>18351.642839313572</v>
      </c>
      <c r="E10" s="541">
        <f t="shared" si="1"/>
        <v>42.685651034654214</v>
      </c>
      <c r="F10" s="18"/>
      <c r="G10" s="19">
        <v>138350</v>
      </c>
      <c r="H10" s="17">
        <f t="shared" si="2"/>
        <v>19580.086271450855</v>
      </c>
      <c r="I10" s="541">
        <f t="shared" si="3"/>
        <v>45.542992370204438</v>
      </c>
      <c r="J10" s="18"/>
      <c r="K10" s="21">
        <v>3205</v>
      </c>
      <c r="O10" t="s">
        <v>927</v>
      </c>
      <c r="Q10" s="548"/>
      <c r="R10" s="548"/>
      <c r="S10" s="548"/>
      <c r="T10" s="548">
        <v>1</v>
      </c>
      <c r="U10" s="548">
        <v>1</v>
      </c>
      <c r="V10" s="548"/>
      <c r="W10" s="548"/>
    </row>
    <row r="11" spans="1:23" ht="13" x14ac:dyDescent="0.25">
      <c r="A11" s="11" t="s">
        <v>874</v>
      </c>
      <c r="B11" s="16"/>
      <c r="C11" s="19">
        <v>116090</v>
      </c>
      <c r="D11" s="17">
        <f t="shared" si="0"/>
        <v>18679.412238382403</v>
      </c>
      <c r="E11" s="541">
        <f t="shared" si="1"/>
        <v>43.448037830811678</v>
      </c>
      <c r="F11" s="18"/>
      <c r="G11" s="19">
        <v>124340</v>
      </c>
      <c r="H11" s="17">
        <f t="shared" si="2"/>
        <v>20006.874991131608</v>
      </c>
      <c r="I11" s="541">
        <f t="shared" si="3"/>
        <v>46.535696648144757</v>
      </c>
      <c r="J11" s="18"/>
      <c r="K11" s="21">
        <v>2819</v>
      </c>
      <c r="O11" t="s">
        <v>929</v>
      </c>
      <c r="Q11" s="548"/>
      <c r="R11" s="548"/>
      <c r="S11" s="548"/>
      <c r="T11" s="548">
        <v>1</v>
      </c>
      <c r="U11" s="548">
        <v>1</v>
      </c>
      <c r="V11" s="548"/>
      <c r="W11" s="548"/>
    </row>
    <row r="12" spans="1:23" ht="13" x14ac:dyDescent="0.25">
      <c r="A12" s="11" t="s">
        <v>875</v>
      </c>
      <c r="B12" s="16"/>
      <c r="C12" s="19">
        <v>113601.50975397152</v>
      </c>
      <c r="D12" s="17">
        <f t="shared" si="0"/>
        <v>18210.67343395916</v>
      </c>
      <c r="E12" s="541">
        <f t="shared" si="1"/>
        <v>42.357758273433376</v>
      </c>
      <c r="F12" s="18"/>
      <c r="G12" s="19">
        <v>121848.38036482914</v>
      </c>
      <c r="H12" s="17">
        <f t="shared" si="2"/>
        <v>19532.672304147527</v>
      </c>
      <c r="I12" s="541">
        <f t="shared" si="3"/>
        <v>45.432708180380153</v>
      </c>
      <c r="J12" s="18"/>
      <c r="K12" s="21">
        <v>2829.5773353012783</v>
      </c>
      <c r="O12" t="s">
        <v>853</v>
      </c>
      <c r="P12" t="s">
        <v>639</v>
      </c>
      <c r="Q12" s="550">
        <v>19546300</v>
      </c>
      <c r="R12" s="550">
        <v>20754000</v>
      </c>
      <c r="S12" s="550">
        <v>20231000</v>
      </c>
      <c r="T12" s="548">
        <f>R12/Q12</f>
        <v>1.0617866296946226</v>
      </c>
      <c r="U12" s="548">
        <f>S12/Q12</f>
        <v>1.0350296475547802</v>
      </c>
      <c r="V12" s="548"/>
      <c r="W12" s="548"/>
    </row>
    <row r="13" spans="1:23" ht="13" x14ac:dyDescent="0.25">
      <c r="A13" s="11" t="s">
        <v>876</v>
      </c>
      <c r="B13" s="16"/>
      <c r="C13" s="19">
        <v>113927.15396104372</v>
      </c>
      <c r="D13" s="17">
        <f t="shared" si="0"/>
        <v>18271.813278014368</v>
      </c>
      <c r="E13" s="541">
        <f t="shared" si="1"/>
        <v>42.499968650482714</v>
      </c>
      <c r="F13" s="18"/>
      <c r="G13" s="19">
        <v>122174.43408423416</v>
      </c>
      <c r="H13" s="17">
        <f t="shared" si="2"/>
        <v>19594.524828536756</v>
      </c>
      <c r="I13" s="541">
        <f t="shared" si="3"/>
        <v>45.576576241392928</v>
      </c>
      <c r="J13" s="18"/>
      <c r="K13" s="21">
        <v>2828.193183616288</v>
      </c>
      <c r="O13" t="s">
        <v>910</v>
      </c>
      <c r="P13" t="s">
        <v>640</v>
      </c>
      <c r="Q13" s="550">
        <v>128450</v>
      </c>
      <c r="R13" s="550">
        <f>5825000/42</f>
        <v>138690.47619047618</v>
      </c>
      <c r="S13" s="550">
        <f>5799000/42</f>
        <v>138071.42857142858</v>
      </c>
      <c r="T13" s="548">
        <f>R13/Q13</f>
        <v>1.0797234425105191</v>
      </c>
      <c r="U13" s="548">
        <f>S13/Q13</f>
        <v>1.0749040760718458</v>
      </c>
      <c r="V13" s="548"/>
      <c r="W13" s="548"/>
    </row>
    <row r="14" spans="1:23" ht="13" x14ac:dyDescent="0.25">
      <c r="A14" s="11" t="s">
        <v>877</v>
      </c>
      <c r="B14" s="16"/>
      <c r="C14" s="19">
        <v>128450</v>
      </c>
      <c r="D14" s="17">
        <f t="shared" si="0"/>
        <v>18397.106251973477</v>
      </c>
      <c r="E14" s="541">
        <f t="shared" si="1"/>
        <v>42.791398263097854</v>
      </c>
      <c r="F14" s="18"/>
      <c r="G14" s="19">
        <v>137380</v>
      </c>
      <c r="H14" s="17">
        <f t="shared" si="2"/>
        <v>19676.095421534574</v>
      </c>
      <c r="I14" s="541">
        <f t="shared" si="3"/>
        <v>45.766308239660439</v>
      </c>
      <c r="J14" s="18"/>
      <c r="K14" s="21">
        <v>3167</v>
      </c>
      <c r="O14" t="s">
        <v>908</v>
      </c>
      <c r="P14" t="s">
        <v>640</v>
      </c>
      <c r="Q14" s="550">
        <v>86668</v>
      </c>
      <c r="R14" s="550">
        <v>94706</v>
      </c>
      <c r="S14" s="550">
        <v>94854</v>
      </c>
      <c r="T14" s="548">
        <f>R14/Q14</f>
        <v>1.0927447270041999</v>
      </c>
      <c r="U14" s="548">
        <f>S14/Q14</f>
        <v>1.0944523930401071</v>
      </c>
      <c r="V14" s="548"/>
      <c r="W14" s="548"/>
    </row>
    <row r="15" spans="1:23" ht="13" x14ac:dyDescent="0.25">
      <c r="A15" s="11" t="s">
        <v>528</v>
      </c>
      <c r="B15" s="16"/>
      <c r="C15" s="19">
        <v>129487.84757606639</v>
      </c>
      <c r="D15" s="17">
        <f t="shared" si="0"/>
        <v>18320.147467881456</v>
      </c>
      <c r="E15" s="541">
        <f t="shared" si="1"/>
        <v>42.612393264440954</v>
      </c>
      <c r="F15" s="18"/>
      <c r="G15" s="19">
        <v>138490</v>
      </c>
      <c r="H15" s="17">
        <f t="shared" si="2"/>
        <v>19593.786369307545</v>
      </c>
      <c r="I15" s="541">
        <f t="shared" si="3"/>
        <v>45.574858596098856</v>
      </c>
      <c r="J15" s="18"/>
      <c r="K15" s="21">
        <v>3206</v>
      </c>
      <c r="O15" t="s">
        <v>854</v>
      </c>
      <c r="P15" t="s">
        <v>640</v>
      </c>
      <c r="Q15" s="550"/>
      <c r="R15" s="550"/>
      <c r="S15" s="550"/>
      <c r="T15" s="548">
        <f>$I$19/$E$19</f>
        <v>1.1388646288209607</v>
      </c>
      <c r="U15" s="548">
        <f>$I$19/$E$19</f>
        <v>1.1388646288209607</v>
      </c>
      <c r="V15" s="548"/>
      <c r="W15" s="548"/>
    </row>
    <row r="16" spans="1:23" ht="13" x14ac:dyDescent="0.25">
      <c r="A16" s="11" t="s">
        <v>878</v>
      </c>
      <c r="B16" s="16"/>
      <c r="C16" s="19">
        <v>116920</v>
      </c>
      <c r="D16" s="17">
        <f t="shared" si="0"/>
        <v>19320.124881602911</v>
      </c>
      <c r="E16" s="541">
        <f t="shared" si="1"/>
        <v>44.938326005089621</v>
      </c>
      <c r="F16" s="18"/>
      <c r="G16" s="19">
        <v>125080</v>
      </c>
      <c r="H16" s="17">
        <f t="shared" si="2"/>
        <v>20668.501712204008</v>
      </c>
      <c r="I16" s="541">
        <f t="shared" si="3"/>
        <v>48.074630659567319</v>
      </c>
      <c r="J16" s="18"/>
      <c r="K16" s="22">
        <v>2745</v>
      </c>
      <c r="O16" t="s">
        <v>913</v>
      </c>
      <c r="P16" t="s">
        <v>640</v>
      </c>
      <c r="Q16" s="550">
        <v>116090</v>
      </c>
      <c r="R16" s="550">
        <f>5194000/42</f>
        <v>123666.66666666667</v>
      </c>
      <c r="S16" s="550">
        <f>5218000/42</f>
        <v>124238.09523809524</v>
      </c>
      <c r="T16" s="548">
        <f>R16/Q16</f>
        <v>1.0652654549631033</v>
      </c>
      <c r="U16" s="548">
        <f>S16/Q16</f>
        <v>1.0701877443198831</v>
      </c>
      <c r="V16" s="548"/>
      <c r="W16" s="548"/>
    </row>
    <row r="17" spans="1:23" ht="13" x14ac:dyDescent="0.25">
      <c r="A17" s="11" t="s">
        <v>879</v>
      </c>
      <c r="B17" s="16"/>
      <c r="C17" s="19">
        <v>111520</v>
      </c>
      <c r="D17" s="17">
        <f t="shared" si="0"/>
        <v>19081.236061863448</v>
      </c>
      <c r="E17" s="541">
        <f t="shared" si="1"/>
        <v>44.382674127774621</v>
      </c>
      <c r="F17" s="18"/>
      <c r="G17" s="19">
        <v>119740</v>
      </c>
      <c r="H17" s="17">
        <f t="shared" si="2"/>
        <v>20487.69015465862</v>
      </c>
      <c r="I17" s="541">
        <f t="shared" si="3"/>
        <v>47.654065638986118</v>
      </c>
      <c r="J17" s="18"/>
      <c r="K17" s="21">
        <v>2651</v>
      </c>
      <c r="O17" t="s">
        <v>855</v>
      </c>
      <c r="P17" t="s">
        <v>639</v>
      </c>
      <c r="Q17" s="550">
        <v>16811000</v>
      </c>
      <c r="R17" s="550">
        <v>17200000</v>
      </c>
      <c r="S17" s="550">
        <v>17200000</v>
      </c>
      <c r="T17" s="548">
        <f>R17/Q17</f>
        <v>1.0231396109690083</v>
      </c>
      <c r="U17" s="548">
        <f>S17/Q17</f>
        <v>1.0231396109690083</v>
      </c>
      <c r="V17" s="548"/>
      <c r="W17" s="548"/>
    </row>
    <row r="18" spans="1:23" ht="13" x14ac:dyDescent="0.25">
      <c r="A18" s="11" t="s">
        <v>880</v>
      </c>
      <c r="B18" s="16"/>
      <c r="C18" s="19">
        <v>140352.52220119376</v>
      </c>
      <c r="D18" s="17">
        <f t="shared" si="0"/>
        <v>16967.617416108602</v>
      </c>
      <c r="E18" s="541">
        <f t="shared" si="1"/>
        <v>39.466428278669781</v>
      </c>
      <c r="F18" s="18"/>
      <c r="G18" s="19">
        <v>150110</v>
      </c>
      <c r="H18" s="17">
        <f t="shared" si="2"/>
        <v>18147.226785714287</v>
      </c>
      <c r="I18" s="541">
        <f t="shared" si="3"/>
        <v>42.210182303804245</v>
      </c>
      <c r="J18" s="18"/>
      <c r="K18" s="21">
        <v>3752</v>
      </c>
      <c r="O18" t="s">
        <v>856</v>
      </c>
      <c r="P18" t="s">
        <v>641</v>
      </c>
      <c r="Q18" s="551">
        <v>2.8300000000000001E-3</v>
      </c>
      <c r="R18" s="550"/>
      <c r="S18" s="550"/>
      <c r="T18" s="548">
        <v>1</v>
      </c>
      <c r="U18" s="548">
        <v>1</v>
      </c>
      <c r="V18" s="548"/>
      <c r="W18" s="548"/>
    </row>
    <row r="19" spans="1:23" ht="13" x14ac:dyDescent="0.25">
      <c r="A19" s="11" t="s">
        <v>311</v>
      </c>
      <c r="B19" s="23"/>
      <c r="C19" s="19">
        <v>57250</v>
      </c>
      <c r="D19" s="17">
        <f t="shared" si="0"/>
        <v>8638.7317032601459</v>
      </c>
      <c r="E19" s="541">
        <f t="shared" si="1"/>
        <v>20.093562745097504</v>
      </c>
      <c r="F19" s="18"/>
      <c r="G19" s="19">
        <v>65200</v>
      </c>
      <c r="H19" s="17">
        <f t="shared" si="2"/>
        <v>9838.345974717231</v>
      </c>
      <c r="I19" s="541">
        <f t="shared" si="3"/>
        <v>22.883847877386152</v>
      </c>
      <c r="J19" s="18"/>
      <c r="K19" s="22">
        <v>3006</v>
      </c>
      <c r="Q19" s="548"/>
      <c r="R19" s="548"/>
      <c r="S19" s="548"/>
      <c r="T19" s="548"/>
      <c r="U19" s="548"/>
      <c r="V19" s="548"/>
      <c r="W19" s="548"/>
    </row>
    <row r="20" spans="1:23" ht="13" x14ac:dyDescent="0.25">
      <c r="A20" s="11" t="s">
        <v>312</v>
      </c>
      <c r="B20" s="23"/>
      <c r="C20" s="19">
        <v>76330</v>
      </c>
      <c r="D20" s="17">
        <f t="shared" si="0"/>
        <v>11587.19032797858</v>
      </c>
      <c r="E20" s="541">
        <f t="shared" si="1"/>
        <v>26.95163409308779</v>
      </c>
      <c r="F20" s="18"/>
      <c r="G20" s="19">
        <v>84530</v>
      </c>
      <c r="H20" s="17">
        <f t="shared" si="2"/>
        <v>12831.982161981257</v>
      </c>
      <c r="I20" s="541">
        <f t="shared" si="3"/>
        <v>29.847001570663057</v>
      </c>
      <c r="J20" s="18"/>
      <c r="K20" s="22">
        <v>2988</v>
      </c>
      <c r="Q20" s="548"/>
      <c r="R20" s="548"/>
      <c r="S20" s="548"/>
      <c r="T20" s="548"/>
      <c r="U20" s="548"/>
      <c r="V20" s="548"/>
      <c r="W20" s="548"/>
    </row>
    <row r="21" spans="1:23" ht="13" x14ac:dyDescent="0.25">
      <c r="A21" s="11" t="s">
        <v>965</v>
      </c>
      <c r="B21" s="23"/>
      <c r="C21" s="19">
        <v>99837</v>
      </c>
      <c r="D21" s="17">
        <f t="shared" si="0"/>
        <v>14774.898802610114</v>
      </c>
      <c r="E21" s="541">
        <f t="shared" si="1"/>
        <v>34.366197069261162</v>
      </c>
      <c r="F21" s="18"/>
      <c r="G21" s="19">
        <v>108458</v>
      </c>
      <c r="H21" s="17">
        <f t="shared" si="2"/>
        <v>16050.722420880913</v>
      </c>
      <c r="I21" s="541">
        <f t="shared" si="3"/>
        <v>37.33374402013208</v>
      </c>
      <c r="J21" s="18"/>
      <c r="K21" s="22">
        <v>3065</v>
      </c>
      <c r="Q21" s="548"/>
      <c r="R21" s="548"/>
      <c r="S21" s="548"/>
      <c r="T21" s="548"/>
      <c r="U21" s="548"/>
      <c r="V21" s="548"/>
      <c r="W21" s="548"/>
    </row>
    <row r="22" spans="1:23" ht="13" x14ac:dyDescent="0.25">
      <c r="A22" s="11" t="s">
        <v>966</v>
      </c>
      <c r="B22" s="23"/>
      <c r="C22" s="19">
        <v>83127</v>
      </c>
      <c r="D22" s="17">
        <f t="shared" si="0"/>
        <v>12721.179463562754</v>
      </c>
      <c r="E22" s="541">
        <f t="shared" si="1"/>
        <v>29.589276125600549</v>
      </c>
      <c r="F22" s="18"/>
      <c r="G22" s="19">
        <v>89511</v>
      </c>
      <c r="H22" s="17">
        <f t="shared" si="2"/>
        <v>13698.142540485829</v>
      </c>
      <c r="I22" s="541">
        <f t="shared" si="3"/>
        <v>31.861677857719279</v>
      </c>
      <c r="J22" s="18"/>
      <c r="K22" s="22">
        <v>2964</v>
      </c>
      <c r="Q22" s="548"/>
      <c r="R22" s="548"/>
      <c r="S22" s="548"/>
      <c r="T22" s="548"/>
      <c r="U22" s="548"/>
      <c r="V22" s="548"/>
      <c r="W22" s="548"/>
    </row>
    <row r="23" spans="1:23" ht="13" x14ac:dyDescent="0.25">
      <c r="A23" s="11" t="s">
        <v>881</v>
      </c>
      <c r="B23" s="23"/>
      <c r="C23" s="19">
        <v>116090</v>
      </c>
      <c r="D23" s="17">
        <f t="shared" si="0"/>
        <v>18679.412238382403</v>
      </c>
      <c r="E23" s="541">
        <f t="shared" si="1"/>
        <v>43.448037830811678</v>
      </c>
      <c r="F23" s="18"/>
      <c r="G23" s="19">
        <v>124340</v>
      </c>
      <c r="H23" s="17">
        <f t="shared" si="2"/>
        <v>20006.874991131608</v>
      </c>
      <c r="I23" s="541">
        <f t="shared" si="3"/>
        <v>46.535696648144757</v>
      </c>
      <c r="J23" s="18"/>
      <c r="K23" s="22">
        <v>2819</v>
      </c>
      <c r="Q23" s="548"/>
      <c r="R23" s="548"/>
      <c r="S23" s="548"/>
      <c r="T23" s="548"/>
      <c r="U23" s="548"/>
      <c r="V23" s="548"/>
      <c r="W23" s="548"/>
    </row>
    <row r="24" spans="1:23" ht="13" x14ac:dyDescent="0.25">
      <c r="A24" s="11" t="s">
        <v>882</v>
      </c>
      <c r="B24" s="23"/>
      <c r="C24" s="19">
        <v>84950</v>
      </c>
      <c r="D24" s="17">
        <f t="shared" si="0"/>
        <v>20037.686167446696</v>
      </c>
      <c r="E24" s="541">
        <f t="shared" si="1"/>
        <v>46.607362990589891</v>
      </c>
      <c r="F24" s="18"/>
      <c r="G24" s="19">
        <v>91410</v>
      </c>
      <c r="H24" s="17">
        <f t="shared" si="2"/>
        <v>21561.446645865835</v>
      </c>
      <c r="I24" s="541">
        <f t="shared" si="3"/>
        <v>50.151607427543532</v>
      </c>
      <c r="J24" s="18"/>
      <c r="K24" s="22">
        <v>1923</v>
      </c>
      <c r="Q24" s="548"/>
      <c r="R24" s="548"/>
      <c r="S24" s="548"/>
      <c r="T24" s="548"/>
      <c r="U24" s="548"/>
      <c r="V24" s="548"/>
      <c r="W24" s="548"/>
    </row>
    <row r="25" spans="1:23" ht="13" x14ac:dyDescent="0.25">
      <c r="A25" s="11" t="s">
        <v>883</v>
      </c>
      <c r="B25" s="23"/>
      <c r="C25" s="19">
        <v>74720</v>
      </c>
      <c r="D25" s="17">
        <f t="shared" si="0"/>
        <v>20908.23244910549</v>
      </c>
      <c r="E25" s="541">
        <f t="shared" si="1"/>
        <v>48.632240823804793</v>
      </c>
      <c r="F25" s="18"/>
      <c r="G25" s="19">
        <v>84820</v>
      </c>
      <c r="H25" s="17">
        <f t="shared" si="2"/>
        <v>23734.425539790249</v>
      </c>
      <c r="I25" s="541">
        <f t="shared" si="3"/>
        <v>55.205924339870478</v>
      </c>
      <c r="J25" s="18"/>
      <c r="K25" s="22">
        <v>1621</v>
      </c>
      <c r="Q25" s="548"/>
      <c r="R25" s="548"/>
      <c r="S25" s="548"/>
      <c r="T25" s="548"/>
      <c r="U25" s="548"/>
      <c r="V25" s="548"/>
      <c r="W25" s="548"/>
    </row>
    <row r="26" spans="1:23" ht="13" x14ac:dyDescent="0.25">
      <c r="A26" s="11" t="s">
        <v>884</v>
      </c>
      <c r="B26" s="23"/>
      <c r="C26" s="19">
        <v>68930</v>
      </c>
      <c r="D26" s="17">
        <f t="shared" si="0"/>
        <v>12416.981215250198</v>
      </c>
      <c r="E26" s="541">
        <f t="shared" si="1"/>
        <v>28.881715479040551</v>
      </c>
      <c r="F26" s="18"/>
      <c r="G26" s="19">
        <v>75610</v>
      </c>
      <c r="H26" s="17">
        <f t="shared" si="2"/>
        <v>13620.3097299444</v>
      </c>
      <c r="I26" s="541">
        <f t="shared" si="3"/>
        <v>31.680639886410216</v>
      </c>
      <c r="J26" s="18"/>
      <c r="K26" s="22">
        <v>2518</v>
      </c>
      <c r="Q26" s="548"/>
      <c r="R26" s="548"/>
      <c r="S26" s="548"/>
      <c r="T26" s="548"/>
      <c r="U26" s="548"/>
      <c r="V26" s="548"/>
      <c r="W26" s="548"/>
    </row>
    <row r="27" spans="1:23" ht="13" x14ac:dyDescent="0.25">
      <c r="A27" s="11" t="s">
        <v>885</v>
      </c>
      <c r="B27" s="23"/>
      <c r="C27" s="19">
        <v>72200</v>
      </c>
      <c r="D27" s="17">
        <f t="shared" si="0"/>
        <v>10061.197542242702</v>
      </c>
      <c r="E27" s="541">
        <f t="shared" si="1"/>
        <v>23.402197342183918</v>
      </c>
      <c r="F27" s="18"/>
      <c r="G27" s="19">
        <v>79196.89540113158</v>
      </c>
      <c r="H27" s="17">
        <f t="shared" si="2"/>
        <v>11036.227276497471</v>
      </c>
      <c r="I27" s="541">
        <f t="shared" si="3"/>
        <v>25.670102147722705</v>
      </c>
      <c r="J27" s="18"/>
      <c r="K27" s="22">
        <v>3255</v>
      </c>
      <c r="Q27" s="548"/>
      <c r="R27" s="548"/>
      <c r="S27" s="548"/>
      <c r="T27" s="548"/>
      <c r="U27" s="548"/>
      <c r="V27" s="548"/>
      <c r="W27" s="548"/>
    </row>
    <row r="28" spans="1:23" ht="13" x14ac:dyDescent="0.25">
      <c r="A28" s="11" t="s">
        <v>886</v>
      </c>
      <c r="B28" s="23"/>
      <c r="C28" s="19">
        <v>119550</v>
      </c>
      <c r="D28" s="17">
        <f t="shared" si="0"/>
        <v>16134.09238321928</v>
      </c>
      <c r="E28" s="541">
        <f t="shared" si="1"/>
        <v>37.527661324991804</v>
      </c>
      <c r="F28" s="18"/>
      <c r="G28" s="19">
        <v>127960</v>
      </c>
      <c r="H28" s="17">
        <f t="shared" si="2"/>
        <v>17269.079559654863</v>
      </c>
      <c r="I28" s="541">
        <f t="shared" si="3"/>
        <v>40.167624785829787</v>
      </c>
      <c r="J28" s="18"/>
      <c r="K28" s="22">
        <v>3361</v>
      </c>
      <c r="Q28" s="548"/>
      <c r="R28" s="548"/>
      <c r="S28" s="548"/>
      <c r="T28" s="548"/>
      <c r="U28" s="548"/>
      <c r="V28" s="548"/>
      <c r="W28" s="548"/>
    </row>
    <row r="29" spans="1:23" ht="13" x14ac:dyDescent="0.25">
      <c r="A29" s="11" t="s">
        <v>887</v>
      </c>
      <c r="B29" s="23"/>
      <c r="C29" s="19">
        <v>123670</v>
      </c>
      <c r="D29" s="17">
        <f t="shared" si="0"/>
        <v>18593.130692741131</v>
      </c>
      <c r="E29" s="541">
        <f t="shared" si="1"/>
        <v>43.247348226059557</v>
      </c>
      <c r="F29" s="18"/>
      <c r="G29" s="19">
        <v>130030</v>
      </c>
      <c r="H29" s="17">
        <f t="shared" si="2"/>
        <v>19549.323069274113</v>
      </c>
      <c r="I29" s="541">
        <f t="shared" si="3"/>
        <v>45.471437614898726</v>
      </c>
      <c r="J29" s="18"/>
      <c r="K29" s="22">
        <v>3017</v>
      </c>
      <c r="Q29" s="548"/>
      <c r="R29" s="548"/>
      <c r="S29" s="548"/>
      <c r="T29" s="548"/>
      <c r="U29" s="548"/>
      <c r="V29" s="548"/>
      <c r="W29" s="548"/>
    </row>
    <row r="30" spans="1:23" ht="13" x14ac:dyDescent="0.25">
      <c r="A30" s="11" t="s">
        <v>967</v>
      </c>
      <c r="B30" s="23"/>
      <c r="C30" s="19">
        <v>117059</v>
      </c>
      <c r="D30" s="17">
        <f t="shared" si="0"/>
        <v>18729.027093474426</v>
      </c>
      <c r="E30" s="541">
        <f t="shared" si="1"/>
        <v>43.563441253226593</v>
      </c>
      <c r="F30" s="18"/>
      <c r="G30" s="19">
        <v>125294</v>
      </c>
      <c r="H30" s="17">
        <f t="shared" si="2"/>
        <v>20046.598045855379</v>
      </c>
      <c r="I30" s="541">
        <f t="shared" si="3"/>
        <v>46.628091888549989</v>
      </c>
      <c r="J30" s="18"/>
      <c r="K30" s="22">
        <v>2835</v>
      </c>
      <c r="Q30" s="548"/>
      <c r="R30" s="548"/>
      <c r="S30" s="548"/>
      <c r="T30" s="548"/>
      <c r="U30" s="548"/>
      <c r="V30" s="548"/>
      <c r="W30" s="548"/>
    </row>
    <row r="31" spans="1:23" ht="13" x14ac:dyDescent="0.25">
      <c r="A31" s="11" t="s">
        <v>968</v>
      </c>
      <c r="B31" s="23"/>
      <c r="C31" s="19">
        <v>122887</v>
      </c>
      <c r="D31" s="17">
        <f t="shared" si="0"/>
        <v>18907.840681818183</v>
      </c>
      <c r="E31" s="541">
        <f t="shared" si="1"/>
        <v>43.979359026862895</v>
      </c>
      <c r="F31" s="18"/>
      <c r="G31" s="19">
        <v>130817</v>
      </c>
      <c r="H31" s="17">
        <f t="shared" si="2"/>
        <v>20127.979318181817</v>
      </c>
      <c r="I31" s="541">
        <f t="shared" si="3"/>
        <v>46.817383529723436</v>
      </c>
      <c r="J31" s="18"/>
      <c r="K31" s="22">
        <v>2948</v>
      </c>
      <c r="Q31" s="548"/>
      <c r="R31" s="548"/>
      <c r="S31" s="548"/>
      <c r="T31" s="548"/>
      <c r="U31" s="548"/>
      <c r="V31" s="548"/>
      <c r="W31" s="548"/>
    </row>
    <row r="32" spans="1:23" ht="13" x14ac:dyDescent="0.25">
      <c r="A32" s="11" t="s">
        <v>969</v>
      </c>
      <c r="B32" s="23"/>
      <c r="C32" s="19">
        <v>115983</v>
      </c>
      <c r="D32" s="17">
        <f t="shared" si="0"/>
        <v>18589.656879858656</v>
      </c>
      <c r="E32" s="541">
        <f t="shared" si="1"/>
        <v>43.23926818844334</v>
      </c>
      <c r="F32" s="18"/>
      <c r="G32" s="19">
        <v>124230</v>
      </c>
      <c r="H32" s="17">
        <f t="shared" si="2"/>
        <v>19911.479045936394</v>
      </c>
      <c r="I32" s="541">
        <f t="shared" si="3"/>
        <v>46.313807084230582</v>
      </c>
      <c r="J32" s="18"/>
      <c r="K32" s="22">
        <v>2830</v>
      </c>
      <c r="Q32" s="548"/>
      <c r="R32" s="548"/>
      <c r="S32" s="548"/>
      <c r="T32" s="548"/>
      <c r="U32" s="548"/>
      <c r="V32" s="548"/>
      <c r="W32" s="548"/>
    </row>
    <row r="33" spans="1:23" ht="13" x14ac:dyDescent="0.25">
      <c r="A33" s="11" t="s">
        <v>888</v>
      </c>
      <c r="B33" s="23"/>
      <c r="C33" s="19">
        <v>30500</v>
      </c>
      <c r="D33" s="17">
        <f t="shared" si="0"/>
        <v>51621.249999999993</v>
      </c>
      <c r="E33" s="544">
        <f t="shared" si="1"/>
        <v>120.070267428715</v>
      </c>
      <c r="F33" s="18"/>
      <c r="G33" s="19">
        <v>36020</v>
      </c>
      <c r="H33" s="17">
        <f t="shared" si="2"/>
        <v>60963.849999999991</v>
      </c>
      <c r="I33" s="544">
        <f t="shared" si="3"/>
        <v>141.80101746827262</v>
      </c>
      <c r="J33" s="18"/>
      <c r="K33" s="22">
        <v>268</v>
      </c>
      <c r="Q33" s="548"/>
      <c r="R33" s="548"/>
      <c r="S33" s="548"/>
      <c r="T33" s="548"/>
      <c r="U33" s="548"/>
      <c r="V33" s="548"/>
      <c r="W33" s="548"/>
    </row>
    <row r="34" spans="1:23" ht="13" x14ac:dyDescent="0.25">
      <c r="A34" s="11" t="s">
        <v>889</v>
      </c>
      <c r="B34" s="23"/>
      <c r="C34" s="19">
        <v>93540</v>
      </c>
      <c r="D34" s="17">
        <f t="shared" si="0"/>
        <v>15093.848665955175</v>
      </c>
      <c r="E34" s="541">
        <f t="shared" si="1"/>
        <v>35.108069755183983</v>
      </c>
      <c r="F34" s="18"/>
      <c r="G34" s="19">
        <v>101130</v>
      </c>
      <c r="H34" s="17">
        <f t="shared" si="2"/>
        <v>16318.59007470651</v>
      </c>
      <c r="I34" s="541">
        <f t="shared" si="3"/>
        <v>37.95680023884708</v>
      </c>
      <c r="J34" s="18"/>
      <c r="K34" s="22">
        <v>2811</v>
      </c>
      <c r="Q34" s="548"/>
      <c r="R34" s="548"/>
      <c r="S34" s="548"/>
      <c r="T34" s="548"/>
      <c r="U34" s="548"/>
      <c r="V34" s="548"/>
      <c r="W34" s="548"/>
    </row>
    <row r="35" spans="1:23" ht="13" x14ac:dyDescent="0.25">
      <c r="A35" s="11" t="s">
        <v>890</v>
      </c>
      <c r="B35" s="16"/>
      <c r="C35" s="19">
        <v>96720</v>
      </c>
      <c r="D35" s="17">
        <f t="shared" si="0"/>
        <v>15612.535516014234</v>
      </c>
      <c r="E35" s="541">
        <f t="shared" si="1"/>
        <v>36.314527731276172</v>
      </c>
      <c r="F35" s="18"/>
      <c r="G35" s="19">
        <v>104530</v>
      </c>
      <c r="H35" s="17">
        <f t="shared" si="2"/>
        <v>16873.225160142349</v>
      </c>
      <c r="I35" s="541">
        <f t="shared" si="3"/>
        <v>39.246873281123854</v>
      </c>
      <c r="J35" s="18"/>
      <c r="K35" s="21">
        <v>2810</v>
      </c>
      <c r="Q35" s="548"/>
      <c r="R35" s="548"/>
      <c r="S35" s="548"/>
      <c r="T35" s="548"/>
      <c r="U35" s="548"/>
      <c r="V35" s="548"/>
      <c r="W35" s="548"/>
    </row>
    <row r="36" spans="1:23" ht="13" x14ac:dyDescent="0.25">
      <c r="A36" s="11" t="s">
        <v>891</v>
      </c>
      <c r="B36" s="16"/>
      <c r="C36" s="19">
        <v>100480</v>
      </c>
      <c r="D36" s="17">
        <f t="shared" si="0"/>
        <v>15645.974322004806</v>
      </c>
      <c r="E36" s="541">
        <f t="shared" si="1"/>
        <v>36.392305901657274</v>
      </c>
      <c r="F36" s="18"/>
      <c r="G36" s="19">
        <v>108570</v>
      </c>
      <c r="H36" s="17">
        <f t="shared" si="2"/>
        <v>16905.687023686918</v>
      </c>
      <c r="I36" s="541">
        <f t="shared" si="3"/>
        <v>39.322379097760042</v>
      </c>
      <c r="J36" s="18"/>
      <c r="K36" s="21">
        <v>2913</v>
      </c>
      <c r="Q36" s="548"/>
      <c r="R36" s="548"/>
      <c r="S36" s="548"/>
      <c r="T36" s="548"/>
      <c r="U36" s="548"/>
      <c r="V36" s="548"/>
      <c r="W36" s="548"/>
    </row>
    <row r="37" spans="1:23" ht="13" x14ac:dyDescent="0.25">
      <c r="A37" s="11" t="s">
        <v>892</v>
      </c>
      <c r="B37" s="16"/>
      <c r="C37" s="19">
        <v>94970</v>
      </c>
      <c r="D37" s="17">
        <f t="shared" si="0"/>
        <v>19465.631405332126</v>
      </c>
      <c r="E37" s="541">
        <f t="shared" si="1"/>
        <v>45.27677203684572</v>
      </c>
      <c r="F37" s="18"/>
      <c r="G37" s="19">
        <v>103220</v>
      </c>
      <c r="H37" s="17">
        <f t="shared" si="2"/>
        <v>21156.601807501127</v>
      </c>
      <c r="I37" s="541">
        <f t="shared" si="3"/>
        <v>49.209944294442614</v>
      </c>
      <c r="J37" s="18"/>
      <c r="K37" s="21">
        <v>2213</v>
      </c>
      <c r="Q37" s="548"/>
      <c r="R37" s="548"/>
      <c r="S37" s="548"/>
      <c r="T37" s="548"/>
      <c r="U37" s="548"/>
      <c r="V37" s="548"/>
      <c r="W37" s="548"/>
    </row>
    <row r="38" spans="1:23" ht="13" x14ac:dyDescent="0.25">
      <c r="A38" s="11" t="s">
        <v>893</v>
      </c>
      <c r="B38" s="16"/>
      <c r="C38" s="19">
        <v>90060</v>
      </c>
      <c r="D38" s="17">
        <f t="shared" si="0"/>
        <v>19287.212181303115</v>
      </c>
      <c r="E38" s="541">
        <f t="shared" si="1"/>
        <v>44.861771548798892</v>
      </c>
      <c r="F38" s="18"/>
      <c r="G38" s="19">
        <v>98560</v>
      </c>
      <c r="H38" s="17">
        <f t="shared" si="2"/>
        <v>21107.568649669498</v>
      </c>
      <c r="I38" s="541">
        <f t="shared" si="3"/>
        <v>49.095893891290459</v>
      </c>
      <c r="J38" s="18"/>
      <c r="K38" s="21">
        <v>2118</v>
      </c>
      <c r="Q38" s="548"/>
      <c r="R38" s="548"/>
      <c r="S38" s="548"/>
      <c r="T38" s="548"/>
      <c r="U38" s="548"/>
      <c r="V38" s="548"/>
      <c r="W38" s="548"/>
    </row>
    <row r="39" spans="1:23" ht="13" x14ac:dyDescent="0.25">
      <c r="A39" s="11" t="s">
        <v>894</v>
      </c>
      <c r="B39" s="16"/>
      <c r="C39" s="19">
        <v>95720</v>
      </c>
      <c r="D39" s="17">
        <f t="shared" si="0"/>
        <v>19271.031868619615</v>
      </c>
      <c r="E39" s="541">
        <f t="shared" si="1"/>
        <v>44.824136379735997</v>
      </c>
      <c r="F39" s="18"/>
      <c r="G39" s="19">
        <v>103010</v>
      </c>
      <c r="H39" s="17">
        <f t="shared" si="2"/>
        <v>20738.706569019083</v>
      </c>
      <c r="I39" s="541">
        <f t="shared" si="3"/>
        <v>48.237926122822877</v>
      </c>
      <c r="J39" s="18"/>
      <c r="K39" s="21">
        <v>2253</v>
      </c>
      <c r="Q39" s="548"/>
      <c r="R39" s="548"/>
      <c r="S39" s="548"/>
      <c r="T39" s="548"/>
      <c r="U39" s="548"/>
      <c r="V39" s="548"/>
      <c r="W39" s="548"/>
    </row>
    <row r="40" spans="1:23" ht="13" x14ac:dyDescent="0.25">
      <c r="A40" s="11" t="s">
        <v>313</v>
      </c>
      <c r="B40" s="16"/>
      <c r="C40" s="19">
        <v>84250</v>
      </c>
      <c r="D40" s="17">
        <f t="shared" si="0"/>
        <v>19903.623697916668</v>
      </c>
      <c r="E40" s="541">
        <f t="shared" si="1"/>
        <v>46.295535660398848</v>
      </c>
      <c r="F40" s="18"/>
      <c r="G40" s="19">
        <v>91420</v>
      </c>
      <c r="H40" s="17">
        <f t="shared" si="2"/>
        <v>21597.498854166668</v>
      </c>
      <c r="I40" s="541">
        <f t="shared" si="3"/>
        <v>50.235464333218552</v>
      </c>
      <c r="J40" s="18"/>
      <c r="K40" s="21">
        <v>1920</v>
      </c>
      <c r="Q40" s="548"/>
      <c r="R40" s="548"/>
      <c r="S40" s="548"/>
      <c r="T40" s="548"/>
      <c r="U40" s="548"/>
      <c r="V40" s="548"/>
      <c r="W40" s="548"/>
    </row>
    <row r="41" spans="1:23" ht="13" x14ac:dyDescent="0.25">
      <c r="A41" s="7" t="s">
        <v>314</v>
      </c>
      <c r="B41" s="8"/>
      <c r="C41" s="9" t="s">
        <v>315</v>
      </c>
      <c r="D41" s="9" t="s">
        <v>316</v>
      </c>
      <c r="E41" s="9" t="s">
        <v>307</v>
      </c>
      <c r="F41" s="9"/>
      <c r="G41" s="9" t="s">
        <v>315</v>
      </c>
      <c r="H41" s="9" t="s">
        <v>316</v>
      </c>
      <c r="I41" s="9" t="s">
        <v>307</v>
      </c>
      <c r="J41" s="9"/>
      <c r="K41" s="10"/>
      <c r="Q41" s="548"/>
      <c r="R41" s="548"/>
      <c r="S41" s="548"/>
      <c r="T41" s="548"/>
      <c r="U41" s="548"/>
      <c r="V41" s="548"/>
      <c r="W41" s="548"/>
    </row>
    <row r="42" spans="1:23" ht="13" x14ac:dyDescent="0.25">
      <c r="A42" s="15" t="s">
        <v>895</v>
      </c>
      <c r="B42" s="16"/>
      <c r="C42" s="24">
        <v>19546300</v>
      </c>
      <c r="D42" s="17">
        <f t="shared" ref="D42:D50" si="4">C42/2000</f>
        <v>9773.15</v>
      </c>
      <c r="E42" s="541">
        <f t="shared" ref="E42:E50" si="5">D42*1.05506/1000*2.2046</f>
        <v>22.7322030001394</v>
      </c>
      <c r="F42" s="18"/>
      <c r="G42" s="19">
        <v>20608570</v>
      </c>
      <c r="H42" s="17">
        <f>G42/2000</f>
        <v>10304.285</v>
      </c>
      <c r="I42" s="541">
        <f t="shared" ref="I42:I50" si="6">H42*1.05506/1000*2.2046</f>
        <v>23.967615189707661</v>
      </c>
      <c r="J42" s="18"/>
      <c r="K42" s="22"/>
      <c r="Q42" s="548"/>
      <c r="R42" s="548"/>
      <c r="S42" s="548"/>
      <c r="T42" s="548"/>
      <c r="U42" s="548"/>
      <c r="V42" s="548"/>
      <c r="W42" s="548"/>
    </row>
    <row r="43" spans="1:23" ht="13" x14ac:dyDescent="0.25">
      <c r="A43" s="15" t="s">
        <v>896</v>
      </c>
      <c r="B43" s="16"/>
      <c r="C43" s="24">
        <v>22460600</v>
      </c>
      <c r="D43" s="17">
        <f t="shared" si="4"/>
        <v>11230.3</v>
      </c>
      <c r="E43" s="541">
        <f t="shared" si="5"/>
        <v>26.121512445062798</v>
      </c>
      <c r="F43" s="18"/>
      <c r="G43" s="19">
        <v>23445900</v>
      </c>
      <c r="H43" s="17">
        <f t="shared" ref="H43:H50" si="7">G43/2000</f>
        <v>11722.95</v>
      </c>
      <c r="I43" s="541">
        <f t="shared" si="6"/>
        <v>27.267409091284208</v>
      </c>
      <c r="J43" s="18"/>
      <c r="K43" s="22"/>
      <c r="Q43" s="548"/>
      <c r="R43" s="548"/>
      <c r="S43" s="548"/>
      <c r="T43" s="548"/>
      <c r="U43" s="548"/>
      <c r="V43" s="548"/>
      <c r="W43" s="548"/>
    </row>
    <row r="44" spans="1:23" ht="13" x14ac:dyDescent="0.25">
      <c r="A44" s="11" t="s">
        <v>897</v>
      </c>
      <c r="B44" s="12"/>
      <c r="C44" s="24">
        <v>24600497.144575384</v>
      </c>
      <c r="D44" s="17">
        <f t="shared" si="4"/>
        <v>12300.248572287692</v>
      </c>
      <c r="E44" s="541">
        <f t="shared" si="5"/>
        <v>28.610197070281195</v>
      </c>
      <c r="F44" s="18"/>
      <c r="G44" s="19">
        <v>25679670</v>
      </c>
      <c r="H44" s="17">
        <f t="shared" si="7"/>
        <v>12839.834999999999</v>
      </c>
      <c r="I44" s="541">
        <f t="shared" si="6"/>
        <v>29.865267156269461</v>
      </c>
      <c r="J44" s="18"/>
      <c r="K44" s="22"/>
    </row>
    <row r="45" spans="1:23" ht="13" x14ac:dyDescent="0.25">
      <c r="A45" s="15" t="s">
        <v>898</v>
      </c>
      <c r="B45" s="16"/>
      <c r="C45" s="24">
        <v>16811000</v>
      </c>
      <c r="D45" s="17">
        <f t="shared" si="4"/>
        <v>8405.5</v>
      </c>
      <c r="E45" s="541">
        <f t="shared" si="5"/>
        <v>19.551069237418005</v>
      </c>
      <c r="F45" s="18"/>
      <c r="G45" s="19">
        <v>17703170</v>
      </c>
      <c r="H45" s="17">
        <f t="shared" si="7"/>
        <v>8851.5849999999991</v>
      </c>
      <c r="I45" s="541">
        <f t="shared" si="6"/>
        <v>20.588656379262464</v>
      </c>
      <c r="J45" s="18"/>
      <c r="K45" s="22"/>
    </row>
    <row r="46" spans="1:23" ht="13" x14ac:dyDescent="0.25">
      <c r="A46" s="15" t="s">
        <v>899</v>
      </c>
      <c r="B46" s="16"/>
      <c r="C46" s="24">
        <v>14797554.763920812</v>
      </c>
      <c r="D46" s="17">
        <f t="shared" si="4"/>
        <v>7398.7773819604063</v>
      </c>
      <c r="E46" s="541">
        <f t="shared" si="5"/>
        <v>17.209447250841734</v>
      </c>
      <c r="F46" s="18"/>
      <c r="G46" s="19">
        <v>15582870</v>
      </c>
      <c r="H46" s="17">
        <f t="shared" si="7"/>
        <v>7791.4350000000004</v>
      </c>
      <c r="I46" s="541">
        <f t="shared" si="6"/>
        <v>18.122763088911064</v>
      </c>
      <c r="J46" s="18"/>
      <c r="K46" s="22"/>
    </row>
    <row r="47" spans="1:23" ht="13" x14ac:dyDescent="0.25">
      <c r="A47" s="15" t="s">
        <v>900</v>
      </c>
      <c r="B47" s="16"/>
      <c r="C47" s="24">
        <v>14075990</v>
      </c>
      <c r="D47" s="17">
        <f t="shared" si="4"/>
        <v>7037.9949999999999</v>
      </c>
      <c r="E47" s="541">
        <f t="shared" si="5"/>
        <v>16.370272742561625</v>
      </c>
      <c r="F47" s="18"/>
      <c r="G47" s="19">
        <v>14974460</v>
      </c>
      <c r="H47" s="17">
        <f t="shared" si="7"/>
        <v>7487.23</v>
      </c>
      <c r="I47" s="541">
        <f t="shared" si="6"/>
        <v>17.415186738025483</v>
      </c>
      <c r="J47" s="18"/>
      <c r="K47" s="22"/>
    </row>
    <row r="48" spans="1:23" ht="13" x14ac:dyDescent="0.25">
      <c r="A48" s="15" t="s">
        <v>901</v>
      </c>
      <c r="B48" s="16"/>
      <c r="C48" s="24">
        <v>13243490</v>
      </c>
      <c r="D48" s="17">
        <f t="shared" si="4"/>
        <v>6621.7449999999999</v>
      </c>
      <c r="E48" s="541">
        <f t="shared" si="5"/>
        <v>15.40208137142662</v>
      </c>
      <c r="F48" s="18"/>
      <c r="G48" s="19">
        <v>14164160</v>
      </c>
      <c r="H48" s="17">
        <f t="shared" si="7"/>
        <v>7082.08</v>
      </c>
      <c r="I48" s="541">
        <f t="shared" si="6"/>
        <v>16.472813803454081</v>
      </c>
      <c r="J48" s="18"/>
      <c r="K48" s="22"/>
    </row>
    <row r="49" spans="1:11" ht="13" x14ac:dyDescent="0.25">
      <c r="A49" s="15" t="s">
        <v>970</v>
      </c>
      <c r="B49" s="16"/>
      <c r="C49" s="24">
        <v>12947318</v>
      </c>
      <c r="D49" s="17">
        <f t="shared" si="4"/>
        <v>6473.6589999999997</v>
      </c>
      <c r="E49" s="541">
        <f t="shared" si="5"/>
        <v>15.057635515844886</v>
      </c>
      <c r="F49" s="18"/>
      <c r="G49" s="19">
        <v>14062678</v>
      </c>
      <c r="H49" s="17">
        <f t="shared" si="7"/>
        <v>7031.3389999999999</v>
      </c>
      <c r="I49" s="541">
        <f t="shared" si="6"/>
        <v>16.354790984564566</v>
      </c>
      <c r="J49" s="18"/>
      <c r="K49" s="22"/>
    </row>
    <row r="50" spans="1:11" ht="13" x14ac:dyDescent="0.25">
      <c r="A50" s="15" t="s">
        <v>971</v>
      </c>
      <c r="B50" s="16"/>
      <c r="C50" s="24">
        <v>25370000</v>
      </c>
      <c r="D50" s="17">
        <f t="shared" si="4"/>
        <v>12685</v>
      </c>
      <c r="E50" s="541">
        <f t="shared" si="5"/>
        <v>29.505123226060004</v>
      </c>
      <c r="F50" s="18"/>
      <c r="G50" s="19">
        <v>26920000</v>
      </c>
      <c r="H50" s="17">
        <f t="shared" si="7"/>
        <v>13460</v>
      </c>
      <c r="I50" s="541">
        <f t="shared" si="6"/>
        <v>31.307761814960006</v>
      </c>
      <c r="J50" s="18"/>
      <c r="K50" s="22"/>
    </row>
    <row r="51" spans="1:11" ht="13" x14ac:dyDescent="0.25">
      <c r="A51" s="1732" t="s">
        <v>317</v>
      </c>
      <c r="B51" s="1733"/>
      <c r="C51" s="1733"/>
      <c r="D51" s="1733"/>
      <c r="E51" s="1733"/>
      <c r="F51" s="1733"/>
      <c r="G51" s="1733"/>
      <c r="H51" s="1733"/>
      <c r="I51" s="1733"/>
      <c r="J51" s="1733"/>
      <c r="K51" s="1734"/>
    </row>
    <row r="52" spans="1:11" x14ac:dyDescent="0.25">
      <c r="A52" s="1729" t="s">
        <v>902</v>
      </c>
      <c r="B52" s="1730"/>
      <c r="C52" s="1730"/>
      <c r="D52" s="1730"/>
      <c r="E52" s="1730"/>
      <c r="F52" s="1730"/>
      <c r="G52" s="1730"/>
      <c r="H52" s="1730"/>
      <c r="I52" s="1730"/>
      <c r="J52" s="1730"/>
      <c r="K52" s="1731"/>
    </row>
    <row r="53" spans="1:11" x14ac:dyDescent="0.25">
      <c r="A53" s="1718" t="s">
        <v>903</v>
      </c>
      <c r="B53" s="1719"/>
      <c r="C53" s="1719"/>
      <c r="D53" s="1719"/>
      <c r="E53" s="1719"/>
      <c r="F53" s="1719"/>
      <c r="G53" s="1719"/>
      <c r="H53" s="1719"/>
      <c r="I53" s="1719"/>
      <c r="J53" s="1719"/>
      <c r="K53" s="1720"/>
    </row>
    <row r="54" spans="1:11" x14ac:dyDescent="0.25">
      <c r="A54" s="1718" t="s">
        <v>904</v>
      </c>
      <c r="B54" s="1719"/>
      <c r="C54" s="1719"/>
      <c r="D54" s="1719"/>
      <c r="E54" s="1719"/>
      <c r="F54" s="1719"/>
      <c r="G54" s="1719"/>
      <c r="H54" s="1719"/>
      <c r="I54" s="1719"/>
      <c r="J54" s="1719"/>
      <c r="K54" s="1720"/>
    </row>
    <row r="55" spans="1:11" x14ac:dyDescent="0.25">
      <c r="A55" s="1718" t="s">
        <v>905</v>
      </c>
      <c r="B55" s="1719"/>
      <c r="C55" s="1719"/>
      <c r="D55" s="1719"/>
      <c r="E55" s="1719"/>
      <c r="F55" s="1719"/>
      <c r="G55" s="1719"/>
      <c r="H55" s="1719"/>
      <c r="I55" s="1719"/>
      <c r="J55" s="1719"/>
      <c r="K55" s="1720"/>
    </row>
    <row r="56" spans="1:11" x14ac:dyDescent="0.25">
      <c r="A56" s="1739" t="s">
        <v>318</v>
      </c>
      <c r="B56" s="1740"/>
      <c r="C56" s="1740"/>
      <c r="D56" s="1740"/>
      <c r="E56" s="1740"/>
      <c r="F56" s="1740"/>
      <c r="G56" s="1740"/>
      <c r="H56" s="1740"/>
      <c r="I56" s="1740"/>
      <c r="J56" s="1740"/>
      <c r="K56" s="1741"/>
    </row>
    <row r="57" spans="1:11" x14ac:dyDescent="0.25">
      <c r="A57" s="1718" t="s">
        <v>319</v>
      </c>
      <c r="B57" s="1719"/>
      <c r="C57" s="1719"/>
      <c r="D57" s="1719"/>
      <c r="E57" s="1719"/>
      <c r="F57" s="1719"/>
      <c r="G57" s="1719"/>
      <c r="H57" s="1719"/>
      <c r="I57" s="1719"/>
      <c r="J57" s="1719"/>
      <c r="K57" s="1720"/>
    </row>
    <row r="58" spans="1:11" x14ac:dyDescent="0.25">
      <c r="A58" s="1718" t="s">
        <v>906</v>
      </c>
      <c r="B58" s="1719"/>
      <c r="C58" s="1719"/>
      <c r="D58" s="1719"/>
      <c r="E58" s="1719"/>
      <c r="F58" s="1719"/>
      <c r="G58" s="1719"/>
      <c r="H58" s="1719"/>
      <c r="I58" s="1719"/>
      <c r="J58" s="1719"/>
      <c r="K58" s="1720"/>
    </row>
    <row r="59" spans="1:11" x14ac:dyDescent="0.25">
      <c r="A59" s="1718" t="s">
        <v>907</v>
      </c>
      <c r="B59" s="1719"/>
      <c r="C59" s="1719"/>
      <c r="D59" s="1719"/>
      <c r="E59" s="1719"/>
      <c r="F59" s="1719"/>
      <c r="G59" s="1719"/>
      <c r="H59" s="1719"/>
      <c r="I59" s="1719"/>
      <c r="J59" s="1719"/>
      <c r="K59" s="1720"/>
    </row>
    <row r="60" spans="1:11" x14ac:dyDescent="0.25">
      <c r="A60" s="25"/>
      <c r="B60" s="26"/>
      <c r="C60" s="26"/>
      <c r="D60" s="26"/>
      <c r="E60" s="26"/>
      <c r="F60" s="26"/>
      <c r="G60" s="26"/>
      <c r="H60" s="26"/>
      <c r="I60" s="26"/>
      <c r="J60" s="26"/>
      <c r="K60" s="27"/>
    </row>
    <row r="61" spans="1:11" x14ac:dyDescent="0.25">
      <c r="A61" s="1718" t="s">
        <v>320</v>
      </c>
      <c r="B61" s="1719"/>
      <c r="C61" s="1719"/>
      <c r="D61" s="1719"/>
      <c r="E61" s="1719"/>
      <c r="F61" s="1719"/>
      <c r="G61" s="1719"/>
      <c r="H61" s="1719"/>
      <c r="I61" s="1719"/>
      <c r="J61" s="1719"/>
      <c r="K61" s="1720"/>
    </row>
    <row r="62" spans="1:11" ht="13" thickBot="1" x14ac:dyDescent="0.3">
      <c r="A62" s="1724" t="s">
        <v>972</v>
      </c>
      <c r="B62" s="1725"/>
      <c r="C62" s="1725"/>
      <c r="D62" s="1725"/>
      <c r="E62" s="1725"/>
      <c r="F62" s="1725"/>
      <c r="G62" s="1725"/>
      <c r="H62" s="1725"/>
      <c r="I62" s="1725"/>
      <c r="J62" s="1725"/>
      <c r="K62" s="1726"/>
    </row>
    <row r="63" spans="1:11" x14ac:dyDescent="0.25">
      <c r="A63" s="536"/>
      <c r="B63" s="537"/>
      <c r="C63" s="537"/>
      <c r="D63" s="537"/>
      <c r="E63" s="537"/>
      <c r="F63" s="537"/>
      <c r="G63" s="537"/>
      <c r="H63" s="537"/>
      <c r="I63" s="537"/>
      <c r="J63" s="537"/>
      <c r="K63" s="537"/>
    </row>
    <row r="64" spans="1:11" x14ac:dyDescent="0.25">
      <c r="A64" s="536"/>
      <c r="B64" s="537"/>
      <c r="C64" s="537"/>
      <c r="D64" s="537"/>
      <c r="E64" s="537"/>
      <c r="F64" s="537"/>
      <c r="G64" s="537"/>
      <c r="H64" s="537"/>
      <c r="I64" s="537"/>
      <c r="J64" s="537"/>
      <c r="K64" s="537"/>
    </row>
    <row r="65" spans="1:14" x14ac:dyDescent="0.25">
      <c r="A65" s="536"/>
      <c r="B65" s="537"/>
      <c r="C65" s="537"/>
      <c r="D65" s="537"/>
      <c r="E65" s="537"/>
      <c r="F65" s="537"/>
      <c r="G65" s="537"/>
      <c r="H65" s="537"/>
      <c r="I65" s="537"/>
      <c r="J65" s="537"/>
      <c r="K65" s="537"/>
    </row>
    <row r="66" spans="1:14" x14ac:dyDescent="0.25">
      <c r="A66" s="536"/>
      <c r="B66" s="537"/>
      <c r="C66" s="537"/>
      <c r="D66" s="537"/>
      <c r="E66" s="537"/>
      <c r="F66" s="537"/>
      <c r="G66" s="537"/>
      <c r="H66" s="537"/>
      <c r="I66" s="537"/>
      <c r="J66" s="537"/>
      <c r="K66" s="537"/>
    </row>
    <row r="68" spans="1:14" ht="13" thickBot="1" x14ac:dyDescent="0.3"/>
    <row r="69" spans="1:14" ht="43.5" customHeight="1" thickTop="1" thickBot="1" x14ac:dyDescent="0.3">
      <c r="A69" s="370" t="s">
        <v>1082</v>
      </c>
      <c r="B69" s="371"/>
      <c r="C69" s="371"/>
      <c r="D69" s="371"/>
      <c r="E69" s="371"/>
      <c r="F69" s="371"/>
      <c r="G69" s="371"/>
      <c r="H69" s="371"/>
      <c r="I69" s="371"/>
      <c r="J69" s="371"/>
      <c r="K69" s="372"/>
      <c r="L69" s="372"/>
      <c r="M69" s="633"/>
      <c r="N69" s="634"/>
    </row>
    <row r="70" spans="1:14" ht="56.5" thickTop="1" x14ac:dyDescent="0.25">
      <c r="A70" s="635" t="s">
        <v>1089</v>
      </c>
      <c r="B70" s="636" t="s">
        <v>1030</v>
      </c>
      <c r="C70" s="637" t="s">
        <v>1039</v>
      </c>
      <c r="D70" s="637" t="s">
        <v>1040</v>
      </c>
      <c r="E70" s="636" t="s">
        <v>190</v>
      </c>
      <c r="F70" s="636" t="s">
        <v>1038</v>
      </c>
      <c r="G70" s="638" t="s">
        <v>1037</v>
      </c>
      <c r="H70" s="639" t="s">
        <v>267</v>
      </c>
      <c r="I70" s="636" t="s">
        <v>703</v>
      </c>
      <c r="J70" s="636" t="s">
        <v>1055</v>
      </c>
      <c r="K70" s="640" t="s">
        <v>702</v>
      </c>
      <c r="L70" s="640" t="s">
        <v>930</v>
      </c>
      <c r="M70" s="641" t="s">
        <v>533</v>
      </c>
      <c r="N70" s="642" t="s">
        <v>534</v>
      </c>
    </row>
    <row r="71" spans="1:14" ht="37.5" x14ac:dyDescent="0.25">
      <c r="A71" s="892" t="s">
        <v>1084</v>
      </c>
      <c r="B71" s="647" t="s">
        <v>864</v>
      </c>
      <c r="C71" s="893" t="s">
        <v>699</v>
      </c>
      <c r="D71" s="647">
        <v>2007</v>
      </c>
      <c r="E71" s="894" t="s">
        <v>700</v>
      </c>
      <c r="F71" s="648"/>
      <c r="G71" s="647"/>
      <c r="H71" s="894" t="s">
        <v>863</v>
      </c>
      <c r="I71" s="844">
        <f>mmBTU_to_GJ</f>
        <v>1.0549999999999999</v>
      </c>
      <c r="J71" s="643" t="s">
        <v>1057</v>
      </c>
      <c r="K71" s="644">
        <v>56.31533863997597</v>
      </c>
      <c r="L71" s="644" t="s">
        <v>931</v>
      </c>
      <c r="M71" s="645"/>
      <c r="N71" s="646"/>
    </row>
    <row r="72" spans="1:14" ht="37.5" x14ac:dyDescent="0.25">
      <c r="A72" s="892" t="s">
        <v>283</v>
      </c>
      <c r="B72" s="647" t="s">
        <v>864</v>
      </c>
      <c r="C72" s="893" t="s">
        <v>699</v>
      </c>
      <c r="D72" s="647">
        <v>2007</v>
      </c>
      <c r="E72" s="894" t="s">
        <v>700</v>
      </c>
      <c r="F72" s="648"/>
      <c r="G72" s="647"/>
      <c r="H72" s="894" t="s">
        <v>863</v>
      </c>
      <c r="I72" s="844">
        <f>mmBTU_to_GJ</f>
        <v>1.0549999999999999</v>
      </c>
      <c r="J72" s="643" t="s">
        <v>1057</v>
      </c>
      <c r="K72" s="644">
        <v>56.31533863997597</v>
      </c>
      <c r="L72" s="644" t="s">
        <v>931</v>
      </c>
      <c r="M72" s="645"/>
      <c r="N72" s="646"/>
    </row>
    <row r="73" spans="1:14" ht="37.5" x14ac:dyDescent="0.25">
      <c r="A73" s="892" t="s">
        <v>681</v>
      </c>
      <c r="B73" s="647" t="s">
        <v>864</v>
      </c>
      <c r="C73" s="893" t="s">
        <v>699</v>
      </c>
      <c r="D73" s="647">
        <v>2007</v>
      </c>
      <c r="E73" s="894" t="s">
        <v>700</v>
      </c>
      <c r="F73" s="648"/>
      <c r="G73" s="647"/>
      <c r="H73" s="894" t="s">
        <v>863</v>
      </c>
      <c r="I73" s="844">
        <f>mmBTU_to_GJ</f>
        <v>1.0549999999999999</v>
      </c>
      <c r="J73" s="643" t="s">
        <v>1057</v>
      </c>
      <c r="K73" s="644">
        <v>56.31533863997597</v>
      </c>
      <c r="L73" s="644" t="s">
        <v>931</v>
      </c>
      <c r="M73" s="645"/>
      <c r="N73" s="646"/>
    </row>
    <row r="74" spans="1:14" ht="37.5" x14ac:dyDescent="0.25">
      <c r="A74" s="892" t="s">
        <v>1085</v>
      </c>
      <c r="B74" s="647" t="s">
        <v>864</v>
      </c>
      <c r="C74" s="893" t="s">
        <v>699</v>
      </c>
      <c r="D74" s="647">
        <v>2007</v>
      </c>
      <c r="E74" s="894" t="s">
        <v>700</v>
      </c>
      <c r="F74" s="648"/>
      <c r="G74" s="647"/>
      <c r="H74" s="894" t="s">
        <v>863</v>
      </c>
      <c r="I74" s="844">
        <f>mmBTU_to_GJ</f>
        <v>1.0549999999999999</v>
      </c>
      <c r="J74" s="643" t="s">
        <v>1057</v>
      </c>
      <c r="K74" s="644">
        <v>56.31533863997597</v>
      </c>
      <c r="L74" s="644" t="s">
        <v>931</v>
      </c>
      <c r="M74" s="645"/>
      <c r="N74" s="646"/>
    </row>
    <row r="75" spans="1:14" ht="25" x14ac:dyDescent="0.25">
      <c r="A75" s="892" t="s">
        <v>682</v>
      </c>
      <c r="B75" s="647"/>
      <c r="C75" s="893" t="s">
        <v>699</v>
      </c>
      <c r="D75" s="647">
        <v>2007</v>
      </c>
      <c r="E75" s="894" t="s">
        <v>700</v>
      </c>
      <c r="F75" s="648"/>
      <c r="G75" s="647"/>
      <c r="H75" s="894" t="s">
        <v>863</v>
      </c>
      <c r="I75" s="844">
        <f>mmBTU_to_GJ</f>
        <v>1.0549999999999999</v>
      </c>
      <c r="J75" s="643" t="s">
        <v>1057</v>
      </c>
      <c r="K75" s="644">
        <v>56.31533863997597</v>
      </c>
      <c r="L75" s="644" t="s">
        <v>931</v>
      </c>
      <c r="M75" s="645"/>
      <c r="N75" s="646"/>
    </row>
    <row r="76" spans="1:14" ht="37.5" x14ac:dyDescent="0.25">
      <c r="A76" s="892" t="s">
        <v>683</v>
      </c>
      <c r="B76" s="647" t="s">
        <v>864</v>
      </c>
      <c r="C76" s="893" t="s">
        <v>699</v>
      </c>
      <c r="D76" s="647">
        <v>2007</v>
      </c>
      <c r="E76" s="894" t="s">
        <v>701</v>
      </c>
      <c r="F76" s="647"/>
      <c r="G76" s="647"/>
      <c r="H76" s="643" t="s">
        <v>296</v>
      </c>
      <c r="I76" s="844">
        <f>1/MJ_to_kWh/1000</f>
        <v>3.5999999999999995E-3</v>
      </c>
      <c r="J76" s="643" t="s">
        <v>1070</v>
      </c>
      <c r="K76" s="644">
        <v>0</v>
      </c>
      <c r="L76" s="644" t="s">
        <v>931</v>
      </c>
      <c r="M76" s="645"/>
      <c r="N76" s="646"/>
    </row>
    <row r="77" spans="1:14" ht="37.5" x14ac:dyDescent="0.25">
      <c r="A77" s="892" t="s">
        <v>698</v>
      </c>
      <c r="B77" s="647" t="s">
        <v>864</v>
      </c>
      <c r="C77" s="893" t="s">
        <v>699</v>
      </c>
      <c r="D77" s="647">
        <v>2007</v>
      </c>
      <c r="E77" s="894" t="s">
        <v>701</v>
      </c>
      <c r="F77" s="647"/>
      <c r="G77" s="647"/>
      <c r="H77" s="643" t="s">
        <v>296</v>
      </c>
      <c r="I77" s="844">
        <f>1/MJ_to_kWh/1000</f>
        <v>3.5999999999999995E-3</v>
      </c>
      <c r="J77" s="643" t="s">
        <v>1070</v>
      </c>
      <c r="K77" s="644">
        <v>0</v>
      </c>
      <c r="L77" s="644" t="s">
        <v>931</v>
      </c>
      <c r="M77" s="645"/>
      <c r="N77" s="646"/>
    </row>
    <row r="78" spans="1:14" ht="37.5" x14ac:dyDescent="0.25">
      <c r="A78" s="892" t="s">
        <v>684</v>
      </c>
      <c r="B78" s="647" t="s">
        <v>864</v>
      </c>
      <c r="C78" s="893" t="s">
        <v>699</v>
      </c>
      <c r="D78" s="647">
        <v>2007</v>
      </c>
      <c r="E78" s="894" t="s">
        <v>701</v>
      </c>
      <c r="F78" s="647"/>
      <c r="G78" s="647"/>
      <c r="H78" s="643" t="s">
        <v>296</v>
      </c>
      <c r="I78" s="844">
        <f>1/MJ_to_kWh/1000</f>
        <v>3.5999999999999995E-3</v>
      </c>
      <c r="J78" s="643" t="s">
        <v>1070</v>
      </c>
      <c r="K78" s="644">
        <v>0</v>
      </c>
      <c r="L78" s="644" t="s">
        <v>931</v>
      </c>
      <c r="M78" s="645"/>
      <c r="N78" s="646"/>
    </row>
    <row r="79" spans="1:14" ht="37.5" x14ac:dyDescent="0.25">
      <c r="A79" s="892" t="s">
        <v>1086</v>
      </c>
      <c r="B79" s="647" t="s">
        <v>864</v>
      </c>
      <c r="C79" s="893" t="s">
        <v>699</v>
      </c>
      <c r="D79" s="647">
        <v>2007</v>
      </c>
      <c r="E79" s="894" t="s">
        <v>700</v>
      </c>
      <c r="F79" s="648"/>
      <c r="G79" s="647"/>
      <c r="H79" s="643" t="s">
        <v>268</v>
      </c>
      <c r="I79" s="844">
        <f>$C$42/2000/lb_to_kg/1000000*mmBTU_to_GJ</f>
        <v>2.2735034516249999E-2</v>
      </c>
      <c r="J79" s="643" t="s">
        <v>1051</v>
      </c>
      <c r="K79" s="644">
        <v>102.75287348239476</v>
      </c>
      <c r="L79" s="644" t="s">
        <v>931</v>
      </c>
      <c r="M79" s="645"/>
      <c r="N79" s="646"/>
    </row>
    <row r="80" spans="1:14" ht="37.5" x14ac:dyDescent="0.25">
      <c r="A80" s="892" t="s">
        <v>716</v>
      </c>
      <c r="B80" s="647" t="s">
        <v>864</v>
      </c>
      <c r="C80" s="893" t="s">
        <v>699</v>
      </c>
      <c r="D80" s="647">
        <v>2007</v>
      </c>
      <c r="E80" s="894" t="s">
        <v>700</v>
      </c>
      <c r="F80" s="648"/>
      <c r="G80" s="647"/>
      <c r="H80" s="643" t="s">
        <v>268</v>
      </c>
      <c r="I80" s="844">
        <f>$C$42/2000/lb_to_kg/1000000*mmBTU_to_GJ</f>
        <v>2.2735034516249999E-2</v>
      </c>
      <c r="J80" s="643" t="s">
        <v>1051</v>
      </c>
      <c r="K80" s="644">
        <v>102.75287348239476</v>
      </c>
      <c r="L80" s="644" t="s">
        <v>931</v>
      </c>
      <c r="M80" s="645"/>
      <c r="N80" s="646"/>
    </row>
    <row r="81" spans="1:14" ht="37.5" x14ac:dyDescent="0.25">
      <c r="A81" s="892" t="s">
        <v>717</v>
      </c>
      <c r="B81" s="647" t="s">
        <v>864</v>
      </c>
      <c r="C81" s="893" t="s">
        <v>699</v>
      </c>
      <c r="D81" s="647">
        <v>2007</v>
      </c>
      <c r="E81" s="894" t="s">
        <v>700</v>
      </c>
      <c r="F81" s="648"/>
      <c r="G81" s="647"/>
      <c r="H81" s="643" t="s">
        <v>268</v>
      </c>
      <c r="I81" s="844">
        <f>$C$42/2000/lb_to_kg/1000000*mmBTU_to_GJ</f>
        <v>2.2735034516249999E-2</v>
      </c>
      <c r="J81" s="643" t="s">
        <v>1051</v>
      </c>
      <c r="K81" s="644">
        <v>102.75287348239476</v>
      </c>
      <c r="L81" s="644" t="s">
        <v>931</v>
      </c>
      <c r="M81" s="645"/>
      <c r="N81" s="646"/>
    </row>
    <row r="82" spans="1:14" ht="37.5" x14ac:dyDescent="0.25">
      <c r="A82" s="892" t="s">
        <v>911</v>
      </c>
      <c r="B82" s="647" t="s">
        <v>864</v>
      </c>
      <c r="C82" s="893" t="s">
        <v>699</v>
      </c>
      <c r="D82" s="647">
        <v>2007</v>
      </c>
      <c r="E82" s="894" t="s">
        <v>700</v>
      </c>
      <c r="F82" s="648"/>
      <c r="G82" s="647"/>
      <c r="H82" s="643" t="s">
        <v>269</v>
      </c>
      <c r="I82" s="844">
        <f>$C$14/gal_to_liters*mmBTU_to_GJ/1000000</f>
        <v>3.5803104359313075E-2</v>
      </c>
      <c r="J82" s="643" t="s">
        <v>1057</v>
      </c>
      <c r="K82" s="644">
        <v>74.122324937568308</v>
      </c>
      <c r="L82" s="644" t="s">
        <v>931</v>
      </c>
      <c r="M82" s="645"/>
      <c r="N82" s="646"/>
    </row>
    <row r="83" spans="1:14" ht="37.5" x14ac:dyDescent="0.25">
      <c r="A83" s="892" t="s">
        <v>909</v>
      </c>
      <c r="B83" s="647" t="s">
        <v>864</v>
      </c>
      <c r="C83" s="893" t="s">
        <v>699</v>
      </c>
      <c r="D83" s="647">
        <v>2007</v>
      </c>
      <c r="E83" s="894" t="s">
        <v>700</v>
      </c>
      <c r="F83" s="648"/>
      <c r="G83" s="647"/>
      <c r="H83" s="643" t="s">
        <v>269</v>
      </c>
      <c r="I83" s="844">
        <f>$Q$14/gal_to_liters*mmBTU_to_GJ/1000000</f>
        <v>2.4157130779392338E-2</v>
      </c>
      <c r="J83" s="643" t="s">
        <v>1051</v>
      </c>
      <c r="K83" s="644">
        <v>71.019041167591709</v>
      </c>
      <c r="L83" s="644" t="s">
        <v>931</v>
      </c>
      <c r="M83" s="645"/>
      <c r="N83" s="646"/>
    </row>
    <row r="84" spans="1:14" ht="37.5" x14ac:dyDescent="0.25">
      <c r="A84" s="892" t="s">
        <v>912</v>
      </c>
      <c r="B84" s="647" t="s">
        <v>864</v>
      </c>
      <c r="C84" s="893" t="s">
        <v>699</v>
      </c>
      <c r="D84" s="647">
        <v>2007</v>
      </c>
      <c r="E84" s="894" t="s">
        <v>700</v>
      </c>
      <c r="F84" s="648"/>
      <c r="G84" s="647"/>
      <c r="H84" s="643" t="s">
        <v>269</v>
      </c>
      <c r="I84" s="844">
        <f>$C$11/gal_to_liters*mmBTU_to_GJ/1000000</f>
        <v>3.2357978863936591E-2</v>
      </c>
      <c r="J84" s="643" t="s">
        <v>1051</v>
      </c>
      <c r="K84" s="644">
        <v>72.833307273582633</v>
      </c>
      <c r="L84" s="644" t="s">
        <v>931</v>
      </c>
      <c r="M84" s="645"/>
      <c r="N84" s="646"/>
    </row>
    <row r="85" spans="1:14" ht="275" x14ac:dyDescent="0.25">
      <c r="A85" s="892" t="s">
        <v>1080</v>
      </c>
      <c r="B85" s="843" t="s">
        <v>437</v>
      </c>
      <c r="C85" s="893" t="s">
        <v>699</v>
      </c>
      <c r="D85" s="647">
        <v>2007</v>
      </c>
      <c r="E85" s="894" t="s">
        <v>701</v>
      </c>
      <c r="F85" s="648"/>
      <c r="G85" s="647"/>
      <c r="H85" s="643" t="s">
        <v>268</v>
      </c>
      <c r="I85" s="844">
        <f>$E$45/1000</f>
        <v>1.9551069237418006E-2</v>
      </c>
      <c r="J85" s="643" t="s">
        <v>1051</v>
      </c>
      <c r="K85" s="644">
        <v>97.876597052612851</v>
      </c>
      <c r="L85" s="644" t="s">
        <v>931</v>
      </c>
      <c r="M85" s="645"/>
      <c r="N85" s="646"/>
    </row>
    <row r="86" spans="1:14" x14ac:dyDescent="0.25">
      <c r="A86" s="892" t="s">
        <v>815</v>
      </c>
      <c r="B86" s="843"/>
      <c r="C86" s="893"/>
      <c r="D86" s="647"/>
      <c r="E86" s="894" t="s">
        <v>701</v>
      </c>
      <c r="F86" s="648"/>
      <c r="G86" s="647"/>
      <c r="H86" s="643" t="s">
        <v>268</v>
      </c>
      <c r="I86" s="844">
        <f>$E$45/1000</f>
        <v>1.9551069237418006E-2</v>
      </c>
      <c r="J86" s="643" t="s">
        <v>1051</v>
      </c>
      <c r="K86" s="644">
        <v>97.876597052612851</v>
      </c>
      <c r="L86" s="644" t="s">
        <v>931</v>
      </c>
      <c r="M86" s="645"/>
      <c r="N86" s="646"/>
    </row>
    <row r="87" spans="1:14" ht="75" x14ac:dyDescent="0.25">
      <c r="A87" s="892" t="s">
        <v>824</v>
      </c>
      <c r="B87" s="992" t="s">
        <v>831</v>
      </c>
      <c r="C87" s="893"/>
      <c r="D87" s="647"/>
      <c r="E87" s="894" t="s">
        <v>701</v>
      </c>
      <c r="F87" s="648"/>
      <c r="G87" s="647"/>
      <c r="H87" s="643" t="s">
        <v>268</v>
      </c>
      <c r="I87" s="844">
        <f>18.608/1000</f>
        <v>1.8608E-2</v>
      </c>
      <c r="J87" s="643" t="s">
        <v>1051</v>
      </c>
      <c r="K87" s="644">
        <v>97.876597052612851</v>
      </c>
      <c r="L87" s="644" t="s">
        <v>931</v>
      </c>
      <c r="M87" s="645"/>
      <c r="N87" s="646"/>
    </row>
    <row r="88" spans="1:14" ht="75" x14ac:dyDescent="0.25">
      <c r="A88" s="892" t="s">
        <v>1087</v>
      </c>
      <c r="B88" s="647" t="s">
        <v>1088</v>
      </c>
      <c r="C88" s="893" t="s">
        <v>699</v>
      </c>
      <c r="D88" s="647">
        <v>2007</v>
      </c>
      <c r="E88" s="894" t="s">
        <v>701</v>
      </c>
      <c r="F88" s="648"/>
      <c r="G88" s="647"/>
      <c r="H88" s="643" t="s">
        <v>268</v>
      </c>
      <c r="I88" s="844">
        <v>2.8300000000000001E-3</v>
      </c>
      <c r="J88" s="643" t="s">
        <v>1070</v>
      </c>
      <c r="K88" s="644">
        <v>0</v>
      </c>
      <c r="L88" s="644" t="s">
        <v>931</v>
      </c>
      <c r="M88" s="645"/>
      <c r="N88" s="646"/>
    </row>
    <row r="90" spans="1:14" ht="13" thickBot="1" x14ac:dyDescent="0.3"/>
    <row r="91" spans="1:14" ht="33.75" customHeight="1" thickTop="1" x14ac:dyDescent="0.3">
      <c r="A91" s="1716" t="s">
        <v>991</v>
      </c>
      <c r="B91" s="1717"/>
      <c r="D91" s="1716" t="s">
        <v>685</v>
      </c>
      <c r="E91" s="1717"/>
      <c r="G91" s="1716" t="s">
        <v>686</v>
      </c>
      <c r="H91" s="1717"/>
      <c r="K91" s="1727" t="s">
        <v>688</v>
      </c>
      <c r="L91" s="1728"/>
    </row>
    <row r="92" spans="1:14" ht="41.25" customHeight="1" thickBot="1" x14ac:dyDescent="0.3">
      <c r="A92" s="1229" t="s">
        <v>1099</v>
      </c>
      <c r="B92" s="1043"/>
      <c r="D92" s="1714" t="s">
        <v>687</v>
      </c>
      <c r="E92" s="1715"/>
      <c r="G92" s="1229" t="s">
        <v>1100</v>
      </c>
      <c r="H92" s="1043"/>
      <c r="K92" s="1714" t="s">
        <v>689</v>
      </c>
      <c r="L92" s="1715"/>
      <c r="N92" s="1298"/>
    </row>
    <row r="93" spans="1:14" ht="14" x14ac:dyDescent="0.3">
      <c r="A93" s="30" t="s">
        <v>1083</v>
      </c>
      <c r="B93" s="31" t="s">
        <v>1091</v>
      </c>
      <c r="D93" s="30" t="s">
        <v>1083</v>
      </c>
      <c r="E93" s="31" t="s">
        <v>1091</v>
      </c>
      <c r="G93" s="30" t="s">
        <v>1083</v>
      </c>
      <c r="H93" s="31" t="s">
        <v>1091</v>
      </c>
      <c r="K93" s="30" t="s">
        <v>1083</v>
      </c>
      <c r="L93" s="31" t="s">
        <v>1091</v>
      </c>
    </row>
    <row r="94" spans="1:14" ht="28.5" customHeight="1" x14ac:dyDescent="0.25">
      <c r="A94" s="1040">
        <v>1992</v>
      </c>
      <c r="B94" s="1041">
        <v>70.563999999999993</v>
      </c>
      <c r="C94" s="864"/>
      <c r="D94" s="1232">
        <v>1992</v>
      </c>
      <c r="E94" s="1233">
        <v>358.2</v>
      </c>
      <c r="F94" s="1303"/>
      <c r="G94" s="1232">
        <v>1992</v>
      </c>
      <c r="H94" s="1235">
        <v>13.7</v>
      </c>
      <c r="K94" s="1232">
        <v>1980</v>
      </c>
      <c r="L94" s="1236">
        <v>55.195749555178075</v>
      </c>
    </row>
    <row r="95" spans="1:14" x14ac:dyDescent="0.25">
      <c r="A95" s="1040">
        <v>1993</v>
      </c>
      <c r="B95" s="1041">
        <v>72.244</v>
      </c>
      <c r="D95" s="1232">
        <v>1993</v>
      </c>
      <c r="E95" s="1233">
        <v>359.2</v>
      </c>
      <c r="F95" s="1303"/>
      <c r="G95" s="1232">
        <v>1993</v>
      </c>
      <c r="H95" s="1235">
        <v>13.97</v>
      </c>
      <c r="K95" s="1232">
        <v>1981</v>
      </c>
      <c r="L95" s="1236">
        <v>61.025412991342954</v>
      </c>
    </row>
    <row r="96" spans="1:14" x14ac:dyDescent="0.25">
      <c r="A96" s="1040">
        <v>1994</v>
      </c>
      <c r="B96" s="1041">
        <v>73.781000000000006</v>
      </c>
      <c r="D96" s="1232">
        <v>1994</v>
      </c>
      <c r="E96" s="1233">
        <v>368.1</v>
      </c>
      <c r="F96" s="1303"/>
      <c r="G96" s="1232">
        <v>1994</v>
      </c>
      <c r="H96" s="1235">
        <v>14.33</v>
      </c>
      <c r="K96" s="1232">
        <v>1982</v>
      </c>
      <c r="L96" s="1236">
        <v>62.017696129413558</v>
      </c>
    </row>
    <row r="97" spans="1:15" x14ac:dyDescent="0.25">
      <c r="A97" s="1040">
        <v>1995</v>
      </c>
      <c r="B97" s="1041">
        <v>75.320999999999998</v>
      </c>
      <c r="D97" s="1232">
        <v>1995</v>
      </c>
      <c r="E97" s="1233">
        <v>381.1</v>
      </c>
      <c r="F97" s="1303"/>
      <c r="G97" s="1232">
        <v>1995</v>
      </c>
      <c r="H97" s="1235">
        <v>14.86</v>
      </c>
      <c r="K97" s="1232">
        <v>1983</v>
      </c>
      <c r="L97" s="1236">
        <v>62.203749217801807</v>
      </c>
    </row>
    <row r="98" spans="1:15" x14ac:dyDescent="0.25">
      <c r="A98" s="1040">
        <v>1996</v>
      </c>
      <c r="B98" s="1041">
        <v>76.694999999999993</v>
      </c>
      <c r="D98" s="1232">
        <v>1996</v>
      </c>
      <c r="E98" s="1233">
        <v>381.7</v>
      </c>
      <c r="F98" s="1303"/>
      <c r="G98" s="1232">
        <v>1996</v>
      </c>
      <c r="H98" s="1235">
        <v>15.37</v>
      </c>
      <c r="K98" s="1232">
        <v>1984</v>
      </c>
      <c r="L98" s="1236">
        <v>63.81620931716656</v>
      </c>
    </row>
    <row r="99" spans="1:15" x14ac:dyDescent="0.25">
      <c r="A99" s="1040">
        <v>1997</v>
      </c>
      <c r="B99" s="1041">
        <v>78.009</v>
      </c>
      <c r="D99" s="1232">
        <v>1997</v>
      </c>
      <c r="E99" s="1233">
        <v>386.5</v>
      </c>
      <c r="F99" s="1303"/>
      <c r="G99" s="1232">
        <v>1997</v>
      </c>
      <c r="H99" s="1235">
        <v>15.78</v>
      </c>
      <c r="K99" s="1232">
        <v>1985</v>
      </c>
      <c r="L99" s="1236">
        <v>64.262922782386738</v>
      </c>
      <c r="M99" s="1300"/>
    </row>
    <row r="100" spans="1:15" x14ac:dyDescent="0.25">
      <c r="A100" s="1040">
        <v>1998</v>
      </c>
      <c r="B100" s="1041">
        <v>78.855000000000004</v>
      </c>
      <c r="D100" s="1232">
        <v>1998</v>
      </c>
      <c r="E100" s="1233">
        <v>389.5</v>
      </c>
      <c r="F100" s="1303"/>
      <c r="G100" s="1232">
        <v>1998</v>
      </c>
      <c r="H100" s="1235">
        <v>16.23</v>
      </c>
      <c r="K100" s="1232">
        <v>1986</v>
      </c>
      <c r="L100" s="1236">
        <v>64.135290363752389</v>
      </c>
      <c r="M100" s="1300"/>
      <c r="N100" s="1301"/>
      <c r="O100" s="1301"/>
    </row>
    <row r="101" spans="1:15" x14ac:dyDescent="0.25">
      <c r="A101" s="1040">
        <v>1999</v>
      </c>
      <c r="B101" s="1041">
        <v>80.061000000000007</v>
      </c>
      <c r="D101" s="1232">
        <v>1999</v>
      </c>
      <c r="E101" s="1233">
        <v>390.6</v>
      </c>
      <c r="F101" s="1303"/>
      <c r="G101" s="1232">
        <v>1999</v>
      </c>
      <c r="H101" s="1235">
        <v>16.399999999999999</v>
      </c>
      <c r="K101" s="1232">
        <v>1987</v>
      </c>
      <c r="L101" s="1236">
        <v>66.11359285258456</v>
      </c>
      <c r="M101" s="1300"/>
      <c r="N101" s="1301"/>
      <c r="O101" s="1301"/>
    </row>
    <row r="102" spans="1:15" x14ac:dyDescent="0.25">
      <c r="A102" s="1040">
        <v>2000</v>
      </c>
      <c r="B102" s="1041">
        <v>81.882999999999996</v>
      </c>
      <c r="D102" s="1232">
        <v>2000</v>
      </c>
      <c r="E102" s="1233">
        <v>394.1</v>
      </c>
      <c r="F102" s="1303"/>
      <c r="G102" s="1232">
        <v>2000</v>
      </c>
      <c r="H102" s="1235">
        <v>17.09</v>
      </c>
      <c r="K102" s="1232">
        <v>1988</v>
      </c>
      <c r="L102" s="1236">
        <v>72.112316528398225</v>
      </c>
      <c r="M102" s="1300"/>
      <c r="N102" s="1301"/>
      <c r="O102" s="1301"/>
    </row>
    <row r="103" spans="1:15" x14ac:dyDescent="0.25">
      <c r="A103" s="1040">
        <v>2001</v>
      </c>
      <c r="B103" s="1041">
        <v>83.753</v>
      </c>
      <c r="D103" s="1232">
        <v>2001</v>
      </c>
      <c r="E103" s="1233">
        <v>394.3</v>
      </c>
      <c r="F103" s="1303"/>
      <c r="G103" s="1232">
        <v>2001</v>
      </c>
      <c r="H103" s="1235">
        <v>17.57</v>
      </c>
      <c r="K103" s="1232">
        <v>1989</v>
      </c>
      <c r="L103" s="1236">
        <v>76.324186343331206</v>
      </c>
      <c r="M103" s="1300"/>
      <c r="N103" s="1301"/>
      <c r="O103" s="1301"/>
    </row>
    <row r="104" spans="1:15" x14ac:dyDescent="0.25">
      <c r="A104" s="1040">
        <v>2002</v>
      </c>
      <c r="B104" s="1041">
        <v>85.037999999999997</v>
      </c>
      <c r="D104" s="1232">
        <v>2002</v>
      </c>
      <c r="E104" s="1233">
        <v>395.6</v>
      </c>
      <c r="F104" s="1303"/>
      <c r="G104" s="1232">
        <v>2002</v>
      </c>
      <c r="H104" s="1235">
        <v>17.97</v>
      </c>
      <c r="K104" s="1232">
        <v>1990</v>
      </c>
      <c r="L104" s="1236">
        <v>77.217613273771548</v>
      </c>
      <c r="M104" s="1300"/>
      <c r="N104" s="1301"/>
      <c r="O104" s="1301"/>
    </row>
    <row r="105" spans="1:15" x14ac:dyDescent="0.25">
      <c r="A105" s="1040">
        <v>2003</v>
      </c>
      <c r="B105" s="1041">
        <v>86.728999999999999</v>
      </c>
      <c r="D105" s="1232">
        <v>2003</v>
      </c>
      <c r="E105" s="1233">
        <v>402</v>
      </c>
      <c r="F105" s="1303"/>
      <c r="G105" s="1232">
        <v>2003</v>
      </c>
      <c r="H105" s="1235">
        <v>18.5</v>
      </c>
      <c r="K105" s="1232">
        <v>1991</v>
      </c>
      <c r="L105" s="1236">
        <v>79.38736439055522</v>
      </c>
      <c r="M105" s="1300"/>
      <c r="N105" s="1301"/>
      <c r="O105" s="1301"/>
    </row>
    <row r="106" spans="1:15" x14ac:dyDescent="0.25">
      <c r="A106" s="1040">
        <v>2004</v>
      </c>
      <c r="B106" s="1041">
        <v>89.114000000000004</v>
      </c>
      <c r="D106" s="1232">
        <v>2004</v>
      </c>
      <c r="E106" s="1233">
        <v>444.2</v>
      </c>
      <c r="F106" s="1303"/>
      <c r="G106" s="1232">
        <v>2004</v>
      </c>
      <c r="H106" s="1235">
        <v>19.170000000000002</v>
      </c>
      <c r="K106" s="1232">
        <v>1992</v>
      </c>
      <c r="L106" s="1237">
        <v>80.280791320995533</v>
      </c>
      <c r="M106" s="1300"/>
      <c r="N106" s="1301"/>
      <c r="O106" s="1301"/>
    </row>
    <row r="107" spans="1:15" ht="13" x14ac:dyDescent="0.3">
      <c r="A107" s="1040">
        <v>2005</v>
      </c>
      <c r="B107" s="1041">
        <v>91.980999999999995</v>
      </c>
      <c r="D107" s="1232">
        <v>2005</v>
      </c>
      <c r="E107" s="1233">
        <v>468.2</v>
      </c>
      <c r="F107" s="1303"/>
      <c r="G107" s="1232">
        <v>2005</v>
      </c>
      <c r="H107" s="1393">
        <v>19.670000000000002</v>
      </c>
      <c r="K107" s="1232">
        <v>1993</v>
      </c>
      <c r="L107" s="1237">
        <v>81.174218251435875</v>
      </c>
      <c r="M107" s="1300"/>
      <c r="N107" s="1301"/>
      <c r="O107" s="1301"/>
    </row>
    <row r="108" spans="1:15" x14ac:dyDescent="0.25">
      <c r="A108" s="1040">
        <v>2006</v>
      </c>
      <c r="B108" s="1041">
        <v>94.811999999999998</v>
      </c>
      <c r="D108" s="1232">
        <v>2006</v>
      </c>
      <c r="E108" s="1233">
        <v>499.6</v>
      </c>
      <c r="F108" s="1303"/>
      <c r="G108" s="1232">
        <v>2006</v>
      </c>
      <c r="H108" s="1235">
        <v>19.600000000000001</v>
      </c>
      <c r="K108" s="1232">
        <v>1994</v>
      </c>
      <c r="L108" s="1237">
        <v>82.961072112316543</v>
      </c>
      <c r="M108" s="1300"/>
      <c r="N108" s="1301"/>
      <c r="O108" s="1301"/>
    </row>
    <row r="109" spans="1:15" x14ac:dyDescent="0.25">
      <c r="A109" s="1040">
        <v>2007</v>
      </c>
      <c r="B109" s="1041">
        <v>97.334000000000003</v>
      </c>
      <c r="D109" s="1232">
        <v>2007</v>
      </c>
      <c r="E109" s="1233">
        <v>525.4</v>
      </c>
      <c r="F109" s="1332"/>
      <c r="G109" s="1232">
        <v>2007</v>
      </c>
      <c r="H109" s="1235">
        <v>19.55</v>
      </c>
      <c r="K109" s="1232">
        <v>1995</v>
      </c>
      <c r="L109" s="1237">
        <v>91.512444160816855</v>
      </c>
      <c r="M109" s="1300"/>
      <c r="N109" s="1301"/>
      <c r="O109" s="1301"/>
    </row>
    <row r="110" spans="1:15" x14ac:dyDescent="0.25">
      <c r="A110" s="1040">
        <v>2008</v>
      </c>
      <c r="B110" s="1041">
        <v>99.25</v>
      </c>
      <c r="D110" s="1232">
        <v>2008</v>
      </c>
      <c r="E110" s="1233">
        <v>575.4</v>
      </c>
      <c r="F110" s="1303"/>
      <c r="G110" s="1232">
        <v>2008</v>
      </c>
      <c r="H110" s="1235">
        <v>19.5</v>
      </c>
      <c r="K110" s="1232">
        <v>1996</v>
      </c>
      <c r="L110" s="1237">
        <v>93.044033184428855</v>
      </c>
      <c r="M110" s="1300"/>
      <c r="N110" s="1301"/>
      <c r="O110" s="1301"/>
    </row>
    <row r="111" spans="1:15" ht="14.5" x14ac:dyDescent="0.35">
      <c r="A111" s="1040">
        <v>2009</v>
      </c>
      <c r="B111" s="1230">
        <v>100</v>
      </c>
      <c r="D111" s="863">
        <v>2009</v>
      </c>
      <c r="E111" s="1233">
        <v>521.9</v>
      </c>
      <c r="F111" s="1303"/>
      <c r="G111" s="863">
        <v>2009</v>
      </c>
      <c r="H111" s="1044">
        <v>20.3</v>
      </c>
      <c r="K111" s="1232">
        <v>1997</v>
      </c>
      <c r="L111" s="1237">
        <v>93.873643905552015</v>
      </c>
      <c r="M111" s="1300"/>
      <c r="N111" s="1301"/>
      <c r="O111" s="1301"/>
    </row>
    <row r="112" spans="1:15" ht="14.5" x14ac:dyDescent="0.35">
      <c r="A112" s="1040">
        <v>2010</v>
      </c>
      <c r="B112" s="1230">
        <v>101.217</v>
      </c>
      <c r="D112" s="863">
        <v>2010</v>
      </c>
      <c r="E112" s="1233">
        <v>550.79999999999995</v>
      </c>
      <c r="F112" s="1303"/>
      <c r="G112" s="863">
        <v>2010</v>
      </c>
      <c r="H112" s="1044">
        <v>21.07</v>
      </c>
      <c r="K112" s="1232">
        <v>1998</v>
      </c>
      <c r="L112" s="1237">
        <v>94.894703254626677</v>
      </c>
      <c r="M112" s="1300"/>
      <c r="N112" s="1301"/>
      <c r="O112" s="1301"/>
    </row>
    <row r="113" spans="1:15" ht="14.5" x14ac:dyDescent="0.35">
      <c r="A113" s="1040">
        <v>2011</v>
      </c>
      <c r="B113" s="1230">
        <v>103.307</v>
      </c>
      <c r="D113" s="863">
        <v>2011</v>
      </c>
      <c r="E113" s="1233">
        <v>585.70000000000005</v>
      </c>
      <c r="F113" s="1303"/>
      <c r="G113" s="863">
        <v>2011</v>
      </c>
      <c r="H113" s="1044">
        <v>21.45</v>
      </c>
      <c r="K113" s="1232">
        <v>1999</v>
      </c>
      <c r="L113" s="1237">
        <v>95.532865347798349</v>
      </c>
      <c r="M113" s="1300"/>
      <c r="N113" s="1301"/>
      <c r="O113" s="1301"/>
    </row>
    <row r="114" spans="1:15" ht="14.5" x14ac:dyDescent="0.35">
      <c r="A114" s="1040">
        <v>2012</v>
      </c>
      <c r="B114" s="1230">
        <v>105.21299999999999</v>
      </c>
      <c r="D114" s="863">
        <v>2012</v>
      </c>
      <c r="E114" s="1233">
        <v>584.6</v>
      </c>
      <c r="F114" s="1303"/>
      <c r="G114" s="863">
        <v>2012</v>
      </c>
      <c r="H114" s="1044">
        <v>21.45</v>
      </c>
      <c r="K114" s="1232">
        <v>2000</v>
      </c>
      <c r="L114" s="1237">
        <v>100</v>
      </c>
      <c r="M114" s="1300"/>
      <c r="N114" s="1301"/>
      <c r="O114" s="1301"/>
    </row>
    <row r="115" spans="1:15" ht="14.5" x14ac:dyDescent="0.35">
      <c r="A115" s="1040">
        <v>2013</v>
      </c>
      <c r="B115" s="1230">
        <v>106.91</v>
      </c>
      <c r="D115" s="863">
        <v>2013</v>
      </c>
      <c r="E115" s="1233">
        <v>567.29999999999995</v>
      </c>
      <c r="F115" s="1303"/>
      <c r="G115" s="863">
        <v>2013</v>
      </c>
      <c r="H115" s="1044">
        <v>21.4</v>
      </c>
      <c r="K115" s="1232">
        <v>2001</v>
      </c>
      <c r="L115" s="1237">
        <v>101.08487555839186</v>
      </c>
      <c r="M115" s="1300"/>
      <c r="N115" s="1301"/>
      <c r="O115" s="1301"/>
    </row>
    <row r="116" spans="1:15" ht="14.5" x14ac:dyDescent="0.35">
      <c r="A116" s="1040">
        <v>2014</v>
      </c>
      <c r="B116" s="1230">
        <v>108.827</v>
      </c>
      <c r="D116" s="863">
        <v>2014</v>
      </c>
      <c r="E116" s="1233">
        <v>576.1</v>
      </c>
      <c r="F116" s="1303"/>
      <c r="G116" s="863">
        <v>2014</v>
      </c>
      <c r="H116" s="1044">
        <v>21.488333333333333</v>
      </c>
      <c r="K116" s="1232">
        <v>2002</v>
      </c>
      <c r="L116" s="1237">
        <v>100.38289725590302</v>
      </c>
      <c r="M116" s="1300"/>
      <c r="N116" s="1301"/>
      <c r="O116" s="1301"/>
    </row>
    <row r="117" spans="1:15" ht="14.5" x14ac:dyDescent="0.35">
      <c r="A117" s="1040">
        <v>2015</v>
      </c>
      <c r="B117" s="1230">
        <v>110.01</v>
      </c>
      <c r="D117" s="863">
        <v>2015</v>
      </c>
      <c r="E117" s="1233">
        <v>556.79999999999995</v>
      </c>
      <c r="F117" s="1303"/>
      <c r="G117" s="863">
        <v>2015</v>
      </c>
      <c r="H117" s="1044">
        <v>21.754999999999999</v>
      </c>
      <c r="K117" s="1232">
        <v>2003</v>
      </c>
      <c r="L117" s="1237">
        <v>105.04148053605616</v>
      </c>
      <c r="M117" s="1300"/>
      <c r="N117" s="1301"/>
      <c r="O117" s="1301"/>
    </row>
    <row r="118" spans="1:15" ht="15" thickBot="1" x14ac:dyDescent="0.4">
      <c r="A118" s="1040">
        <v>2016</v>
      </c>
      <c r="B118" s="1230">
        <v>111.41200000000001</v>
      </c>
      <c r="D118" s="865">
        <v>2016</v>
      </c>
      <c r="E118" s="1234">
        <v>541.70000000000005</v>
      </c>
      <c r="F118" s="1303"/>
      <c r="G118" s="865">
        <v>2016</v>
      </c>
      <c r="H118" s="1045">
        <v>22.714999999999993</v>
      </c>
      <c r="K118" s="1232">
        <v>2004</v>
      </c>
      <c r="L118" s="1237">
        <v>110.27440970006384</v>
      </c>
      <c r="M118" s="1300"/>
      <c r="N118" s="1301"/>
      <c r="O118" s="1301"/>
    </row>
    <row r="119" spans="1:15" ht="13.5" thickTop="1" thickBot="1" x14ac:dyDescent="0.3">
      <c r="A119" s="1042">
        <v>2017</v>
      </c>
      <c r="B119" s="1231">
        <v>112.854</v>
      </c>
      <c r="G119" s="305" t="s">
        <v>1101</v>
      </c>
      <c r="H119" s="305"/>
      <c r="K119" s="1232">
        <v>2005</v>
      </c>
      <c r="L119" s="1237">
        <v>119.52776005105299</v>
      </c>
      <c r="M119" s="1300"/>
      <c r="N119" s="1301"/>
      <c r="O119" s="1301"/>
    </row>
    <row r="120" spans="1:15" ht="13" thickTop="1" x14ac:dyDescent="0.25">
      <c r="K120" s="1232">
        <v>2006</v>
      </c>
      <c r="L120" s="1237">
        <v>125.5902999361838</v>
      </c>
      <c r="M120" s="1300"/>
      <c r="N120" s="1301"/>
      <c r="O120" s="1301"/>
    </row>
    <row r="121" spans="1:15" x14ac:dyDescent="0.25">
      <c r="K121" s="1232">
        <v>2007</v>
      </c>
      <c r="L121" s="1237">
        <v>129.73835354179963</v>
      </c>
      <c r="M121" s="1300"/>
      <c r="N121" s="1301"/>
      <c r="O121" s="1301"/>
    </row>
    <row r="122" spans="1:15" x14ac:dyDescent="0.25">
      <c r="K122" s="1232">
        <v>2008</v>
      </c>
      <c r="L122" s="1237">
        <v>145.6285896617741</v>
      </c>
      <c r="M122" s="1300"/>
      <c r="N122" s="1301"/>
      <c r="O122" s="1301"/>
    </row>
    <row r="123" spans="1:15" x14ac:dyDescent="0.25">
      <c r="K123" s="1232">
        <v>2009</v>
      </c>
      <c r="L123" s="1238">
        <v>143.39502233567327</v>
      </c>
      <c r="M123" s="1300"/>
      <c r="N123" s="1301"/>
      <c r="O123" s="1301"/>
    </row>
    <row r="124" spans="1:15" x14ac:dyDescent="0.25">
      <c r="K124" s="1232">
        <v>2010</v>
      </c>
      <c r="L124" s="1238">
        <v>149.13848117421827</v>
      </c>
      <c r="M124" s="1300"/>
      <c r="N124" s="1301"/>
      <c r="O124" s="1301"/>
    </row>
    <row r="125" spans="1:15" x14ac:dyDescent="0.25">
      <c r="K125" s="1232">
        <v>2011</v>
      </c>
      <c r="L125" s="1238">
        <v>160.8806636885769</v>
      </c>
      <c r="M125" s="1300"/>
      <c r="N125" s="1301"/>
      <c r="O125" s="1301"/>
    </row>
    <row r="126" spans="1:15" x14ac:dyDescent="0.25">
      <c r="K126" s="1232">
        <v>2012</v>
      </c>
      <c r="L126" s="1238">
        <v>166.11359285258459</v>
      </c>
      <c r="M126" s="1300"/>
      <c r="N126" s="1301"/>
      <c r="O126" s="1301"/>
    </row>
    <row r="127" spans="1:15" x14ac:dyDescent="0.25">
      <c r="K127" s="1232">
        <v>2013</v>
      </c>
      <c r="L127" s="1238">
        <v>168.41097638800255</v>
      </c>
      <c r="M127" s="1300"/>
      <c r="N127" s="1301"/>
      <c r="O127" s="1301"/>
    </row>
    <row r="128" spans="1:15" x14ac:dyDescent="0.25">
      <c r="K128" s="1232">
        <v>2014</v>
      </c>
      <c r="L128" s="1238">
        <v>171.79323548181239</v>
      </c>
      <c r="N128" s="1301"/>
      <c r="O128" s="1301"/>
    </row>
    <row r="129" spans="1:15" x14ac:dyDescent="0.25">
      <c r="K129" s="1232">
        <v>2015</v>
      </c>
      <c r="L129" s="1238">
        <v>168.98532227185709</v>
      </c>
      <c r="N129" s="1301"/>
      <c r="O129" s="1301"/>
    </row>
    <row r="130" spans="1:15" ht="13" thickBot="1" x14ac:dyDescent="0.3">
      <c r="K130" s="1239">
        <v>2016</v>
      </c>
      <c r="L130" s="1240">
        <v>170.4530950861519</v>
      </c>
      <c r="M130" s="1300"/>
      <c r="N130" s="1301"/>
      <c r="O130" s="1301"/>
    </row>
    <row r="131" spans="1:15" ht="13" thickTop="1" x14ac:dyDescent="0.25">
      <c r="K131" s="305" t="s">
        <v>1203</v>
      </c>
    </row>
    <row r="132" spans="1:15" ht="13" thickBot="1" x14ac:dyDescent="0.3">
      <c r="K132" s="305" t="s">
        <v>1230</v>
      </c>
    </row>
    <row r="133" spans="1:15" ht="28.5" thickBot="1" x14ac:dyDescent="0.35">
      <c r="A133" s="1436" t="s">
        <v>1102</v>
      </c>
      <c r="B133" s="1437"/>
      <c r="C133" s="1437"/>
      <c r="D133" s="1437"/>
      <c r="E133" s="1437"/>
      <c r="F133" s="1437"/>
      <c r="G133" s="1437"/>
      <c r="H133" s="1437"/>
      <c r="I133" s="1438"/>
    </row>
    <row r="134" spans="1:15" ht="52" x14ac:dyDescent="0.3">
      <c r="A134" s="1420"/>
      <c r="B134" s="605"/>
      <c r="C134" s="1721" t="s">
        <v>124</v>
      </c>
      <c r="D134" s="1721"/>
      <c r="E134" s="1721"/>
      <c r="F134" s="1722" t="s">
        <v>125</v>
      </c>
      <c r="G134" s="1721"/>
      <c r="H134" s="1723"/>
      <c r="I134" s="1421" t="s">
        <v>126</v>
      </c>
    </row>
    <row r="135" spans="1:15" ht="30" customHeight="1" thickBot="1" x14ac:dyDescent="0.35">
      <c r="A135" s="580" t="s">
        <v>127</v>
      </c>
      <c r="B135" s="606" t="s">
        <v>128</v>
      </c>
      <c r="C135" s="607" t="s">
        <v>129</v>
      </c>
      <c r="D135" s="607" t="s">
        <v>398</v>
      </c>
      <c r="E135" s="607" t="s">
        <v>399</v>
      </c>
      <c r="F135" s="580" t="s">
        <v>403</v>
      </c>
      <c r="G135" s="581" t="s">
        <v>404</v>
      </c>
      <c r="H135" s="582" t="s">
        <v>405</v>
      </c>
      <c r="I135" s="1422" t="s">
        <v>130</v>
      </c>
    </row>
    <row r="136" spans="1:15" x14ac:dyDescent="0.25">
      <c r="A136" s="1423" t="s">
        <v>1084</v>
      </c>
      <c r="B136" s="608" t="s">
        <v>131</v>
      </c>
      <c r="C136" s="845">
        <f t="shared" ref="C136:I145" si="8">+AVERAGEIFS(D$165:D$524,$B$165:$B$524,$A136,$C$165:$C$524,"&gt;="&amp;startup_year,$C$165:$C$524,"&lt;="&amp;(startup_year+anal_period))</f>
        <v>1092333.3333333333</v>
      </c>
      <c r="D136" s="846">
        <f t="shared" si="8"/>
        <v>1092000</v>
      </c>
      <c r="E136" s="847">
        <f t="shared" si="8"/>
        <v>3983.1111111111113</v>
      </c>
      <c r="F136" s="848">
        <f t="shared" si="8"/>
        <v>5.7637</v>
      </c>
      <c r="G136" s="848">
        <f t="shared" si="8"/>
        <v>0.18463255555555558</v>
      </c>
      <c r="H136" s="848">
        <f t="shared" si="8"/>
        <v>8.6144444444444441E-4</v>
      </c>
      <c r="I136" s="1424">
        <f t="shared" si="8"/>
        <v>11.590077777777779</v>
      </c>
    </row>
    <row r="137" spans="1:15" ht="16.5" customHeight="1" x14ac:dyDescent="0.25">
      <c r="A137" s="1425" t="s">
        <v>283</v>
      </c>
      <c r="B137" s="609" t="s">
        <v>131</v>
      </c>
      <c r="C137" s="849">
        <f t="shared" si="8"/>
        <v>1092333.3333333333</v>
      </c>
      <c r="D137" s="850">
        <f t="shared" si="8"/>
        <v>1092000</v>
      </c>
      <c r="E137" s="851">
        <f t="shared" si="8"/>
        <v>3983.1111111111113</v>
      </c>
      <c r="F137" s="852">
        <f t="shared" si="8"/>
        <v>5.7637</v>
      </c>
      <c r="G137" s="852">
        <f t="shared" si="8"/>
        <v>0.18463255555555558</v>
      </c>
      <c r="H137" s="852">
        <f t="shared" si="8"/>
        <v>8.6144444444444441E-4</v>
      </c>
      <c r="I137" s="1426">
        <f t="shared" si="8"/>
        <v>11.590077777777779</v>
      </c>
    </row>
    <row r="138" spans="1:15" x14ac:dyDescent="0.25">
      <c r="A138" s="1427" t="s">
        <v>1085</v>
      </c>
      <c r="B138" s="1415" t="s">
        <v>131</v>
      </c>
      <c r="C138" s="1416">
        <f t="shared" si="8"/>
        <v>1092333.3333333333</v>
      </c>
      <c r="D138" s="1417">
        <f t="shared" si="8"/>
        <v>1092000</v>
      </c>
      <c r="E138" s="1418">
        <f t="shared" si="8"/>
        <v>3983.1111111111113</v>
      </c>
      <c r="F138" s="1419">
        <f t="shared" si="8"/>
        <v>5.7637</v>
      </c>
      <c r="G138" s="1419">
        <f t="shared" si="8"/>
        <v>0.18463255555555558</v>
      </c>
      <c r="H138" s="1419">
        <f t="shared" si="8"/>
        <v>8.6144444444444441E-4</v>
      </c>
      <c r="I138" s="1428">
        <f t="shared" si="8"/>
        <v>11.590077777777779</v>
      </c>
    </row>
    <row r="139" spans="1:15" x14ac:dyDescent="0.25">
      <c r="A139" s="1425" t="s">
        <v>681</v>
      </c>
      <c r="B139" s="610" t="s">
        <v>131</v>
      </c>
      <c r="C139" s="850">
        <f t="shared" si="8"/>
        <v>1092333.3333333333</v>
      </c>
      <c r="D139" s="850">
        <f t="shared" si="8"/>
        <v>1092000</v>
      </c>
      <c r="E139" s="850">
        <f t="shared" si="8"/>
        <v>3983.1111111111113</v>
      </c>
      <c r="F139" s="853">
        <f t="shared" si="8"/>
        <v>5.7637</v>
      </c>
      <c r="G139" s="852">
        <f t="shared" si="8"/>
        <v>0.18463255555555558</v>
      </c>
      <c r="H139" s="854">
        <f t="shared" si="8"/>
        <v>8.6144444444444441E-4</v>
      </c>
      <c r="I139" s="1426">
        <f t="shared" si="8"/>
        <v>11.590077777777779</v>
      </c>
    </row>
    <row r="140" spans="1:15" x14ac:dyDescent="0.25">
      <c r="A140" s="1425" t="s">
        <v>682</v>
      </c>
      <c r="B140" s="610" t="s">
        <v>1294</v>
      </c>
      <c r="C140" s="850">
        <f t="shared" si="8"/>
        <v>-1186000</v>
      </c>
      <c r="D140" s="850">
        <f t="shared" si="8"/>
        <v>0</v>
      </c>
      <c r="E140" s="850">
        <f t="shared" si="8"/>
        <v>0</v>
      </c>
      <c r="F140" s="853">
        <f t="shared" si="8"/>
        <v>-85.798888888888868</v>
      </c>
      <c r="G140" s="852">
        <f t="shared" si="8"/>
        <v>0.54695555555555553</v>
      </c>
      <c r="H140" s="854">
        <f t="shared" si="8"/>
        <v>-1.8301999999999997E-3</v>
      </c>
      <c r="I140" s="1426">
        <f t="shared" si="8"/>
        <v>-70.082222222222228</v>
      </c>
    </row>
    <row r="141" spans="1:15" x14ac:dyDescent="0.25">
      <c r="A141" s="1425" t="s">
        <v>683</v>
      </c>
      <c r="B141" s="610" t="s">
        <v>132</v>
      </c>
      <c r="C141" s="850">
        <f t="shared" si="8"/>
        <v>1787000</v>
      </c>
      <c r="D141" s="850">
        <f t="shared" si="8"/>
        <v>1370111.111111111</v>
      </c>
      <c r="E141" s="850">
        <f t="shared" si="8"/>
        <v>21116.666666666668</v>
      </c>
      <c r="F141" s="853">
        <f t="shared" si="8"/>
        <v>140.12111111111111</v>
      </c>
      <c r="G141" s="852">
        <f t="shared" si="8"/>
        <v>0.2125671111111111</v>
      </c>
      <c r="H141" s="854">
        <f t="shared" si="8"/>
        <v>2.0498222222222226E-3</v>
      </c>
      <c r="I141" s="1426">
        <f t="shared" si="8"/>
        <v>145.54777777777775</v>
      </c>
    </row>
    <row r="142" spans="1:15" x14ac:dyDescent="0.25">
      <c r="A142" s="1425" t="s">
        <v>698</v>
      </c>
      <c r="B142" s="610" t="s">
        <v>132</v>
      </c>
      <c r="C142" s="850">
        <f t="shared" si="8"/>
        <v>1787000</v>
      </c>
      <c r="D142" s="850">
        <f t="shared" si="8"/>
        <v>1370111.111111111</v>
      </c>
      <c r="E142" s="850">
        <f t="shared" si="8"/>
        <v>21116.666666666668</v>
      </c>
      <c r="F142" s="853">
        <f t="shared" si="8"/>
        <v>140.12111111111111</v>
      </c>
      <c r="G142" s="852">
        <f t="shared" si="8"/>
        <v>0.2125671111111111</v>
      </c>
      <c r="H142" s="854">
        <f t="shared" si="8"/>
        <v>2.0498222222222226E-3</v>
      </c>
      <c r="I142" s="1426">
        <f t="shared" si="8"/>
        <v>145.54777777777775</v>
      </c>
    </row>
    <row r="143" spans="1:15" x14ac:dyDescent="0.25">
      <c r="A143" s="1425" t="s">
        <v>684</v>
      </c>
      <c r="B143" s="610" t="s">
        <v>132</v>
      </c>
      <c r="C143" s="850">
        <f t="shared" si="8"/>
        <v>1787000</v>
      </c>
      <c r="D143" s="850">
        <f t="shared" si="8"/>
        <v>1370111.111111111</v>
      </c>
      <c r="E143" s="850">
        <f t="shared" si="8"/>
        <v>21116.666666666668</v>
      </c>
      <c r="F143" s="853">
        <f t="shared" si="8"/>
        <v>140.12111111111111</v>
      </c>
      <c r="G143" s="852">
        <f t="shared" si="8"/>
        <v>0.2125671111111111</v>
      </c>
      <c r="H143" s="854">
        <f t="shared" si="8"/>
        <v>2.0498222222222226E-3</v>
      </c>
      <c r="I143" s="1426">
        <f t="shared" si="8"/>
        <v>145.54777777777775</v>
      </c>
    </row>
    <row r="144" spans="1:15" x14ac:dyDescent="0.25">
      <c r="A144" s="1425" t="s">
        <v>1086</v>
      </c>
      <c r="B144" s="610" t="s">
        <v>133</v>
      </c>
      <c r="C144" s="850">
        <f t="shared" si="8"/>
        <v>1022000</v>
      </c>
      <c r="D144" s="850">
        <f t="shared" si="8"/>
        <v>1021000</v>
      </c>
      <c r="E144" s="850">
        <f t="shared" si="8"/>
        <v>15525.555555555555</v>
      </c>
      <c r="F144" s="853">
        <f t="shared" si="8"/>
        <v>1.7266111111111111</v>
      </c>
      <c r="G144" s="852">
        <f t="shared" si="8"/>
        <v>0.1409730933333333</v>
      </c>
      <c r="H144" s="854">
        <f t="shared" si="8"/>
        <v>3.3298666666666667E-5</v>
      </c>
      <c r="I144" s="1426">
        <f t="shared" si="8"/>
        <v>5.9858888888888888</v>
      </c>
    </row>
    <row r="145" spans="1:9" x14ac:dyDescent="0.25">
      <c r="A145" s="1425" t="s">
        <v>716</v>
      </c>
      <c r="B145" s="610" t="s">
        <v>133</v>
      </c>
      <c r="C145" s="850">
        <f t="shared" si="8"/>
        <v>1022000</v>
      </c>
      <c r="D145" s="850">
        <f t="shared" si="8"/>
        <v>1021000</v>
      </c>
      <c r="E145" s="850">
        <f t="shared" si="8"/>
        <v>15525.555555555555</v>
      </c>
      <c r="F145" s="853">
        <f t="shared" si="8"/>
        <v>1.7266111111111111</v>
      </c>
      <c r="G145" s="852">
        <f t="shared" si="8"/>
        <v>0.1409730933333333</v>
      </c>
      <c r="H145" s="854">
        <f t="shared" si="8"/>
        <v>3.3298666666666667E-5</v>
      </c>
      <c r="I145" s="1426">
        <f t="shared" si="8"/>
        <v>5.9858888888888888</v>
      </c>
    </row>
    <row r="146" spans="1:9" x14ac:dyDescent="0.25">
      <c r="A146" s="1425" t="s">
        <v>717</v>
      </c>
      <c r="B146" s="610" t="s">
        <v>133</v>
      </c>
      <c r="C146" s="850">
        <f t="shared" ref="C146:I153" si="9">+AVERAGEIFS(D$165:D$524,$B$165:$B$524,$A146,$C$165:$C$524,"&gt;="&amp;startup_year,$C$165:$C$524,"&lt;="&amp;(startup_year+anal_period))</f>
        <v>1022000</v>
      </c>
      <c r="D146" s="850">
        <f t="shared" si="9"/>
        <v>1021000</v>
      </c>
      <c r="E146" s="850">
        <f t="shared" si="9"/>
        <v>15525.555555555555</v>
      </c>
      <c r="F146" s="853">
        <f t="shared" si="9"/>
        <v>1.7266111111111111</v>
      </c>
      <c r="G146" s="852">
        <f t="shared" si="9"/>
        <v>0.1409730933333333</v>
      </c>
      <c r="H146" s="854">
        <f t="shared" si="9"/>
        <v>3.3298666666666667E-5</v>
      </c>
      <c r="I146" s="1426">
        <f t="shared" si="9"/>
        <v>5.9858888888888888</v>
      </c>
    </row>
    <row r="147" spans="1:9" x14ac:dyDescent="0.25">
      <c r="A147" s="1425" t="s">
        <v>911</v>
      </c>
      <c r="B147" s="610" t="s">
        <v>134</v>
      </c>
      <c r="C147" s="850">
        <f t="shared" si="9"/>
        <v>1209444.4444444445</v>
      </c>
      <c r="D147" s="850">
        <f t="shared" si="9"/>
        <v>1202666.6666666667</v>
      </c>
      <c r="E147" s="850">
        <f t="shared" si="9"/>
        <v>1052111.111111111</v>
      </c>
      <c r="F147" s="853">
        <f t="shared" si="9"/>
        <v>18.180666666666667</v>
      </c>
      <c r="G147" s="852">
        <f t="shared" si="9"/>
        <v>0.16397644444444445</v>
      </c>
      <c r="H147" s="854">
        <f t="shared" si="9"/>
        <v>2.936588888888889E-4</v>
      </c>
      <c r="I147" s="1426">
        <f t="shared" si="9"/>
        <v>23.206555555555557</v>
      </c>
    </row>
    <row r="148" spans="1:9" x14ac:dyDescent="0.25">
      <c r="A148" s="1425" t="s">
        <v>909</v>
      </c>
      <c r="B148" s="610" t="s">
        <v>1103</v>
      </c>
      <c r="C148" s="850">
        <f t="shared" si="9"/>
        <v>1592777.7777777778</v>
      </c>
      <c r="D148" s="850">
        <f t="shared" si="9"/>
        <v>700588.88888888888</v>
      </c>
      <c r="E148" s="850">
        <f t="shared" si="9"/>
        <v>286633.33333333331</v>
      </c>
      <c r="F148" s="853">
        <f t="shared" si="9"/>
        <v>38.703111111111113</v>
      </c>
      <c r="G148" s="852">
        <f t="shared" si="9"/>
        <v>0.1123</v>
      </c>
      <c r="H148" s="854">
        <f t="shared" si="9"/>
        <v>2.5603333333333339E-2</v>
      </c>
      <c r="I148" s="1426">
        <f t="shared" si="9"/>
        <v>45.774444444444448</v>
      </c>
    </row>
    <row r="149" spans="1:9" x14ac:dyDescent="0.25">
      <c r="A149" s="1425" t="s">
        <v>912</v>
      </c>
      <c r="B149" s="610" t="s">
        <v>134</v>
      </c>
      <c r="C149" s="850">
        <f t="shared" si="9"/>
        <v>1250222.2222222222</v>
      </c>
      <c r="D149" s="850">
        <f t="shared" si="9"/>
        <v>1242777.7777777778</v>
      </c>
      <c r="E149" s="850">
        <f t="shared" si="9"/>
        <v>1078333.3333333333</v>
      </c>
      <c r="F149" s="853">
        <f t="shared" si="9"/>
        <v>24.072999999999997</v>
      </c>
      <c r="G149" s="852">
        <f t="shared" si="9"/>
        <v>0.16967222222222225</v>
      </c>
      <c r="H149" s="854">
        <f t="shared" si="9"/>
        <v>3.8183666666666668E-4</v>
      </c>
      <c r="I149" s="1426">
        <f t="shared" si="9"/>
        <v>29.393666666666668</v>
      </c>
    </row>
    <row r="150" spans="1:9" x14ac:dyDescent="0.25">
      <c r="A150" s="1425" t="s">
        <v>1080</v>
      </c>
      <c r="B150" s="610" t="s">
        <v>1295</v>
      </c>
      <c r="C150" s="850">
        <f t="shared" si="9"/>
        <v>1190111.111111111</v>
      </c>
      <c r="D150" s="850">
        <f t="shared" si="9"/>
        <v>51895.555555555555</v>
      </c>
      <c r="E150" s="850">
        <f t="shared" si="9"/>
        <v>29306.666666666668</v>
      </c>
      <c r="F150" s="853">
        <f t="shared" si="9"/>
        <v>3.8090555555555556</v>
      </c>
      <c r="G150" s="852">
        <f t="shared" si="9"/>
        <v>8.4619555555555549E-3</v>
      </c>
      <c r="H150" s="854">
        <f t="shared" si="9"/>
        <v>-3.8254046666666669E-3</v>
      </c>
      <c r="I150" s="1426">
        <f t="shared" si="9"/>
        <v>3.0600888888888895</v>
      </c>
    </row>
    <row r="151" spans="1:9" x14ac:dyDescent="0.25">
      <c r="A151" s="1425" t="s">
        <v>815</v>
      </c>
      <c r="B151" s="610" t="s">
        <v>1295</v>
      </c>
      <c r="C151" s="850">
        <f t="shared" si="9"/>
        <v>1190111.111111111</v>
      </c>
      <c r="D151" s="850">
        <f t="shared" si="9"/>
        <v>51895.555555555555</v>
      </c>
      <c r="E151" s="850">
        <f t="shared" si="9"/>
        <v>29306.666666666668</v>
      </c>
      <c r="F151" s="853">
        <f t="shared" si="9"/>
        <v>3.8090555555555556</v>
      </c>
      <c r="G151" s="852">
        <f t="shared" si="9"/>
        <v>8.4619555555555549E-3</v>
      </c>
      <c r="H151" s="854">
        <f t="shared" si="9"/>
        <v>-3.8254046666666669E-3</v>
      </c>
      <c r="I151" s="1426">
        <f t="shared" si="9"/>
        <v>3.0600888888888895</v>
      </c>
    </row>
    <row r="152" spans="1:9" x14ac:dyDescent="0.25">
      <c r="A152" s="1425" t="s">
        <v>824</v>
      </c>
      <c r="B152" s="610" t="s">
        <v>1295</v>
      </c>
      <c r="C152" s="850">
        <f t="shared" si="9"/>
        <v>1190111.111111111</v>
      </c>
      <c r="D152" s="850">
        <f t="shared" si="9"/>
        <v>51895.555555555555</v>
      </c>
      <c r="E152" s="850">
        <f t="shared" si="9"/>
        <v>29306.666666666668</v>
      </c>
      <c r="F152" s="853">
        <f t="shared" si="9"/>
        <v>3.8090555555555556</v>
      </c>
      <c r="G152" s="852">
        <f t="shared" si="9"/>
        <v>8.4619555555555549E-3</v>
      </c>
      <c r="H152" s="854">
        <f t="shared" si="9"/>
        <v>-3.8254046666666669E-3</v>
      </c>
      <c r="I152" s="1426">
        <f t="shared" si="9"/>
        <v>3.0600888888888895</v>
      </c>
    </row>
    <row r="153" spans="1:9" ht="13" thickBot="1" x14ac:dyDescent="0.3">
      <c r="A153" s="1429" t="s">
        <v>1087</v>
      </c>
      <c r="B153" s="1430" t="s">
        <v>1296</v>
      </c>
      <c r="C153" s="1431">
        <f t="shared" si="9"/>
        <v>1384111.111111111</v>
      </c>
      <c r="D153" s="1431">
        <f t="shared" si="9"/>
        <v>1383222.2222222222</v>
      </c>
      <c r="E153" s="1431">
        <f t="shared" si="9"/>
        <v>5049.1111111111113</v>
      </c>
      <c r="F153" s="1432">
        <f t="shared" si="9"/>
        <v>78.603844444444448</v>
      </c>
      <c r="G153" s="1433">
        <f t="shared" si="9"/>
        <v>0.27492888888888889</v>
      </c>
      <c r="H153" s="1434">
        <f t="shared" si="9"/>
        <v>2.3310333333333333E-3</v>
      </c>
      <c r="I153" s="1435">
        <f t="shared" si="9"/>
        <v>87.627188888888881</v>
      </c>
    </row>
    <row r="162" spans="2:10" ht="13" thickBot="1" x14ac:dyDescent="0.3">
      <c r="B162" s="305" t="s">
        <v>1293</v>
      </c>
    </row>
    <row r="163" spans="2:10" ht="37.5" x14ac:dyDescent="0.25">
      <c r="D163" s="1397" t="s">
        <v>124</v>
      </c>
      <c r="E163" s="1398"/>
      <c r="F163" s="1399"/>
      <c r="G163" s="1397" t="s">
        <v>125</v>
      </c>
      <c r="H163" s="1398"/>
      <c r="I163" s="1398"/>
      <c r="J163" s="1399" t="s">
        <v>126</v>
      </c>
    </row>
    <row r="164" spans="2:10" ht="13.5" thickBot="1" x14ac:dyDescent="0.35">
      <c r="B164" s="1" t="s">
        <v>248</v>
      </c>
      <c r="C164" s="1" t="s">
        <v>1083</v>
      </c>
      <c r="D164" s="1400" t="s">
        <v>129</v>
      </c>
      <c r="E164" s="1401" t="s">
        <v>398</v>
      </c>
      <c r="F164" s="1402" t="s">
        <v>399</v>
      </c>
      <c r="G164" s="1400" t="s">
        <v>403</v>
      </c>
      <c r="H164" s="1401" t="s">
        <v>404</v>
      </c>
      <c r="I164" s="1401" t="s">
        <v>405</v>
      </c>
      <c r="J164" s="1402" t="s">
        <v>130</v>
      </c>
    </row>
    <row r="165" spans="2:10" x14ac:dyDescent="0.25">
      <c r="B165" s="1403" t="s">
        <v>1084</v>
      </c>
      <c r="C165" s="1404">
        <v>2005</v>
      </c>
      <c r="D165" s="1403">
        <v>1094000</v>
      </c>
      <c r="E165" s="1405">
        <v>1094000</v>
      </c>
      <c r="F165" s="1406">
        <v>4252</v>
      </c>
      <c r="G165" s="1403">
        <v>5.9984999999999999</v>
      </c>
      <c r="H165" s="1405">
        <v>0.18232600000000002</v>
      </c>
      <c r="I165" s="1405">
        <v>8.8801999999999994E-5</v>
      </c>
      <c r="J165" s="1406">
        <v>11.536999999999999</v>
      </c>
    </row>
    <row r="166" spans="2:10" x14ac:dyDescent="0.25">
      <c r="B166" s="1407" t="s">
        <v>283</v>
      </c>
      <c r="C166" s="1408">
        <v>2005</v>
      </c>
      <c r="D166" s="1407">
        <v>1094000</v>
      </c>
      <c r="E166" s="1409">
        <v>1094000</v>
      </c>
      <c r="F166" s="1410">
        <v>4252</v>
      </c>
      <c r="G166" s="1407">
        <v>5.9984999999999999</v>
      </c>
      <c r="H166" s="1409">
        <v>0.18232600000000002</v>
      </c>
      <c r="I166" s="1409">
        <v>8.8801999999999994E-5</v>
      </c>
      <c r="J166" s="1410">
        <v>11.536999999999999</v>
      </c>
    </row>
    <row r="167" spans="2:10" x14ac:dyDescent="0.25">
      <c r="B167" s="1407" t="s">
        <v>1085</v>
      </c>
      <c r="C167" s="1408">
        <v>2005</v>
      </c>
      <c r="D167" s="1407">
        <v>1094000</v>
      </c>
      <c r="E167" s="1409">
        <v>1094000</v>
      </c>
      <c r="F167" s="1410">
        <v>4252</v>
      </c>
      <c r="G167" s="1407">
        <v>5.9984999999999999</v>
      </c>
      <c r="H167" s="1409">
        <v>0.18232600000000002</v>
      </c>
      <c r="I167" s="1409">
        <v>8.8801999999999994E-5</v>
      </c>
      <c r="J167" s="1410">
        <v>11.536999999999999</v>
      </c>
    </row>
    <row r="168" spans="2:10" x14ac:dyDescent="0.25">
      <c r="B168" s="1407" t="s">
        <v>681</v>
      </c>
      <c r="C168" s="1408">
        <v>2005</v>
      </c>
      <c r="D168" s="1407">
        <v>1094000</v>
      </c>
      <c r="E168" s="1409">
        <v>1094000</v>
      </c>
      <c r="F168" s="1410">
        <v>4252</v>
      </c>
      <c r="G168" s="1407">
        <v>5.9984999999999999</v>
      </c>
      <c r="H168" s="1409">
        <v>0.18232600000000002</v>
      </c>
      <c r="I168" s="1409">
        <v>8.8801999999999994E-5</v>
      </c>
      <c r="J168" s="1410">
        <v>11.536999999999999</v>
      </c>
    </row>
    <row r="169" spans="2:10" x14ac:dyDescent="0.25">
      <c r="B169" s="1407" t="s">
        <v>682</v>
      </c>
      <c r="C169" s="1408">
        <v>2005</v>
      </c>
      <c r="D169" s="1407">
        <v>-1208000</v>
      </c>
      <c r="E169" s="1409">
        <v>0</v>
      </c>
      <c r="F169" s="1410">
        <v>0</v>
      </c>
      <c r="G169" s="1407">
        <v>-85.789999999999992</v>
      </c>
      <c r="H169" s="1409">
        <v>0.54689999999999994</v>
      </c>
      <c r="I169" s="1409">
        <v>-1.4884E-3</v>
      </c>
      <c r="J169" s="1410">
        <v>-70</v>
      </c>
    </row>
    <row r="170" spans="2:10" x14ac:dyDescent="0.25">
      <c r="B170" s="1407" t="s">
        <v>683</v>
      </c>
      <c r="C170" s="1408">
        <v>2005</v>
      </c>
      <c r="D170" s="1407">
        <v>2475000</v>
      </c>
      <c r="E170" s="1409">
        <v>2129000</v>
      </c>
      <c r="F170" s="1410">
        <v>124000</v>
      </c>
      <c r="G170" s="1407">
        <v>251.83</v>
      </c>
      <c r="H170" s="1409">
        <v>0.31369799999999998</v>
      </c>
      <c r="I170" s="1409">
        <v>3.6604999999999997E-3</v>
      </c>
      <c r="J170" s="1410">
        <v>255.85999999999999</v>
      </c>
    </row>
    <row r="171" spans="2:10" x14ac:dyDescent="0.25">
      <c r="B171" s="1407" t="s">
        <v>698</v>
      </c>
      <c r="C171" s="1408">
        <v>2005</v>
      </c>
      <c r="D171" s="1407">
        <v>2475000</v>
      </c>
      <c r="E171" s="1409">
        <v>2129000</v>
      </c>
      <c r="F171" s="1410">
        <v>124000</v>
      </c>
      <c r="G171" s="1407">
        <v>251.83</v>
      </c>
      <c r="H171" s="1409">
        <v>0.31369799999999998</v>
      </c>
      <c r="I171" s="1409">
        <v>3.6604999999999997E-3</v>
      </c>
      <c r="J171" s="1410">
        <v>255.85999999999999</v>
      </c>
    </row>
    <row r="172" spans="2:10" x14ac:dyDescent="0.25">
      <c r="B172" s="1407" t="s">
        <v>684</v>
      </c>
      <c r="C172" s="1408">
        <v>2005</v>
      </c>
      <c r="D172" s="1407">
        <v>2475000</v>
      </c>
      <c r="E172" s="1409">
        <v>2129000</v>
      </c>
      <c r="F172" s="1410">
        <v>124000</v>
      </c>
      <c r="G172" s="1407">
        <v>251.83</v>
      </c>
      <c r="H172" s="1409">
        <v>0.31369799999999998</v>
      </c>
      <c r="I172" s="1409">
        <v>3.6604999999999997E-3</v>
      </c>
      <c r="J172" s="1410">
        <v>255.85999999999999</v>
      </c>
    </row>
    <row r="173" spans="2:10" x14ac:dyDescent="0.25">
      <c r="B173" s="1407" t="s">
        <v>1086</v>
      </c>
      <c r="C173" s="1408">
        <v>2005</v>
      </c>
      <c r="D173" s="1407">
        <v>1023000</v>
      </c>
      <c r="E173" s="1409">
        <v>1022000</v>
      </c>
      <c r="F173" s="1410">
        <v>15840</v>
      </c>
      <c r="G173" s="1407">
        <v>1.9352</v>
      </c>
      <c r="H173" s="1409">
        <v>0.14136591000000001</v>
      </c>
      <c r="I173" s="1409">
        <v>3.6392E-5</v>
      </c>
      <c r="J173" s="1410">
        <v>6.2023000000000001</v>
      </c>
    </row>
    <row r="174" spans="2:10" x14ac:dyDescent="0.25">
      <c r="B174" s="1407" t="s">
        <v>716</v>
      </c>
      <c r="C174" s="1408">
        <v>2005</v>
      </c>
      <c r="D174" s="1407">
        <v>1023000</v>
      </c>
      <c r="E174" s="1409">
        <v>1022000</v>
      </c>
      <c r="F174" s="1410">
        <v>15840</v>
      </c>
      <c r="G174" s="1407">
        <v>1.9352</v>
      </c>
      <c r="H174" s="1409">
        <v>0.14136591000000001</v>
      </c>
      <c r="I174" s="1409">
        <v>3.6392E-5</v>
      </c>
      <c r="J174" s="1410">
        <v>6.2023000000000001</v>
      </c>
    </row>
    <row r="175" spans="2:10" x14ac:dyDescent="0.25">
      <c r="B175" s="1407" t="s">
        <v>717</v>
      </c>
      <c r="C175" s="1408">
        <v>2005</v>
      </c>
      <c r="D175" s="1407">
        <v>1023000</v>
      </c>
      <c r="E175" s="1409">
        <v>1022000</v>
      </c>
      <c r="F175" s="1410">
        <v>15840</v>
      </c>
      <c r="G175" s="1407">
        <v>1.9352</v>
      </c>
      <c r="H175" s="1409">
        <v>0.14136591000000001</v>
      </c>
      <c r="I175" s="1409">
        <v>3.6392E-5</v>
      </c>
      <c r="J175" s="1410">
        <v>6.2023000000000001</v>
      </c>
    </row>
    <row r="176" spans="2:10" x14ac:dyDescent="0.25">
      <c r="B176" s="1407" t="s">
        <v>911</v>
      </c>
      <c r="C176" s="1408">
        <v>2005</v>
      </c>
      <c r="D176" s="1407">
        <v>1205000</v>
      </c>
      <c r="E176" s="1409">
        <v>1200000</v>
      </c>
      <c r="F176" s="1410">
        <v>1056000</v>
      </c>
      <c r="G176" s="1407">
        <v>18.433</v>
      </c>
      <c r="H176" s="1409">
        <v>0.18217</v>
      </c>
      <c r="I176" s="1409">
        <v>2.0549999999999998E-4</v>
      </c>
      <c r="J176" s="1410">
        <v>23.908999999999999</v>
      </c>
    </row>
    <row r="177" spans="2:10" x14ac:dyDescent="0.25">
      <c r="B177" s="1407" t="s">
        <v>909</v>
      </c>
      <c r="C177" s="1408">
        <v>2005</v>
      </c>
      <c r="D177" s="1407">
        <v>1760000</v>
      </c>
      <c r="E177" s="1409">
        <v>783400</v>
      </c>
      <c r="F177" s="1410">
        <v>307400</v>
      </c>
      <c r="G177" s="1407">
        <v>47.923999999999999</v>
      </c>
      <c r="H177" s="1409">
        <v>0.13161500000000001</v>
      </c>
      <c r="I177" s="1409">
        <v>3.3619999999999997E-2</v>
      </c>
      <c r="J177" s="1410">
        <v>56.43</v>
      </c>
    </row>
    <row r="178" spans="2:10" x14ac:dyDescent="0.25">
      <c r="B178" s="1407" t="s">
        <v>912</v>
      </c>
      <c r="C178" s="1408">
        <v>2005</v>
      </c>
      <c r="D178" s="1407">
        <v>1248000</v>
      </c>
      <c r="E178" s="1409">
        <v>1242000</v>
      </c>
      <c r="F178" s="1410">
        <v>1084000</v>
      </c>
      <c r="G178" s="1407">
        <v>24.465</v>
      </c>
      <c r="H178" s="1409">
        <v>0.18840200000000001</v>
      </c>
      <c r="I178" s="1409">
        <v>2.7361999999999997E-4</v>
      </c>
      <c r="J178" s="1410">
        <v>30.237000000000002</v>
      </c>
    </row>
    <row r="179" spans="2:10" x14ac:dyDescent="0.25">
      <c r="B179" s="1407" t="s">
        <v>1080</v>
      </c>
      <c r="C179" s="1408">
        <v>2005</v>
      </c>
      <c r="D179" s="1407">
        <v>1195000</v>
      </c>
      <c r="E179" s="1409">
        <v>56800</v>
      </c>
      <c r="F179" s="1410">
        <v>32280</v>
      </c>
      <c r="G179" s="1407">
        <v>4.3339999999999996</v>
      </c>
      <c r="H179" s="1409">
        <v>9.434399999999999E-3</v>
      </c>
      <c r="I179" s="1409">
        <v>-3.8369229999999999E-3</v>
      </c>
      <c r="J179" s="1410">
        <v>3.6147</v>
      </c>
    </row>
    <row r="180" spans="2:10" x14ac:dyDescent="0.25">
      <c r="B180" s="1407" t="s">
        <v>815</v>
      </c>
      <c r="C180" s="1408">
        <v>2005</v>
      </c>
      <c r="D180" s="1407">
        <v>1195000</v>
      </c>
      <c r="E180" s="1409">
        <v>56800</v>
      </c>
      <c r="F180" s="1410">
        <v>32280</v>
      </c>
      <c r="G180" s="1407">
        <v>4.3339999999999996</v>
      </c>
      <c r="H180" s="1409">
        <v>9.434399999999999E-3</v>
      </c>
      <c r="I180" s="1409">
        <v>-3.8369229999999999E-3</v>
      </c>
      <c r="J180" s="1410">
        <v>3.6147</v>
      </c>
    </row>
    <row r="181" spans="2:10" x14ac:dyDescent="0.25">
      <c r="B181" s="1407" t="s">
        <v>824</v>
      </c>
      <c r="C181" s="1408">
        <v>2005</v>
      </c>
      <c r="D181" s="1407">
        <v>1195000</v>
      </c>
      <c r="E181" s="1409">
        <v>56800</v>
      </c>
      <c r="F181" s="1410">
        <v>32280</v>
      </c>
      <c r="G181" s="1407">
        <v>4.3339999999999996</v>
      </c>
      <c r="H181" s="1409">
        <v>9.434399999999999E-3</v>
      </c>
      <c r="I181" s="1409">
        <v>-3.8369229999999999E-3</v>
      </c>
      <c r="J181" s="1410">
        <v>3.6147</v>
      </c>
    </row>
    <row r="182" spans="2:10" ht="13" thickBot="1" x14ac:dyDescent="0.3">
      <c r="B182" s="1411" t="s">
        <v>1087</v>
      </c>
      <c r="C182" s="1412">
        <v>2005</v>
      </c>
      <c r="D182" s="1411">
        <v>1387000</v>
      </c>
      <c r="E182" s="1413">
        <v>1386000</v>
      </c>
      <c r="F182" s="1414">
        <v>5427</v>
      </c>
      <c r="G182" s="1411">
        <v>78.934799999999996</v>
      </c>
      <c r="H182" s="1413">
        <v>0.27050000000000002</v>
      </c>
      <c r="I182" s="1413">
        <v>1.418723E-3</v>
      </c>
      <c r="J182" s="1414">
        <v>87.571399999999997</v>
      </c>
    </row>
    <row r="183" spans="2:10" x14ac:dyDescent="0.25">
      <c r="B183" s="1403" t="s">
        <v>1084</v>
      </c>
      <c r="C183" s="1404">
        <v>2010</v>
      </c>
      <c r="D183" s="1403">
        <v>1094000</v>
      </c>
      <c r="E183" s="1405">
        <v>1093000</v>
      </c>
      <c r="F183" s="1406">
        <v>4104</v>
      </c>
      <c r="G183" s="1403">
        <v>5.9177</v>
      </c>
      <c r="H183" s="1405">
        <v>0.18431800000000001</v>
      </c>
      <c r="I183" s="1405">
        <v>8.6370000000000001E-4</v>
      </c>
      <c r="J183" s="1406">
        <v>11.7387</v>
      </c>
    </row>
    <row r="184" spans="2:10" x14ac:dyDescent="0.25">
      <c r="B184" s="1407" t="s">
        <v>283</v>
      </c>
      <c r="C184" s="1408">
        <v>2010</v>
      </c>
      <c r="D184" s="1407">
        <v>1094000</v>
      </c>
      <c r="E184" s="1409">
        <v>1093000</v>
      </c>
      <c r="F184" s="1410">
        <v>4104</v>
      </c>
      <c r="G184" s="1407">
        <v>5.9177</v>
      </c>
      <c r="H184" s="1409">
        <v>0.18431800000000001</v>
      </c>
      <c r="I184" s="1409">
        <v>8.6370000000000001E-4</v>
      </c>
      <c r="J184" s="1410">
        <v>11.7387</v>
      </c>
    </row>
    <row r="185" spans="2:10" x14ac:dyDescent="0.25">
      <c r="B185" s="1407" t="s">
        <v>1085</v>
      </c>
      <c r="C185" s="1408">
        <v>2010</v>
      </c>
      <c r="D185" s="1407">
        <v>1094000</v>
      </c>
      <c r="E185" s="1409">
        <v>1093000</v>
      </c>
      <c r="F185" s="1410">
        <v>4104</v>
      </c>
      <c r="G185" s="1407">
        <v>5.9177</v>
      </c>
      <c r="H185" s="1409">
        <v>0.18431800000000001</v>
      </c>
      <c r="I185" s="1409">
        <v>8.6370000000000001E-4</v>
      </c>
      <c r="J185" s="1410">
        <v>11.7387</v>
      </c>
    </row>
    <row r="186" spans="2:10" x14ac:dyDescent="0.25">
      <c r="B186" s="1407" t="s">
        <v>681</v>
      </c>
      <c r="C186" s="1408">
        <v>2010</v>
      </c>
      <c r="D186" s="1407">
        <v>1094000</v>
      </c>
      <c r="E186" s="1409">
        <v>1093000</v>
      </c>
      <c r="F186" s="1410">
        <v>4104</v>
      </c>
      <c r="G186" s="1407">
        <v>5.9177</v>
      </c>
      <c r="H186" s="1409">
        <v>0.18431800000000001</v>
      </c>
      <c r="I186" s="1409">
        <v>8.6370000000000001E-4</v>
      </c>
      <c r="J186" s="1410">
        <v>11.7387</v>
      </c>
    </row>
    <row r="187" spans="2:10" x14ac:dyDescent="0.25">
      <c r="B187" s="1407" t="s">
        <v>682</v>
      </c>
      <c r="C187" s="1408">
        <v>2010</v>
      </c>
      <c r="D187" s="1407">
        <v>-1208000</v>
      </c>
      <c r="E187" s="1409">
        <v>0</v>
      </c>
      <c r="F187" s="1410">
        <v>0</v>
      </c>
      <c r="G187" s="1407">
        <v>-85.789999999999992</v>
      </c>
      <c r="H187" s="1409">
        <v>0.54600000000000004</v>
      </c>
      <c r="I187" s="1409">
        <v>-1.8614999999999999E-3</v>
      </c>
      <c r="J187" s="1410">
        <v>-70.12</v>
      </c>
    </row>
    <row r="188" spans="2:10" x14ac:dyDescent="0.25">
      <c r="B188" s="1407" t="s">
        <v>683</v>
      </c>
      <c r="C188" s="1408">
        <v>2010</v>
      </c>
      <c r="D188" s="1407">
        <v>2254000</v>
      </c>
      <c r="E188" s="1409">
        <v>1938000</v>
      </c>
      <c r="F188" s="1410">
        <v>52730</v>
      </c>
      <c r="G188" s="1407">
        <v>220.67</v>
      </c>
      <c r="H188" s="1409">
        <v>0.288267</v>
      </c>
      <c r="I188" s="1409">
        <v>3.4012000000000001E-3</v>
      </c>
      <c r="J188" s="1410">
        <v>228.91000000000003</v>
      </c>
    </row>
    <row r="189" spans="2:10" x14ac:dyDescent="0.25">
      <c r="B189" s="1407" t="s">
        <v>698</v>
      </c>
      <c r="C189" s="1408">
        <v>2010</v>
      </c>
      <c r="D189" s="1407">
        <v>2254000</v>
      </c>
      <c r="E189" s="1409">
        <v>1938000</v>
      </c>
      <c r="F189" s="1410">
        <v>52730</v>
      </c>
      <c r="G189" s="1407">
        <v>220.67</v>
      </c>
      <c r="H189" s="1409">
        <v>0.288267</v>
      </c>
      <c r="I189" s="1409">
        <v>3.4012000000000001E-3</v>
      </c>
      <c r="J189" s="1410">
        <v>228.91000000000003</v>
      </c>
    </row>
    <row r="190" spans="2:10" x14ac:dyDescent="0.25">
      <c r="B190" s="1407" t="s">
        <v>684</v>
      </c>
      <c r="C190" s="1408">
        <v>2010</v>
      </c>
      <c r="D190" s="1407">
        <v>2254000</v>
      </c>
      <c r="E190" s="1409">
        <v>1938000</v>
      </c>
      <c r="F190" s="1410">
        <v>52730</v>
      </c>
      <c r="G190" s="1407">
        <v>220.67</v>
      </c>
      <c r="H190" s="1409">
        <v>0.288267</v>
      </c>
      <c r="I190" s="1409">
        <v>3.4012000000000001E-3</v>
      </c>
      <c r="J190" s="1410">
        <v>228.91000000000003</v>
      </c>
    </row>
    <row r="191" spans="2:10" x14ac:dyDescent="0.25">
      <c r="B191" s="1407" t="s">
        <v>1086</v>
      </c>
      <c r="C191" s="1408">
        <v>2010</v>
      </c>
      <c r="D191" s="1407">
        <v>1023000</v>
      </c>
      <c r="E191" s="1409">
        <v>1022000</v>
      </c>
      <c r="F191" s="1410">
        <v>15710</v>
      </c>
      <c r="G191" s="1407">
        <v>1.8761000000000001</v>
      </c>
      <c r="H191" s="1409">
        <v>0.14136795000000002</v>
      </c>
      <c r="I191" s="1409">
        <v>3.5802E-5</v>
      </c>
      <c r="J191" s="1410">
        <v>6.1511000000000005</v>
      </c>
    </row>
    <row r="192" spans="2:10" x14ac:dyDescent="0.25">
      <c r="B192" s="1407" t="s">
        <v>716</v>
      </c>
      <c r="C192" s="1408">
        <v>2010</v>
      </c>
      <c r="D192" s="1407">
        <v>1023000</v>
      </c>
      <c r="E192" s="1409">
        <v>1022000</v>
      </c>
      <c r="F192" s="1410">
        <v>15710</v>
      </c>
      <c r="G192" s="1407">
        <v>1.8761000000000001</v>
      </c>
      <c r="H192" s="1409">
        <v>0.14136795000000002</v>
      </c>
      <c r="I192" s="1409">
        <v>3.5802E-5</v>
      </c>
      <c r="J192" s="1410">
        <v>6.1511000000000005</v>
      </c>
    </row>
    <row r="193" spans="2:10" x14ac:dyDescent="0.25">
      <c r="B193" s="1407" t="s">
        <v>717</v>
      </c>
      <c r="C193" s="1408">
        <v>2010</v>
      </c>
      <c r="D193" s="1407">
        <v>1023000</v>
      </c>
      <c r="E193" s="1409">
        <v>1022000</v>
      </c>
      <c r="F193" s="1410">
        <v>15710</v>
      </c>
      <c r="G193" s="1407">
        <v>1.8761000000000001</v>
      </c>
      <c r="H193" s="1409">
        <v>0.14136795000000002</v>
      </c>
      <c r="I193" s="1409">
        <v>3.5802E-5</v>
      </c>
      <c r="J193" s="1410">
        <v>6.1511000000000005</v>
      </c>
    </row>
    <row r="194" spans="2:10" x14ac:dyDescent="0.25">
      <c r="B194" s="1407" t="s">
        <v>911</v>
      </c>
      <c r="C194" s="1408">
        <v>2010</v>
      </c>
      <c r="D194" s="1407">
        <v>1206000</v>
      </c>
      <c r="E194" s="1409">
        <v>1201000</v>
      </c>
      <c r="F194" s="1410">
        <v>1056000</v>
      </c>
      <c r="G194" s="1407">
        <v>18.166999999999998</v>
      </c>
      <c r="H194" s="1409">
        <v>0.18199899999999999</v>
      </c>
      <c r="I194" s="1409">
        <v>2.9639E-4</v>
      </c>
      <c r="J194" s="1410">
        <v>23.741999999999997</v>
      </c>
    </row>
    <row r="195" spans="2:10" x14ac:dyDescent="0.25">
      <c r="B195" s="1407" t="s">
        <v>909</v>
      </c>
      <c r="C195" s="1408">
        <v>2010</v>
      </c>
      <c r="D195" s="1407">
        <v>1687000</v>
      </c>
      <c r="E195" s="1409">
        <v>740000</v>
      </c>
      <c r="F195" s="1410">
        <v>297100</v>
      </c>
      <c r="G195" s="1407">
        <v>42.921999999999997</v>
      </c>
      <c r="H195" s="1409">
        <v>0.12687100000000001</v>
      </c>
      <c r="I195" s="1409">
        <v>2.955E-2</v>
      </c>
      <c r="J195" s="1410">
        <v>50.54</v>
      </c>
    </row>
    <row r="196" spans="2:10" x14ac:dyDescent="0.25">
      <c r="B196" s="1407" t="s">
        <v>912</v>
      </c>
      <c r="C196" s="1408">
        <v>2010</v>
      </c>
      <c r="D196" s="1407">
        <v>1248000</v>
      </c>
      <c r="E196" s="1409">
        <v>1242000</v>
      </c>
      <c r="F196" s="1410">
        <v>1083000</v>
      </c>
      <c r="G196" s="1407">
        <v>24.158999999999999</v>
      </c>
      <c r="H196" s="1409">
        <v>0.18823500000000001</v>
      </c>
      <c r="I196" s="1409">
        <v>3.8572999999999998E-4</v>
      </c>
      <c r="J196" s="1410">
        <v>30.041</v>
      </c>
    </row>
    <row r="197" spans="2:10" x14ac:dyDescent="0.25">
      <c r="B197" s="1407" t="s">
        <v>1080</v>
      </c>
      <c r="C197" s="1408">
        <v>2010</v>
      </c>
      <c r="D197" s="1407">
        <v>1194000</v>
      </c>
      <c r="E197" s="1409">
        <v>56320</v>
      </c>
      <c r="F197" s="1410">
        <v>32080</v>
      </c>
      <c r="G197" s="1407">
        <v>4.2514000000000003</v>
      </c>
      <c r="H197" s="1409">
        <v>9.6048000000000001E-3</v>
      </c>
      <c r="I197" s="1409">
        <v>-3.820487E-3</v>
      </c>
      <c r="J197" s="1410">
        <v>3.5488999999999997</v>
      </c>
    </row>
    <row r="198" spans="2:10" x14ac:dyDescent="0.25">
      <c r="B198" s="1407" t="s">
        <v>815</v>
      </c>
      <c r="C198" s="1408">
        <v>2010</v>
      </c>
      <c r="D198" s="1407">
        <v>1194000</v>
      </c>
      <c r="E198" s="1409">
        <v>56320</v>
      </c>
      <c r="F198" s="1410">
        <v>32080</v>
      </c>
      <c r="G198" s="1407">
        <v>4.2514000000000003</v>
      </c>
      <c r="H198" s="1409">
        <v>9.6048000000000001E-3</v>
      </c>
      <c r="I198" s="1409">
        <v>-3.820487E-3</v>
      </c>
      <c r="J198" s="1410">
        <v>3.5488999999999997</v>
      </c>
    </row>
    <row r="199" spans="2:10" x14ac:dyDescent="0.25">
      <c r="B199" s="1407" t="s">
        <v>824</v>
      </c>
      <c r="C199" s="1408">
        <v>2010</v>
      </c>
      <c r="D199" s="1407">
        <v>1194000</v>
      </c>
      <c r="E199" s="1409">
        <v>56320</v>
      </c>
      <c r="F199" s="1410">
        <v>32080</v>
      </c>
      <c r="G199" s="1407">
        <v>4.2514000000000003</v>
      </c>
      <c r="H199" s="1409">
        <v>9.6048000000000001E-3</v>
      </c>
      <c r="I199" s="1409">
        <v>-3.820487E-3</v>
      </c>
      <c r="J199" s="1410">
        <v>3.5488999999999997</v>
      </c>
    </row>
    <row r="200" spans="2:10" ht="13" thickBot="1" x14ac:dyDescent="0.3">
      <c r="B200" s="1411" t="s">
        <v>1087</v>
      </c>
      <c r="C200" s="1412">
        <v>2010</v>
      </c>
      <c r="D200" s="1411">
        <v>1386000</v>
      </c>
      <c r="E200" s="1413">
        <v>1385000</v>
      </c>
      <c r="F200" s="1414">
        <v>5215</v>
      </c>
      <c r="G200" s="1411">
        <v>78.8352</v>
      </c>
      <c r="H200" s="1413">
        <v>0.27453</v>
      </c>
      <c r="I200" s="1413">
        <v>2.3346E-3</v>
      </c>
      <c r="J200" s="1414">
        <v>87.848799999999997</v>
      </c>
    </row>
    <row r="201" spans="2:10" x14ac:dyDescent="0.25">
      <c r="B201" s="1403" t="s">
        <v>1084</v>
      </c>
      <c r="C201" s="1404">
        <v>2015</v>
      </c>
      <c r="D201" s="1403">
        <v>1093000</v>
      </c>
      <c r="E201" s="1405">
        <v>1092000</v>
      </c>
      <c r="F201" s="1406">
        <v>4020</v>
      </c>
      <c r="G201" s="1403">
        <v>5.8287000000000004</v>
      </c>
      <c r="H201" s="1405">
        <v>0.18472100000000002</v>
      </c>
      <c r="I201" s="1405">
        <v>8.6249999999999999E-4</v>
      </c>
      <c r="J201" s="1406">
        <v>11.659600000000001</v>
      </c>
    </row>
    <row r="202" spans="2:10" x14ac:dyDescent="0.25">
      <c r="B202" s="1407" t="s">
        <v>283</v>
      </c>
      <c r="C202" s="1408">
        <v>2015</v>
      </c>
      <c r="D202" s="1407">
        <v>1093000</v>
      </c>
      <c r="E202" s="1409">
        <v>1092000</v>
      </c>
      <c r="F202" s="1410">
        <v>4020</v>
      </c>
      <c r="G202" s="1407">
        <v>5.8287000000000004</v>
      </c>
      <c r="H202" s="1409">
        <v>0.18472100000000002</v>
      </c>
      <c r="I202" s="1409">
        <v>8.6249999999999999E-4</v>
      </c>
      <c r="J202" s="1410">
        <v>11.659600000000001</v>
      </c>
    </row>
    <row r="203" spans="2:10" x14ac:dyDescent="0.25">
      <c r="B203" s="1407" t="s">
        <v>1085</v>
      </c>
      <c r="C203" s="1408">
        <v>2015</v>
      </c>
      <c r="D203" s="1407">
        <v>1093000</v>
      </c>
      <c r="E203" s="1409">
        <v>1092000</v>
      </c>
      <c r="F203" s="1410">
        <v>4020</v>
      </c>
      <c r="G203" s="1407">
        <v>5.8287000000000004</v>
      </c>
      <c r="H203" s="1409">
        <v>0.18472100000000002</v>
      </c>
      <c r="I203" s="1409">
        <v>8.6249999999999999E-4</v>
      </c>
      <c r="J203" s="1410">
        <v>11.659600000000001</v>
      </c>
    </row>
    <row r="204" spans="2:10" x14ac:dyDescent="0.25">
      <c r="B204" s="1407" t="s">
        <v>681</v>
      </c>
      <c r="C204" s="1408">
        <v>2015</v>
      </c>
      <c r="D204" s="1407">
        <v>1093000</v>
      </c>
      <c r="E204" s="1409">
        <v>1092000</v>
      </c>
      <c r="F204" s="1410">
        <v>4020</v>
      </c>
      <c r="G204" s="1407">
        <v>5.8287000000000004</v>
      </c>
      <c r="H204" s="1409">
        <v>0.18472100000000002</v>
      </c>
      <c r="I204" s="1409">
        <v>8.6249999999999999E-4</v>
      </c>
      <c r="J204" s="1410">
        <v>11.659600000000001</v>
      </c>
    </row>
    <row r="205" spans="2:10" x14ac:dyDescent="0.25">
      <c r="B205" s="1407" t="s">
        <v>682</v>
      </c>
      <c r="C205" s="1408">
        <v>2015</v>
      </c>
      <c r="D205" s="1407">
        <v>-1194000</v>
      </c>
      <c r="E205" s="1409">
        <v>0</v>
      </c>
      <c r="F205" s="1410">
        <v>0</v>
      </c>
      <c r="G205" s="1407">
        <v>-85.789999999999992</v>
      </c>
      <c r="H205" s="1409">
        <v>0.54659999999999997</v>
      </c>
      <c r="I205" s="1409">
        <v>-1.8422E-3</v>
      </c>
      <c r="J205" s="1410">
        <v>-70.099999999999994</v>
      </c>
    </row>
    <row r="206" spans="2:10" x14ac:dyDescent="0.25">
      <c r="B206" s="1407" t="s">
        <v>683</v>
      </c>
      <c r="C206" s="1408">
        <v>2015</v>
      </c>
      <c r="D206" s="1407">
        <v>2038000</v>
      </c>
      <c r="E206" s="1409">
        <v>1688000</v>
      </c>
      <c r="F206" s="1410">
        <v>38920</v>
      </c>
      <c r="G206" s="1407">
        <v>180.61</v>
      </c>
      <c r="H206" s="1409">
        <v>0.25748300000000002</v>
      </c>
      <c r="I206" s="1409">
        <v>2.7356999999999998E-3</v>
      </c>
      <c r="J206" s="1410">
        <v>187.32</v>
      </c>
    </row>
    <row r="207" spans="2:10" x14ac:dyDescent="0.25">
      <c r="B207" s="1407" t="s">
        <v>698</v>
      </c>
      <c r="C207" s="1408">
        <v>2015</v>
      </c>
      <c r="D207" s="1407">
        <v>2038000</v>
      </c>
      <c r="E207" s="1409">
        <v>1688000</v>
      </c>
      <c r="F207" s="1410">
        <v>38920</v>
      </c>
      <c r="G207" s="1407">
        <v>180.61</v>
      </c>
      <c r="H207" s="1409">
        <v>0.25748300000000002</v>
      </c>
      <c r="I207" s="1409">
        <v>2.7356999999999998E-3</v>
      </c>
      <c r="J207" s="1410">
        <v>187.32</v>
      </c>
    </row>
    <row r="208" spans="2:10" x14ac:dyDescent="0.25">
      <c r="B208" s="1407" t="s">
        <v>684</v>
      </c>
      <c r="C208" s="1408">
        <v>2015</v>
      </c>
      <c r="D208" s="1407">
        <v>2038000</v>
      </c>
      <c r="E208" s="1409">
        <v>1688000</v>
      </c>
      <c r="F208" s="1410">
        <v>38920</v>
      </c>
      <c r="G208" s="1407">
        <v>180.61</v>
      </c>
      <c r="H208" s="1409">
        <v>0.25748300000000002</v>
      </c>
      <c r="I208" s="1409">
        <v>2.7356999999999998E-3</v>
      </c>
      <c r="J208" s="1410">
        <v>187.32</v>
      </c>
    </row>
    <row r="209" spans="2:10" x14ac:dyDescent="0.25">
      <c r="B209" s="1407" t="s">
        <v>1086</v>
      </c>
      <c r="C209" s="1408">
        <v>2015</v>
      </c>
      <c r="D209" s="1407">
        <v>1022000</v>
      </c>
      <c r="E209" s="1409">
        <v>1021000</v>
      </c>
      <c r="F209" s="1410">
        <v>15590</v>
      </c>
      <c r="G209" s="1407">
        <v>1.8048999999999999</v>
      </c>
      <c r="H209" s="1409">
        <v>0.14106285999999998</v>
      </c>
      <c r="I209" s="1409">
        <v>3.4603000000000001E-5</v>
      </c>
      <c r="J209" s="1410">
        <v>6.0683999999999996</v>
      </c>
    </row>
    <row r="210" spans="2:10" x14ac:dyDescent="0.25">
      <c r="B210" s="1407" t="s">
        <v>716</v>
      </c>
      <c r="C210" s="1408">
        <v>2015</v>
      </c>
      <c r="D210" s="1407">
        <v>1022000</v>
      </c>
      <c r="E210" s="1409">
        <v>1021000</v>
      </c>
      <c r="F210" s="1410">
        <v>15590</v>
      </c>
      <c r="G210" s="1407">
        <v>1.8048999999999999</v>
      </c>
      <c r="H210" s="1409">
        <v>0.14106285999999998</v>
      </c>
      <c r="I210" s="1409">
        <v>3.4603000000000001E-5</v>
      </c>
      <c r="J210" s="1410">
        <v>6.0683999999999996</v>
      </c>
    </row>
    <row r="211" spans="2:10" x14ac:dyDescent="0.25">
      <c r="B211" s="1407" t="s">
        <v>717</v>
      </c>
      <c r="C211" s="1408">
        <v>2015</v>
      </c>
      <c r="D211" s="1407">
        <v>1022000</v>
      </c>
      <c r="E211" s="1409">
        <v>1021000</v>
      </c>
      <c r="F211" s="1410">
        <v>15590</v>
      </c>
      <c r="G211" s="1407">
        <v>1.8048999999999999</v>
      </c>
      <c r="H211" s="1409">
        <v>0.14106285999999998</v>
      </c>
      <c r="I211" s="1409">
        <v>3.4603000000000001E-5</v>
      </c>
      <c r="J211" s="1410">
        <v>6.0683999999999996</v>
      </c>
    </row>
    <row r="212" spans="2:10" x14ac:dyDescent="0.25">
      <c r="B212" s="1407" t="s">
        <v>911</v>
      </c>
      <c r="C212" s="1408">
        <v>2015</v>
      </c>
      <c r="D212" s="1407">
        <v>1210000</v>
      </c>
      <c r="E212" s="1409">
        <v>1204000</v>
      </c>
      <c r="F212" s="1410">
        <v>1053000</v>
      </c>
      <c r="G212" s="1407">
        <v>18.527999999999999</v>
      </c>
      <c r="H212" s="1409">
        <v>0.16494200000000001</v>
      </c>
      <c r="I212" s="1409">
        <v>2.9771000000000002E-4</v>
      </c>
      <c r="J212" s="1410">
        <v>23.579000000000001</v>
      </c>
    </row>
    <row r="213" spans="2:10" x14ac:dyDescent="0.25">
      <c r="B213" s="1407" t="s">
        <v>909</v>
      </c>
      <c r="C213" s="1408">
        <v>2015</v>
      </c>
      <c r="D213" s="1407">
        <v>1642000</v>
      </c>
      <c r="E213" s="1409">
        <v>724000</v>
      </c>
      <c r="F213" s="1410">
        <v>290600</v>
      </c>
      <c r="G213" s="1407">
        <v>41.042999999999999</v>
      </c>
      <c r="H213" s="1409">
        <v>0.1162</v>
      </c>
      <c r="I213" s="1409">
        <v>2.7609999999999999E-2</v>
      </c>
      <c r="J213" s="1410">
        <v>48.36</v>
      </c>
    </row>
    <row r="214" spans="2:10" x14ac:dyDescent="0.25">
      <c r="B214" s="1407" t="s">
        <v>912</v>
      </c>
      <c r="C214" s="1408">
        <v>2015</v>
      </c>
      <c r="D214" s="1407">
        <v>1252000</v>
      </c>
      <c r="E214" s="1409">
        <v>1245000</v>
      </c>
      <c r="F214" s="1410">
        <v>1081000</v>
      </c>
      <c r="G214" s="1407">
        <v>24.462</v>
      </c>
      <c r="H214" s="1409">
        <v>0.17067199999999999</v>
      </c>
      <c r="I214" s="1409">
        <v>3.8633E-4</v>
      </c>
      <c r="J214" s="1410">
        <v>29.811999999999998</v>
      </c>
    </row>
    <row r="215" spans="2:10" x14ac:dyDescent="0.25">
      <c r="B215" s="1407" t="s">
        <v>1080</v>
      </c>
      <c r="C215" s="1408">
        <v>2015</v>
      </c>
      <c r="D215" s="1407">
        <v>1191000</v>
      </c>
      <c r="E215" s="1409">
        <v>53390</v>
      </c>
      <c r="F215" s="1410">
        <v>29910</v>
      </c>
      <c r="G215" s="1407">
        <v>3.9701</v>
      </c>
      <c r="H215" s="1409">
        <v>8.6864999999999998E-3</v>
      </c>
      <c r="I215" s="1409">
        <v>-3.8232459999999998E-3</v>
      </c>
      <c r="J215" s="1410">
        <v>3.2326999999999999</v>
      </c>
    </row>
    <row r="216" spans="2:10" x14ac:dyDescent="0.25">
      <c r="B216" s="1407" t="s">
        <v>815</v>
      </c>
      <c r="C216" s="1408">
        <v>2015</v>
      </c>
      <c r="D216" s="1407">
        <v>1191000</v>
      </c>
      <c r="E216" s="1409">
        <v>53390</v>
      </c>
      <c r="F216" s="1410">
        <v>29910</v>
      </c>
      <c r="G216" s="1407">
        <v>3.9701</v>
      </c>
      <c r="H216" s="1409">
        <v>8.6864999999999998E-3</v>
      </c>
      <c r="I216" s="1409">
        <v>-3.8232459999999998E-3</v>
      </c>
      <c r="J216" s="1410">
        <v>3.2326999999999999</v>
      </c>
    </row>
    <row r="217" spans="2:10" x14ac:dyDescent="0.25">
      <c r="B217" s="1407" t="s">
        <v>824</v>
      </c>
      <c r="C217" s="1408">
        <v>2015</v>
      </c>
      <c r="D217" s="1407">
        <v>1191000</v>
      </c>
      <c r="E217" s="1409">
        <v>53390</v>
      </c>
      <c r="F217" s="1410">
        <v>29910</v>
      </c>
      <c r="G217" s="1407">
        <v>3.9701</v>
      </c>
      <c r="H217" s="1409">
        <v>8.6864999999999998E-3</v>
      </c>
      <c r="I217" s="1409">
        <v>-3.8232459999999998E-3</v>
      </c>
      <c r="J217" s="1410">
        <v>3.2326999999999999</v>
      </c>
    </row>
    <row r="218" spans="2:10" ht="13" thickBot="1" x14ac:dyDescent="0.3">
      <c r="B218" s="1411" t="s">
        <v>1087</v>
      </c>
      <c r="C218" s="1412">
        <v>2015</v>
      </c>
      <c r="D218" s="1411">
        <v>1385000</v>
      </c>
      <c r="E218" s="1413">
        <v>1384000</v>
      </c>
      <c r="F218" s="1414">
        <v>5105</v>
      </c>
      <c r="G218" s="1411">
        <v>78.707400000000007</v>
      </c>
      <c r="H218" s="1413">
        <v>0.27494000000000002</v>
      </c>
      <c r="I218" s="1413">
        <v>2.3330999999999998E-3</v>
      </c>
      <c r="J218" s="1414">
        <v>87.730800000000002</v>
      </c>
    </row>
    <row r="219" spans="2:10" x14ac:dyDescent="0.25">
      <c r="B219" s="1403" t="s">
        <v>1084</v>
      </c>
      <c r="C219" s="1404">
        <v>2020</v>
      </c>
      <c r="D219" s="1403">
        <v>1093000</v>
      </c>
      <c r="E219" s="1405">
        <v>1092000</v>
      </c>
      <c r="F219" s="1406">
        <v>3993</v>
      </c>
      <c r="G219" s="1403">
        <v>5.7995000000000001</v>
      </c>
      <c r="H219" s="1405">
        <v>0.18462100000000001</v>
      </c>
      <c r="I219" s="1405">
        <v>8.6209999999999998E-4</v>
      </c>
      <c r="J219" s="1406">
        <v>11.6227</v>
      </c>
    </row>
    <row r="220" spans="2:10" x14ac:dyDescent="0.25">
      <c r="B220" s="1407" t="s">
        <v>283</v>
      </c>
      <c r="C220" s="1408">
        <v>2020</v>
      </c>
      <c r="D220" s="1407">
        <v>1093000</v>
      </c>
      <c r="E220" s="1409">
        <v>1092000</v>
      </c>
      <c r="F220" s="1410">
        <v>3993</v>
      </c>
      <c r="G220" s="1407">
        <v>5.7995000000000001</v>
      </c>
      <c r="H220" s="1409">
        <v>0.18462100000000001</v>
      </c>
      <c r="I220" s="1409">
        <v>8.6209999999999998E-4</v>
      </c>
      <c r="J220" s="1410">
        <v>11.6227</v>
      </c>
    </row>
    <row r="221" spans="2:10" x14ac:dyDescent="0.25">
      <c r="B221" s="1407" t="s">
        <v>1085</v>
      </c>
      <c r="C221" s="1408">
        <v>2020</v>
      </c>
      <c r="D221" s="1407">
        <v>1093000</v>
      </c>
      <c r="E221" s="1409">
        <v>1092000</v>
      </c>
      <c r="F221" s="1410">
        <v>3993</v>
      </c>
      <c r="G221" s="1407">
        <v>5.7995000000000001</v>
      </c>
      <c r="H221" s="1409">
        <v>0.18462100000000001</v>
      </c>
      <c r="I221" s="1409">
        <v>8.6209999999999998E-4</v>
      </c>
      <c r="J221" s="1410">
        <v>11.6227</v>
      </c>
    </row>
    <row r="222" spans="2:10" x14ac:dyDescent="0.25">
      <c r="B222" s="1407" t="s">
        <v>681</v>
      </c>
      <c r="C222" s="1408">
        <v>2020</v>
      </c>
      <c r="D222" s="1407">
        <v>1093000</v>
      </c>
      <c r="E222" s="1409">
        <v>1092000</v>
      </c>
      <c r="F222" s="1410">
        <v>3993</v>
      </c>
      <c r="G222" s="1407">
        <v>5.7995000000000001</v>
      </c>
      <c r="H222" s="1409">
        <v>0.18462100000000001</v>
      </c>
      <c r="I222" s="1409">
        <v>8.6209999999999998E-4</v>
      </c>
      <c r="J222" s="1410">
        <v>11.6227</v>
      </c>
    </row>
    <row r="223" spans="2:10" x14ac:dyDescent="0.25">
      <c r="B223" s="1407" t="s">
        <v>682</v>
      </c>
      <c r="C223" s="1408">
        <v>2020</v>
      </c>
      <c r="D223" s="1407">
        <v>-1185000</v>
      </c>
      <c r="E223" s="1409">
        <v>0</v>
      </c>
      <c r="F223" s="1410">
        <v>0</v>
      </c>
      <c r="G223" s="1407">
        <v>-85.800000000000011</v>
      </c>
      <c r="H223" s="1409">
        <v>0.54700000000000004</v>
      </c>
      <c r="I223" s="1409">
        <v>-1.8286999999999999E-3</v>
      </c>
      <c r="J223" s="1410">
        <v>-70.08</v>
      </c>
    </row>
    <row r="224" spans="2:10" x14ac:dyDescent="0.25">
      <c r="B224" s="1407" t="s">
        <v>683</v>
      </c>
      <c r="C224" s="1408">
        <v>2020</v>
      </c>
      <c r="D224" s="1407">
        <v>1866000</v>
      </c>
      <c r="E224" s="1409">
        <v>1484000</v>
      </c>
      <c r="F224" s="1410">
        <v>26490</v>
      </c>
      <c r="G224" s="1407">
        <v>161.61000000000001</v>
      </c>
      <c r="H224" s="1409">
        <v>0.22423899999999999</v>
      </c>
      <c r="I224" s="1409">
        <v>2.4153E-3</v>
      </c>
      <c r="J224" s="1410">
        <v>168.06</v>
      </c>
    </row>
    <row r="225" spans="2:10" x14ac:dyDescent="0.25">
      <c r="B225" s="1407" t="s">
        <v>698</v>
      </c>
      <c r="C225" s="1408">
        <v>2020</v>
      </c>
      <c r="D225" s="1407">
        <v>1866000</v>
      </c>
      <c r="E225" s="1409">
        <v>1484000</v>
      </c>
      <c r="F225" s="1410">
        <v>26490</v>
      </c>
      <c r="G225" s="1407">
        <v>161.61000000000001</v>
      </c>
      <c r="H225" s="1409">
        <v>0.22423899999999999</v>
      </c>
      <c r="I225" s="1409">
        <v>2.4153E-3</v>
      </c>
      <c r="J225" s="1410">
        <v>168.06</v>
      </c>
    </row>
    <row r="226" spans="2:10" x14ac:dyDescent="0.25">
      <c r="B226" s="1407" t="s">
        <v>684</v>
      </c>
      <c r="C226" s="1408">
        <v>2020</v>
      </c>
      <c r="D226" s="1407">
        <v>1866000</v>
      </c>
      <c r="E226" s="1409">
        <v>1484000</v>
      </c>
      <c r="F226" s="1410">
        <v>26490</v>
      </c>
      <c r="G226" s="1407">
        <v>161.61000000000001</v>
      </c>
      <c r="H226" s="1409">
        <v>0.22423899999999999</v>
      </c>
      <c r="I226" s="1409">
        <v>2.4153E-3</v>
      </c>
      <c r="J226" s="1410">
        <v>168.06</v>
      </c>
    </row>
    <row r="227" spans="2:10" x14ac:dyDescent="0.25">
      <c r="B227" s="1407" t="s">
        <v>1086</v>
      </c>
      <c r="C227" s="1408">
        <v>2020</v>
      </c>
      <c r="D227" s="1407">
        <v>1022000</v>
      </c>
      <c r="E227" s="1409">
        <v>1021000</v>
      </c>
      <c r="F227" s="1410">
        <v>15530</v>
      </c>
      <c r="G227" s="1407">
        <v>1.7706</v>
      </c>
      <c r="H227" s="1409">
        <v>0.14096106</v>
      </c>
      <c r="I227" s="1409">
        <v>3.4058000000000005E-5</v>
      </c>
      <c r="J227" s="1410">
        <v>6.0322999999999993</v>
      </c>
    </row>
    <row r="228" spans="2:10" x14ac:dyDescent="0.25">
      <c r="B228" s="1407" t="s">
        <v>716</v>
      </c>
      <c r="C228" s="1408">
        <v>2020</v>
      </c>
      <c r="D228" s="1407">
        <v>1022000</v>
      </c>
      <c r="E228" s="1409">
        <v>1021000</v>
      </c>
      <c r="F228" s="1410">
        <v>15530</v>
      </c>
      <c r="G228" s="1407">
        <v>1.7706</v>
      </c>
      <c r="H228" s="1409">
        <v>0.14096106</v>
      </c>
      <c r="I228" s="1409">
        <v>3.4058000000000005E-5</v>
      </c>
      <c r="J228" s="1410">
        <v>6.0322999999999993</v>
      </c>
    </row>
    <row r="229" spans="2:10" x14ac:dyDescent="0.25">
      <c r="B229" s="1407" t="s">
        <v>717</v>
      </c>
      <c r="C229" s="1408">
        <v>2020</v>
      </c>
      <c r="D229" s="1407">
        <v>1022000</v>
      </c>
      <c r="E229" s="1409">
        <v>1021000</v>
      </c>
      <c r="F229" s="1410">
        <v>15530</v>
      </c>
      <c r="G229" s="1407">
        <v>1.7706</v>
      </c>
      <c r="H229" s="1409">
        <v>0.14096106</v>
      </c>
      <c r="I229" s="1409">
        <v>3.4058000000000005E-5</v>
      </c>
      <c r="J229" s="1410">
        <v>6.0322999999999993</v>
      </c>
    </row>
    <row r="230" spans="2:10" x14ac:dyDescent="0.25">
      <c r="B230" s="1407" t="s">
        <v>911</v>
      </c>
      <c r="C230" s="1408">
        <v>2020</v>
      </c>
      <c r="D230" s="1407">
        <v>1211000</v>
      </c>
      <c r="E230" s="1409">
        <v>1205000</v>
      </c>
      <c r="F230" s="1410">
        <v>1052000</v>
      </c>
      <c r="G230" s="1407">
        <v>18.605999999999998</v>
      </c>
      <c r="H230" s="1409">
        <v>0.162991</v>
      </c>
      <c r="I230" s="1409">
        <v>3.0018999999999998E-4</v>
      </c>
      <c r="J230" s="1410">
        <v>23.607999999999997</v>
      </c>
    </row>
    <row r="231" spans="2:10" x14ac:dyDescent="0.25">
      <c r="B231" s="1407" t="s">
        <v>909</v>
      </c>
      <c r="C231" s="1408">
        <v>2020</v>
      </c>
      <c r="D231" s="1407">
        <v>1591000</v>
      </c>
      <c r="E231" s="1409">
        <v>703100</v>
      </c>
      <c r="F231" s="1410">
        <v>286400</v>
      </c>
      <c r="G231" s="1407">
        <v>39.366999999999997</v>
      </c>
      <c r="H231" s="1409">
        <v>0.11210000000000001</v>
      </c>
      <c r="I231" s="1409">
        <v>2.5360000000000001E-2</v>
      </c>
      <c r="J231" s="1410">
        <v>46.16</v>
      </c>
    </row>
    <row r="232" spans="2:10" x14ac:dyDescent="0.25">
      <c r="B232" s="1407" t="s">
        <v>912</v>
      </c>
      <c r="C232" s="1408">
        <v>2020</v>
      </c>
      <c r="D232" s="1407">
        <v>1252000</v>
      </c>
      <c r="E232" s="1409">
        <v>1245000</v>
      </c>
      <c r="F232" s="1410">
        <v>1078000</v>
      </c>
      <c r="G232" s="1407">
        <v>24.533999999999999</v>
      </c>
      <c r="H232" s="1409">
        <v>0.16861900000000002</v>
      </c>
      <c r="I232" s="1409">
        <v>3.8906999999999999E-4</v>
      </c>
      <c r="J232" s="1410">
        <v>29.833999999999996</v>
      </c>
    </row>
    <row r="233" spans="2:10" x14ac:dyDescent="0.25">
      <c r="B233" s="1407" t="s">
        <v>1080</v>
      </c>
      <c r="C233" s="1408">
        <v>2020</v>
      </c>
      <c r="D233" s="1407">
        <v>1190000</v>
      </c>
      <c r="E233" s="1409">
        <v>52190</v>
      </c>
      <c r="F233" s="1410">
        <v>29260</v>
      </c>
      <c r="G233" s="1407">
        <v>3.8701999999999996</v>
      </c>
      <c r="H233" s="1409">
        <v>8.4535000000000009E-3</v>
      </c>
      <c r="I233" s="1409">
        <v>-3.824488E-3</v>
      </c>
      <c r="J233" s="1410">
        <v>3.1251000000000002</v>
      </c>
    </row>
    <row r="234" spans="2:10" x14ac:dyDescent="0.25">
      <c r="B234" s="1407" t="s">
        <v>815</v>
      </c>
      <c r="C234" s="1408">
        <v>2020</v>
      </c>
      <c r="D234" s="1407">
        <v>1190000</v>
      </c>
      <c r="E234" s="1409">
        <v>52190</v>
      </c>
      <c r="F234" s="1410">
        <v>29260</v>
      </c>
      <c r="G234" s="1407">
        <v>3.8701999999999996</v>
      </c>
      <c r="H234" s="1409">
        <v>8.4535000000000009E-3</v>
      </c>
      <c r="I234" s="1409">
        <v>-3.824488E-3</v>
      </c>
      <c r="J234" s="1410">
        <v>3.1251000000000002</v>
      </c>
    </row>
    <row r="235" spans="2:10" x14ac:dyDescent="0.25">
      <c r="B235" s="1407" t="s">
        <v>824</v>
      </c>
      <c r="C235" s="1408">
        <v>2020</v>
      </c>
      <c r="D235" s="1407">
        <v>1190000</v>
      </c>
      <c r="E235" s="1409">
        <v>52190</v>
      </c>
      <c r="F235" s="1410">
        <v>29260</v>
      </c>
      <c r="G235" s="1407">
        <v>3.8701999999999996</v>
      </c>
      <c r="H235" s="1409">
        <v>8.4535000000000009E-3</v>
      </c>
      <c r="I235" s="1409">
        <v>-3.824488E-3</v>
      </c>
      <c r="J235" s="1410">
        <v>3.1251000000000002</v>
      </c>
    </row>
    <row r="236" spans="2:10" ht="13" thickBot="1" x14ac:dyDescent="0.3">
      <c r="B236" s="1411" t="s">
        <v>1087</v>
      </c>
      <c r="C236" s="1412">
        <v>2020</v>
      </c>
      <c r="D236" s="1411">
        <v>1384000</v>
      </c>
      <c r="E236" s="1413">
        <v>1384000</v>
      </c>
      <c r="F236" s="1414">
        <v>5066</v>
      </c>
      <c r="G236" s="1411">
        <v>78.656899999999993</v>
      </c>
      <c r="H236" s="1413">
        <v>0.27494000000000002</v>
      </c>
      <c r="I236" s="1413">
        <v>2.3319E-3</v>
      </c>
      <c r="J236" s="1414">
        <v>87.680599999999998</v>
      </c>
    </row>
    <row r="237" spans="2:10" x14ac:dyDescent="0.25">
      <c r="B237" s="1403" t="s">
        <v>1084</v>
      </c>
      <c r="C237" s="1404">
        <v>2025</v>
      </c>
      <c r="D237" s="1403">
        <v>1093000</v>
      </c>
      <c r="E237" s="1405">
        <v>1092000</v>
      </c>
      <c r="F237" s="1406">
        <v>3984</v>
      </c>
      <c r="G237" s="1403">
        <v>5.7702</v>
      </c>
      <c r="H237" s="1405">
        <v>0.18462100000000001</v>
      </c>
      <c r="I237" s="1405">
        <v>8.6159999999999991E-4</v>
      </c>
      <c r="J237" s="1406">
        <v>11.5953</v>
      </c>
    </row>
    <row r="238" spans="2:10" x14ac:dyDescent="0.25">
      <c r="B238" s="1407" t="s">
        <v>283</v>
      </c>
      <c r="C238" s="1408">
        <v>2025</v>
      </c>
      <c r="D238" s="1407">
        <v>1093000</v>
      </c>
      <c r="E238" s="1409">
        <v>1092000</v>
      </c>
      <c r="F238" s="1410">
        <v>3984</v>
      </c>
      <c r="G238" s="1407">
        <v>5.7702</v>
      </c>
      <c r="H238" s="1409">
        <v>0.18462100000000001</v>
      </c>
      <c r="I238" s="1409">
        <v>8.6159999999999991E-4</v>
      </c>
      <c r="J238" s="1410">
        <v>11.5953</v>
      </c>
    </row>
    <row r="239" spans="2:10" x14ac:dyDescent="0.25">
      <c r="B239" s="1407" t="s">
        <v>1085</v>
      </c>
      <c r="C239" s="1408">
        <v>2025</v>
      </c>
      <c r="D239" s="1407">
        <v>1093000</v>
      </c>
      <c r="E239" s="1409">
        <v>1092000</v>
      </c>
      <c r="F239" s="1410">
        <v>3984</v>
      </c>
      <c r="G239" s="1407">
        <v>5.7702</v>
      </c>
      <c r="H239" s="1409">
        <v>0.18462100000000001</v>
      </c>
      <c r="I239" s="1409">
        <v>8.6159999999999991E-4</v>
      </c>
      <c r="J239" s="1410">
        <v>11.5953</v>
      </c>
    </row>
    <row r="240" spans="2:10" x14ac:dyDescent="0.25">
      <c r="B240" s="1407" t="s">
        <v>681</v>
      </c>
      <c r="C240" s="1408">
        <v>2025</v>
      </c>
      <c r="D240" s="1407">
        <v>1093000</v>
      </c>
      <c r="E240" s="1409">
        <v>1092000</v>
      </c>
      <c r="F240" s="1410">
        <v>3984</v>
      </c>
      <c r="G240" s="1407">
        <v>5.7702</v>
      </c>
      <c r="H240" s="1409">
        <v>0.18462100000000001</v>
      </c>
      <c r="I240" s="1409">
        <v>8.6159999999999991E-4</v>
      </c>
      <c r="J240" s="1410">
        <v>11.5953</v>
      </c>
    </row>
    <row r="241" spans="2:10" x14ac:dyDescent="0.25">
      <c r="B241" s="1407" t="s">
        <v>682</v>
      </c>
      <c r="C241" s="1408">
        <v>2025</v>
      </c>
      <c r="D241" s="1407">
        <v>-1185000</v>
      </c>
      <c r="E241" s="1409">
        <v>0</v>
      </c>
      <c r="F241" s="1410">
        <v>0</v>
      </c>
      <c r="G241" s="1407">
        <v>-85.800000000000011</v>
      </c>
      <c r="H241" s="1409">
        <v>0.54700000000000004</v>
      </c>
      <c r="I241" s="1409">
        <v>-1.8286999999999999E-3</v>
      </c>
      <c r="J241" s="1410">
        <v>-70.08</v>
      </c>
    </row>
    <row r="242" spans="2:10" x14ac:dyDescent="0.25">
      <c r="B242" s="1407" t="s">
        <v>683</v>
      </c>
      <c r="C242" s="1408">
        <v>2025</v>
      </c>
      <c r="D242" s="1407">
        <v>1787000</v>
      </c>
      <c r="E242" s="1409">
        <v>1356000</v>
      </c>
      <c r="F242" s="1410">
        <v>23200</v>
      </c>
      <c r="G242" s="1407">
        <v>145.11000000000001</v>
      </c>
      <c r="H242" s="1409">
        <v>0.20658799999999999</v>
      </c>
      <c r="I242" s="1409">
        <v>2.1538999999999998E-3</v>
      </c>
      <c r="J242" s="1410">
        <v>150.89999999999998</v>
      </c>
    </row>
    <row r="243" spans="2:10" x14ac:dyDescent="0.25">
      <c r="B243" s="1407" t="s">
        <v>698</v>
      </c>
      <c r="C243" s="1408">
        <v>2025</v>
      </c>
      <c r="D243" s="1407">
        <v>1787000</v>
      </c>
      <c r="E243" s="1409">
        <v>1356000</v>
      </c>
      <c r="F243" s="1410">
        <v>23200</v>
      </c>
      <c r="G243" s="1407">
        <v>145.11000000000001</v>
      </c>
      <c r="H243" s="1409">
        <v>0.20658799999999999</v>
      </c>
      <c r="I243" s="1409">
        <v>2.1538999999999998E-3</v>
      </c>
      <c r="J243" s="1410">
        <v>150.89999999999998</v>
      </c>
    </row>
    <row r="244" spans="2:10" x14ac:dyDescent="0.25">
      <c r="B244" s="1407" t="s">
        <v>684</v>
      </c>
      <c r="C244" s="1408">
        <v>2025</v>
      </c>
      <c r="D244" s="1407">
        <v>1787000</v>
      </c>
      <c r="E244" s="1409">
        <v>1356000</v>
      </c>
      <c r="F244" s="1410">
        <v>23200</v>
      </c>
      <c r="G244" s="1407">
        <v>145.11000000000001</v>
      </c>
      <c r="H244" s="1409">
        <v>0.20658799999999999</v>
      </c>
      <c r="I244" s="1409">
        <v>2.1538999999999998E-3</v>
      </c>
      <c r="J244" s="1410">
        <v>150.89999999999998</v>
      </c>
    </row>
    <row r="245" spans="2:10" x14ac:dyDescent="0.25">
      <c r="B245" s="1407" t="s">
        <v>1086</v>
      </c>
      <c r="C245" s="1408">
        <v>2025</v>
      </c>
      <c r="D245" s="1407">
        <v>1022000</v>
      </c>
      <c r="E245" s="1409">
        <v>1021000</v>
      </c>
      <c r="F245" s="1410">
        <v>15530</v>
      </c>
      <c r="G245" s="1407">
        <v>1.7374000000000001</v>
      </c>
      <c r="H245" s="1409">
        <v>0.14096106999999999</v>
      </c>
      <c r="I245" s="1409">
        <v>3.3522000000000002E-5</v>
      </c>
      <c r="J245" s="1410">
        <v>5.9969999999999999</v>
      </c>
    </row>
    <row r="246" spans="2:10" x14ac:dyDescent="0.25">
      <c r="B246" s="1407" t="s">
        <v>716</v>
      </c>
      <c r="C246" s="1408">
        <v>2025</v>
      </c>
      <c r="D246" s="1407">
        <v>1022000</v>
      </c>
      <c r="E246" s="1409">
        <v>1021000</v>
      </c>
      <c r="F246" s="1410">
        <v>15530</v>
      </c>
      <c r="G246" s="1407">
        <v>1.7374000000000001</v>
      </c>
      <c r="H246" s="1409">
        <v>0.14096106999999999</v>
      </c>
      <c r="I246" s="1409">
        <v>3.3522000000000002E-5</v>
      </c>
      <c r="J246" s="1410">
        <v>5.9969999999999999</v>
      </c>
    </row>
    <row r="247" spans="2:10" x14ac:dyDescent="0.25">
      <c r="B247" s="1407" t="s">
        <v>717</v>
      </c>
      <c r="C247" s="1408">
        <v>2025</v>
      </c>
      <c r="D247" s="1407">
        <v>1022000</v>
      </c>
      <c r="E247" s="1409">
        <v>1021000</v>
      </c>
      <c r="F247" s="1410">
        <v>15530</v>
      </c>
      <c r="G247" s="1407">
        <v>1.7374000000000001</v>
      </c>
      <c r="H247" s="1409">
        <v>0.14096106999999999</v>
      </c>
      <c r="I247" s="1409">
        <v>3.3522000000000002E-5</v>
      </c>
      <c r="J247" s="1410">
        <v>5.9969999999999999</v>
      </c>
    </row>
    <row r="248" spans="2:10" x14ac:dyDescent="0.25">
      <c r="B248" s="1407" t="s">
        <v>911</v>
      </c>
      <c r="C248" s="1408">
        <v>2025</v>
      </c>
      <c r="D248" s="1407">
        <v>1210000</v>
      </c>
      <c r="E248" s="1409">
        <v>1203000</v>
      </c>
      <c r="F248" s="1410">
        <v>1052000</v>
      </c>
      <c r="G248" s="1407">
        <v>18.323</v>
      </c>
      <c r="H248" s="1409">
        <v>0.16309799999999999</v>
      </c>
      <c r="I248" s="1409">
        <v>2.9605000000000001E-4</v>
      </c>
      <c r="J248" s="1410">
        <v>23.334</v>
      </c>
    </row>
    <row r="249" spans="2:10" x14ac:dyDescent="0.25">
      <c r="B249" s="1407" t="s">
        <v>909</v>
      </c>
      <c r="C249" s="1408">
        <v>2025</v>
      </c>
      <c r="D249" s="1407">
        <v>1588000</v>
      </c>
      <c r="E249" s="1409">
        <v>698600</v>
      </c>
      <c r="F249" s="1410">
        <v>286300</v>
      </c>
      <c r="G249" s="1407">
        <v>38.775999999999996</v>
      </c>
      <c r="H249" s="1409">
        <v>0.1116</v>
      </c>
      <c r="I249" s="1409">
        <v>2.5360000000000001E-2</v>
      </c>
      <c r="J249" s="1410">
        <v>45.71</v>
      </c>
    </row>
    <row r="250" spans="2:10" x14ac:dyDescent="0.25">
      <c r="B250" s="1407" t="s">
        <v>912</v>
      </c>
      <c r="C250" s="1408">
        <v>2025</v>
      </c>
      <c r="D250" s="1407">
        <v>1251000</v>
      </c>
      <c r="E250" s="1409">
        <v>1243000</v>
      </c>
      <c r="F250" s="1410">
        <v>1078000</v>
      </c>
      <c r="G250" s="1407">
        <v>24.223999999999997</v>
      </c>
      <c r="H250" s="1409">
        <v>0.16872600000000001</v>
      </c>
      <c r="I250" s="1409">
        <v>3.8451000000000002E-4</v>
      </c>
      <c r="J250" s="1410">
        <v>29.523000000000003</v>
      </c>
    </row>
    <row r="251" spans="2:10" x14ac:dyDescent="0.25">
      <c r="B251" s="1407" t="s">
        <v>1080</v>
      </c>
      <c r="C251" s="1408">
        <v>2025</v>
      </c>
      <c r="D251" s="1407">
        <v>1190000</v>
      </c>
      <c r="E251" s="1409">
        <v>51790</v>
      </c>
      <c r="F251" s="1410">
        <v>29250</v>
      </c>
      <c r="G251" s="1407">
        <v>3.8201000000000001</v>
      </c>
      <c r="H251" s="1409">
        <v>8.410599999999999E-3</v>
      </c>
      <c r="I251" s="1409">
        <v>-3.8247120000000001E-3</v>
      </c>
      <c r="J251" s="1410">
        <v>3.0718000000000001</v>
      </c>
    </row>
    <row r="252" spans="2:10" x14ac:dyDescent="0.25">
      <c r="B252" s="1407" t="s">
        <v>815</v>
      </c>
      <c r="C252" s="1408">
        <v>2025</v>
      </c>
      <c r="D252" s="1407">
        <v>1190000</v>
      </c>
      <c r="E252" s="1409">
        <v>51790</v>
      </c>
      <c r="F252" s="1410">
        <v>29250</v>
      </c>
      <c r="G252" s="1407">
        <v>3.8201000000000001</v>
      </c>
      <c r="H252" s="1409">
        <v>8.410599999999999E-3</v>
      </c>
      <c r="I252" s="1409">
        <v>-3.8247120000000001E-3</v>
      </c>
      <c r="J252" s="1410">
        <v>3.0718000000000001</v>
      </c>
    </row>
    <row r="253" spans="2:10" x14ac:dyDescent="0.25">
      <c r="B253" s="1407" t="s">
        <v>824</v>
      </c>
      <c r="C253" s="1408">
        <v>2025</v>
      </c>
      <c r="D253" s="1407">
        <v>1190000</v>
      </c>
      <c r="E253" s="1409">
        <v>51790</v>
      </c>
      <c r="F253" s="1410">
        <v>29250</v>
      </c>
      <c r="G253" s="1407">
        <v>3.8201000000000001</v>
      </c>
      <c r="H253" s="1409">
        <v>8.410599999999999E-3</v>
      </c>
      <c r="I253" s="1409">
        <v>-3.8247120000000001E-3</v>
      </c>
      <c r="J253" s="1410">
        <v>3.0718000000000001</v>
      </c>
    </row>
    <row r="254" spans="2:10" ht="13" thickBot="1" x14ac:dyDescent="0.3">
      <c r="B254" s="1411" t="s">
        <v>1087</v>
      </c>
      <c r="C254" s="1412">
        <v>2025</v>
      </c>
      <c r="D254" s="1411">
        <v>1384000</v>
      </c>
      <c r="E254" s="1413">
        <v>1383000</v>
      </c>
      <c r="F254" s="1414">
        <v>5053</v>
      </c>
      <c r="G254" s="1411">
        <v>78.616100000000003</v>
      </c>
      <c r="H254" s="1413">
        <v>0.27494000000000002</v>
      </c>
      <c r="I254" s="1413">
        <v>2.3316999999999999E-3</v>
      </c>
      <c r="J254" s="1414">
        <v>87.639700000000005</v>
      </c>
    </row>
    <row r="255" spans="2:10" x14ac:dyDescent="0.25">
      <c r="B255" s="1403" t="s">
        <v>1084</v>
      </c>
      <c r="C255" s="1404">
        <v>2030</v>
      </c>
      <c r="D255" s="1403">
        <v>1092000</v>
      </c>
      <c r="E255" s="1405">
        <v>1092000</v>
      </c>
      <c r="F255" s="1406">
        <v>3981</v>
      </c>
      <c r="G255" s="1403">
        <v>5.7552000000000003</v>
      </c>
      <c r="H255" s="1405">
        <v>0.18462100000000001</v>
      </c>
      <c r="I255" s="1405">
        <v>8.6129999999999996E-4</v>
      </c>
      <c r="J255" s="1406">
        <v>11.5802</v>
      </c>
    </row>
    <row r="256" spans="2:10" x14ac:dyDescent="0.25">
      <c r="B256" s="1407" t="s">
        <v>283</v>
      </c>
      <c r="C256" s="1408">
        <v>2030</v>
      </c>
      <c r="D256" s="1407">
        <v>1092000</v>
      </c>
      <c r="E256" s="1409">
        <v>1092000</v>
      </c>
      <c r="F256" s="1410">
        <v>3981</v>
      </c>
      <c r="G256" s="1407">
        <v>5.7552000000000003</v>
      </c>
      <c r="H256" s="1409">
        <v>0.18462100000000001</v>
      </c>
      <c r="I256" s="1409">
        <v>8.6129999999999996E-4</v>
      </c>
      <c r="J256" s="1410">
        <v>11.5802</v>
      </c>
    </row>
    <row r="257" spans="2:10" x14ac:dyDescent="0.25">
      <c r="B257" s="1407" t="s">
        <v>1085</v>
      </c>
      <c r="C257" s="1408">
        <v>2030</v>
      </c>
      <c r="D257" s="1407">
        <v>1092000</v>
      </c>
      <c r="E257" s="1409">
        <v>1092000</v>
      </c>
      <c r="F257" s="1410">
        <v>3981</v>
      </c>
      <c r="G257" s="1407">
        <v>5.7552000000000003</v>
      </c>
      <c r="H257" s="1409">
        <v>0.18462100000000001</v>
      </c>
      <c r="I257" s="1409">
        <v>8.6129999999999996E-4</v>
      </c>
      <c r="J257" s="1410">
        <v>11.5802</v>
      </c>
    </row>
    <row r="258" spans="2:10" x14ac:dyDescent="0.25">
      <c r="B258" s="1407" t="s">
        <v>681</v>
      </c>
      <c r="C258" s="1408">
        <v>2030</v>
      </c>
      <c r="D258" s="1407">
        <v>1092000</v>
      </c>
      <c r="E258" s="1409">
        <v>1092000</v>
      </c>
      <c r="F258" s="1410">
        <v>3981</v>
      </c>
      <c r="G258" s="1407">
        <v>5.7552000000000003</v>
      </c>
      <c r="H258" s="1409">
        <v>0.18462100000000001</v>
      </c>
      <c r="I258" s="1409">
        <v>8.6129999999999996E-4</v>
      </c>
      <c r="J258" s="1410">
        <v>11.5802</v>
      </c>
    </row>
    <row r="259" spans="2:10" x14ac:dyDescent="0.25">
      <c r="B259" s="1407" t="s">
        <v>682</v>
      </c>
      <c r="C259" s="1408">
        <v>2030</v>
      </c>
      <c r="D259" s="1407">
        <v>-1185000</v>
      </c>
      <c r="E259" s="1409">
        <v>0</v>
      </c>
      <c r="F259" s="1410">
        <v>0</v>
      </c>
      <c r="G259" s="1407">
        <v>-85.800000000000011</v>
      </c>
      <c r="H259" s="1409">
        <v>0.54700000000000004</v>
      </c>
      <c r="I259" s="1409">
        <v>-1.8286999999999999E-3</v>
      </c>
      <c r="J259" s="1410">
        <v>-70.08</v>
      </c>
    </row>
    <row r="260" spans="2:10" x14ac:dyDescent="0.25">
      <c r="B260" s="1407" t="s">
        <v>683</v>
      </c>
      <c r="C260" s="1408">
        <v>2030</v>
      </c>
      <c r="D260" s="1407">
        <v>1749000</v>
      </c>
      <c r="E260" s="1409">
        <v>1310000</v>
      </c>
      <c r="F260" s="1410">
        <v>19790</v>
      </c>
      <c r="G260" s="1407">
        <v>134.88</v>
      </c>
      <c r="H260" s="1409">
        <v>0.20275799999999999</v>
      </c>
      <c r="I260" s="1409">
        <v>1.9713E-3</v>
      </c>
      <c r="J260" s="1410">
        <v>140.09</v>
      </c>
    </row>
    <row r="261" spans="2:10" x14ac:dyDescent="0.25">
      <c r="B261" s="1407" t="s">
        <v>698</v>
      </c>
      <c r="C261" s="1408">
        <v>2030</v>
      </c>
      <c r="D261" s="1407">
        <v>1749000</v>
      </c>
      <c r="E261" s="1409">
        <v>1310000</v>
      </c>
      <c r="F261" s="1410">
        <v>19790</v>
      </c>
      <c r="G261" s="1407">
        <v>134.88</v>
      </c>
      <c r="H261" s="1409">
        <v>0.20275799999999999</v>
      </c>
      <c r="I261" s="1409">
        <v>1.9713E-3</v>
      </c>
      <c r="J261" s="1410">
        <v>140.09</v>
      </c>
    </row>
    <row r="262" spans="2:10" x14ac:dyDescent="0.25">
      <c r="B262" s="1407" t="s">
        <v>684</v>
      </c>
      <c r="C262" s="1408">
        <v>2030</v>
      </c>
      <c r="D262" s="1407">
        <v>1749000</v>
      </c>
      <c r="E262" s="1409">
        <v>1310000</v>
      </c>
      <c r="F262" s="1410">
        <v>19790</v>
      </c>
      <c r="G262" s="1407">
        <v>134.88</v>
      </c>
      <c r="H262" s="1409">
        <v>0.20275799999999999</v>
      </c>
      <c r="I262" s="1409">
        <v>1.9713E-3</v>
      </c>
      <c r="J262" s="1410">
        <v>140.09</v>
      </c>
    </row>
    <row r="263" spans="2:10" x14ac:dyDescent="0.25">
      <c r="B263" s="1407" t="s">
        <v>1086</v>
      </c>
      <c r="C263" s="1408">
        <v>2030</v>
      </c>
      <c r="D263" s="1407">
        <v>1022000</v>
      </c>
      <c r="E263" s="1409">
        <v>1021000</v>
      </c>
      <c r="F263" s="1410">
        <v>15520</v>
      </c>
      <c r="G263" s="1407">
        <v>1.716</v>
      </c>
      <c r="H263" s="1409">
        <v>0.14096175</v>
      </c>
      <c r="I263" s="1409">
        <v>3.3149000000000004E-5</v>
      </c>
      <c r="J263" s="1410">
        <v>5.9754000000000005</v>
      </c>
    </row>
    <row r="264" spans="2:10" x14ac:dyDescent="0.25">
      <c r="B264" s="1407" t="s">
        <v>716</v>
      </c>
      <c r="C264" s="1408">
        <v>2030</v>
      </c>
      <c r="D264" s="1407">
        <v>1022000</v>
      </c>
      <c r="E264" s="1409">
        <v>1021000</v>
      </c>
      <c r="F264" s="1410">
        <v>15520</v>
      </c>
      <c r="G264" s="1407">
        <v>1.716</v>
      </c>
      <c r="H264" s="1409">
        <v>0.14096175</v>
      </c>
      <c r="I264" s="1409">
        <v>3.3149000000000004E-5</v>
      </c>
      <c r="J264" s="1410">
        <v>5.9754000000000005</v>
      </c>
    </row>
    <row r="265" spans="2:10" x14ac:dyDescent="0.25">
      <c r="B265" s="1407" t="s">
        <v>717</v>
      </c>
      <c r="C265" s="1408">
        <v>2030</v>
      </c>
      <c r="D265" s="1407">
        <v>1022000</v>
      </c>
      <c r="E265" s="1409">
        <v>1021000</v>
      </c>
      <c r="F265" s="1410">
        <v>15520</v>
      </c>
      <c r="G265" s="1407">
        <v>1.716</v>
      </c>
      <c r="H265" s="1409">
        <v>0.14096175</v>
      </c>
      <c r="I265" s="1409">
        <v>3.3149000000000004E-5</v>
      </c>
      <c r="J265" s="1410">
        <v>5.9754000000000005</v>
      </c>
    </row>
    <row r="266" spans="2:10" x14ac:dyDescent="0.25">
      <c r="B266" s="1407" t="s">
        <v>911</v>
      </c>
      <c r="C266" s="1408">
        <v>2030</v>
      </c>
      <c r="D266" s="1407">
        <v>1209000</v>
      </c>
      <c r="E266" s="1409">
        <v>1202000</v>
      </c>
      <c r="F266" s="1410">
        <v>1052000</v>
      </c>
      <c r="G266" s="1407">
        <v>18.120999999999999</v>
      </c>
      <c r="H266" s="1409">
        <v>0.16412299999999999</v>
      </c>
      <c r="I266" s="1409">
        <v>2.9339999999999998E-4</v>
      </c>
      <c r="J266" s="1410">
        <v>23.162000000000003</v>
      </c>
    </row>
    <row r="267" spans="2:10" x14ac:dyDescent="0.25">
      <c r="B267" s="1407" t="s">
        <v>909</v>
      </c>
      <c r="C267" s="1408">
        <v>2030</v>
      </c>
      <c r="D267" s="1407">
        <v>1586000</v>
      </c>
      <c r="E267" s="1409">
        <v>697000</v>
      </c>
      <c r="F267" s="1410">
        <v>286200</v>
      </c>
      <c r="G267" s="1407">
        <v>38.404000000000003</v>
      </c>
      <c r="H267" s="1409">
        <v>0.1118</v>
      </c>
      <c r="I267" s="1409">
        <v>2.5350000000000001E-2</v>
      </c>
      <c r="J267" s="1410">
        <v>45.44</v>
      </c>
    </row>
    <row r="268" spans="2:10" x14ac:dyDescent="0.25">
      <c r="B268" s="1407" t="s">
        <v>912</v>
      </c>
      <c r="C268" s="1408">
        <v>2030</v>
      </c>
      <c r="D268" s="1407">
        <v>1250000</v>
      </c>
      <c r="E268" s="1409">
        <v>1242000</v>
      </c>
      <c r="F268" s="1410">
        <v>1078000</v>
      </c>
      <c r="G268" s="1407">
        <v>24.006999999999998</v>
      </c>
      <c r="H268" s="1409">
        <v>0.16975200000000001</v>
      </c>
      <c r="I268" s="1409">
        <v>3.8147000000000002E-4</v>
      </c>
      <c r="J268" s="1410">
        <v>29.335999999999999</v>
      </c>
    </row>
    <row r="269" spans="2:10" x14ac:dyDescent="0.25">
      <c r="B269" s="1407" t="s">
        <v>1080</v>
      </c>
      <c r="C269" s="1408">
        <v>2030</v>
      </c>
      <c r="D269" s="1407">
        <v>1190000</v>
      </c>
      <c r="E269" s="1409">
        <v>51650</v>
      </c>
      <c r="F269" s="1410">
        <v>29230</v>
      </c>
      <c r="G269" s="1407">
        <v>3.7881999999999998</v>
      </c>
      <c r="H269" s="1409">
        <v>8.4297E-3</v>
      </c>
      <c r="I269" s="1409">
        <v>-3.825901E-3</v>
      </c>
      <c r="J269" s="1410">
        <v>3.0377000000000001</v>
      </c>
    </row>
    <row r="270" spans="2:10" x14ac:dyDescent="0.25">
      <c r="B270" s="1407" t="s">
        <v>815</v>
      </c>
      <c r="C270" s="1408">
        <v>2030</v>
      </c>
      <c r="D270" s="1407">
        <v>1190000</v>
      </c>
      <c r="E270" s="1409">
        <v>51650</v>
      </c>
      <c r="F270" s="1410">
        <v>29230</v>
      </c>
      <c r="G270" s="1407">
        <v>3.7881999999999998</v>
      </c>
      <c r="H270" s="1409">
        <v>8.4297E-3</v>
      </c>
      <c r="I270" s="1409">
        <v>-3.825901E-3</v>
      </c>
      <c r="J270" s="1410">
        <v>3.0377000000000001</v>
      </c>
    </row>
    <row r="271" spans="2:10" x14ac:dyDescent="0.25">
      <c r="B271" s="1407" t="s">
        <v>824</v>
      </c>
      <c r="C271" s="1408">
        <v>2030</v>
      </c>
      <c r="D271" s="1407">
        <v>1190000</v>
      </c>
      <c r="E271" s="1409">
        <v>51650</v>
      </c>
      <c r="F271" s="1410">
        <v>29230</v>
      </c>
      <c r="G271" s="1407">
        <v>3.7881999999999998</v>
      </c>
      <c r="H271" s="1409">
        <v>8.4297E-3</v>
      </c>
      <c r="I271" s="1409">
        <v>-3.825901E-3</v>
      </c>
      <c r="J271" s="1410">
        <v>3.0377000000000001</v>
      </c>
    </row>
    <row r="272" spans="2:10" ht="13" thickBot="1" x14ac:dyDescent="0.3">
      <c r="B272" s="1411" t="s">
        <v>1087</v>
      </c>
      <c r="C272" s="1412">
        <v>2030</v>
      </c>
      <c r="D272" s="1411">
        <v>1384000</v>
      </c>
      <c r="E272" s="1413">
        <v>1383000</v>
      </c>
      <c r="F272" s="1414">
        <v>5048</v>
      </c>
      <c r="G272" s="1411">
        <v>78.598700000000008</v>
      </c>
      <c r="H272" s="1413">
        <v>0.27484000000000003</v>
      </c>
      <c r="I272" s="1413">
        <v>2.3306000000000004E-3</v>
      </c>
      <c r="J272" s="1414">
        <v>87.622100000000003</v>
      </c>
    </row>
    <row r="273" spans="2:10" x14ac:dyDescent="0.25">
      <c r="B273" s="1403" t="s">
        <v>1084</v>
      </c>
      <c r="C273" s="1404">
        <v>2035</v>
      </c>
      <c r="D273" s="1403">
        <v>1092000</v>
      </c>
      <c r="E273" s="1405">
        <v>1092000</v>
      </c>
      <c r="F273" s="1406">
        <v>3981</v>
      </c>
      <c r="G273" s="1403">
        <v>5.7552000000000003</v>
      </c>
      <c r="H273" s="1405">
        <v>0.18462100000000001</v>
      </c>
      <c r="I273" s="1405">
        <v>8.6129999999999996E-4</v>
      </c>
      <c r="J273" s="1406">
        <v>11.5802</v>
      </c>
    </row>
    <row r="274" spans="2:10" x14ac:dyDescent="0.25">
      <c r="B274" s="1407" t="s">
        <v>283</v>
      </c>
      <c r="C274" s="1408">
        <v>2035</v>
      </c>
      <c r="D274" s="1407">
        <v>1092000</v>
      </c>
      <c r="E274" s="1409">
        <v>1092000</v>
      </c>
      <c r="F274" s="1410">
        <v>3981</v>
      </c>
      <c r="G274" s="1407">
        <v>5.7552000000000003</v>
      </c>
      <c r="H274" s="1409">
        <v>0.18462100000000001</v>
      </c>
      <c r="I274" s="1409">
        <v>8.6129999999999996E-4</v>
      </c>
      <c r="J274" s="1410">
        <v>11.5802</v>
      </c>
    </row>
    <row r="275" spans="2:10" x14ac:dyDescent="0.25">
      <c r="B275" s="1407" t="s">
        <v>1085</v>
      </c>
      <c r="C275" s="1408">
        <v>2035</v>
      </c>
      <c r="D275" s="1407">
        <v>1092000</v>
      </c>
      <c r="E275" s="1409">
        <v>1092000</v>
      </c>
      <c r="F275" s="1410">
        <v>3981</v>
      </c>
      <c r="G275" s="1407">
        <v>5.7552000000000003</v>
      </c>
      <c r="H275" s="1409">
        <v>0.18462100000000001</v>
      </c>
      <c r="I275" s="1409">
        <v>8.6129999999999996E-4</v>
      </c>
      <c r="J275" s="1410">
        <v>11.5802</v>
      </c>
    </row>
    <row r="276" spans="2:10" x14ac:dyDescent="0.25">
      <c r="B276" s="1407" t="s">
        <v>681</v>
      </c>
      <c r="C276" s="1408">
        <v>2035</v>
      </c>
      <c r="D276" s="1407">
        <v>1092000</v>
      </c>
      <c r="E276" s="1409">
        <v>1092000</v>
      </c>
      <c r="F276" s="1410">
        <v>3981</v>
      </c>
      <c r="G276" s="1407">
        <v>5.7552000000000003</v>
      </c>
      <c r="H276" s="1409">
        <v>0.18462100000000001</v>
      </c>
      <c r="I276" s="1409">
        <v>8.6129999999999996E-4</v>
      </c>
      <c r="J276" s="1410">
        <v>11.5802</v>
      </c>
    </row>
    <row r="277" spans="2:10" x14ac:dyDescent="0.25">
      <c r="B277" s="1407" t="s">
        <v>682</v>
      </c>
      <c r="C277" s="1408">
        <v>2035</v>
      </c>
      <c r="D277" s="1407">
        <v>-1185000</v>
      </c>
      <c r="E277" s="1409">
        <v>0</v>
      </c>
      <c r="F277" s="1410">
        <v>0</v>
      </c>
      <c r="G277" s="1407">
        <v>-85.800000000000011</v>
      </c>
      <c r="H277" s="1409">
        <v>0.54700000000000004</v>
      </c>
      <c r="I277" s="1409">
        <v>-1.8286999999999999E-3</v>
      </c>
      <c r="J277" s="1410">
        <v>-70.08</v>
      </c>
    </row>
    <row r="278" spans="2:10" x14ac:dyDescent="0.25">
      <c r="B278" s="1407" t="s">
        <v>683</v>
      </c>
      <c r="C278" s="1408">
        <v>2035</v>
      </c>
      <c r="D278" s="1407">
        <v>1745000</v>
      </c>
      <c r="E278" s="1409">
        <v>1314000</v>
      </c>
      <c r="F278" s="1410">
        <v>18650</v>
      </c>
      <c r="G278" s="1407">
        <v>132.69</v>
      </c>
      <c r="H278" s="1409">
        <v>0.204869</v>
      </c>
      <c r="I278" s="1409">
        <v>1.9257999999999999E-3</v>
      </c>
      <c r="J278" s="1410">
        <v>137.91999999999999</v>
      </c>
    </row>
    <row r="279" spans="2:10" x14ac:dyDescent="0.25">
      <c r="B279" s="1407" t="s">
        <v>698</v>
      </c>
      <c r="C279" s="1408">
        <v>2035</v>
      </c>
      <c r="D279" s="1407">
        <v>1745000</v>
      </c>
      <c r="E279" s="1409">
        <v>1314000</v>
      </c>
      <c r="F279" s="1410">
        <v>18650</v>
      </c>
      <c r="G279" s="1407">
        <v>132.69</v>
      </c>
      <c r="H279" s="1409">
        <v>0.204869</v>
      </c>
      <c r="I279" s="1409">
        <v>1.9257999999999999E-3</v>
      </c>
      <c r="J279" s="1410">
        <v>137.91999999999999</v>
      </c>
    </row>
    <row r="280" spans="2:10" x14ac:dyDescent="0.25">
      <c r="B280" s="1407" t="s">
        <v>684</v>
      </c>
      <c r="C280" s="1408">
        <v>2035</v>
      </c>
      <c r="D280" s="1407">
        <v>1745000</v>
      </c>
      <c r="E280" s="1409">
        <v>1314000</v>
      </c>
      <c r="F280" s="1410">
        <v>18650</v>
      </c>
      <c r="G280" s="1407">
        <v>132.69</v>
      </c>
      <c r="H280" s="1409">
        <v>0.204869</v>
      </c>
      <c r="I280" s="1409">
        <v>1.9257999999999999E-3</v>
      </c>
      <c r="J280" s="1410">
        <v>137.91999999999999</v>
      </c>
    </row>
    <row r="281" spans="2:10" x14ac:dyDescent="0.25">
      <c r="B281" s="1407" t="s">
        <v>1086</v>
      </c>
      <c r="C281" s="1408">
        <v>2035</v>
      </c>
      <c r="D281" s="1407">
        <v>1022000</v>
      </c>
      <c r="E281" s="1409">
        <v>1021000</v>
      </c>
      <c r="F281" s="1410">
        <v>15520</v>
      </c>
      <c r="G281" s="1407">
        <v>1.7124999999999999</v>
      </c>
      <c r="H281" s="1409">
        <v>0.14096197999999999</v>
      </c>
      <c r="I281" s="1409">
        <v>3.3061000000000001E-5</v>
      </c>
      <c r="J281" s="1410">
        <v>5.9708000000000006</v>
      </c>
    </row>
    <row r="282" spans="2:10" x14ac:dyDescent="0.25">
      <c r="B282" s="1407" t="s">
        <v>716</v>
      </c>
      <c r="C282" s="1408">
        <v>2035</v>
      </c>
      <c r="D282" s="1407">
        <v>1022000</v>
      </c>
      <c r="E282" s="1409">
        <v>1021000</v>
      </c>
      <c r="F282" s="1410">
        <v>15520</v>
      </c>
      <c r="G282" s="1407">
        <v>1.7124999999999999</v>
      </c>
      <c r="H282" s="1409">
        <v>0.14096197999999999</v>
      </c>
      <c r="I282" s="1409">
        <v>3.3061000000000001E-5</v>
      </c>
      <c r="J282" s="1410">
        <v>5.9708000000000006</v>
      </c>
    </row>
    <row r="283" spans="2:10" x14ac:dyDescent="0.25">
      <c r="B283" s="1407" t="s">
        <v>717</v>
      </c>
      <c r="C283" s="1408">
        <v>2035</v>
      </c>
      <c r="D283" s="1407">
        <v>1022000</v>
      </c>
      <c r="E283" s="1409">
        <v>1021000</v>
      </c>
      <c r="F283" s="1410">
        <v>15520</v>
      </c>
      <c r="G283" s="1407">
        <v>1.7124999999999999</v>
      </c>
      <c r="H283" s="1409">
        <v>0.14096197999999999</v>
      </c>
      <c r="I283" s="1409">
        <v>3.3061000000000001E-5</v>
      </c>
      <c r="J283" s="1410">
        <v>5.9708000000000006</v>
      </c>
    </row>
    <row r="284" spans="2:10" x14ac:dyDescent="0.25">
      <c r="B284" s="1407" t="s">
        <v>911</v>
      </c>
      <c r="C284" s="1408">
        <v>2035</v>
      </c>
      <c r="D284" s="1407">
        <v>1209000</v>
      </c>
      <c r="E284" s="1409">
        <v>1202000</v>
      </c>
      <c r="F284" s="1410">
        <v>1052000</v>
      </c>
      <c r="G284" s="1407">
        <v>18.088999999999999</v>
      </c>
      <c r="H284" s="1409">
        <v>0.16412499999999999</v>
      </c>
      <c r="I284" s="1409">
        <v>2.9260000000000001E-4</v>
      </c>
      <c r="J284" s="1410">
        <v>23.119</v>
      </c>
    </row>
    <row r="285" spans="2:10" x14ac:dyDescent="0.25">
      <c r="B285" s="1407" t="s">
        <v>909</v>
      </c>
      <c r="C285" s="1408">
        <v>2035</v>
      </c>
      <c r="D285" s="1407">
        <v>1586000</v>
      </c>
      <c r="E285" s="1409">
        <v>697100</v>
      </c>
      <c r="F285" s="1410">
        <v>286100</v>
      </c>
      <c r="G285" s="1407">
        <v>38.326999999999998</v>
      </c>
      <c r="H285" s="1409">
        <v>0.1118</v>
      </c>
      <c r="I285" s="1409">
        <v>2.5350000000000001E-2</v>
      </c>
      <c r="J285" s="1410">
        <v>45.39</v>
      </c>
    </row>
    <row r="286" spans="2:10" x14ac:dyDescent="0.25">
      <c r="B286" s="1407" t="s">
        <v>912</v>
      </c>
      <c r="C286" s="1408">
        <v>2035</v>
      </c>
      <c r="D286" s="1407">
        <v>1250000</v>
      </c>
      <c r="E286" s="1409">
        <v>1242000</v>
      </c>
      <c r="F286" s="1410">
        <v>1078000</v>
      </c>
      <c r="G286" s="1407">
        <v>23.973999999999997</v>
      </c>
      <c r="H286" s="1409">
        <v>0.169854</v>
      </c>
      <c r="I286" s="1409">
        <v>3.8064000000000001E-4</v>
      </c>
      <c r="J286" s="1410">
        <v>29.302</v>
      </c>
    </row>
    <row r="287" spans="2:10" x14ac:dyDescent="0.25">
      <c r="B287" s="1407" t="s">
        <v>1080</v>
      </c>
      <c r="C287" s="1408">
        <v>2035</v>
      </c>
      <c r="D287" s="1407">
        <v>1190000</v>
      </c>
      <c r="E287" s="1409">
        <v>51660</v>
      </c>
      <c r="F287" s="1410">
        <v>29230</v>
      </c>
      <c r="G287" s="1407">
        <v>3.7818000000000001</v>
      </c>
      <c r="H287" s="1409">
        <v>8.4370999999999995E-3</v>
      </c>
      <c r="I287" s="1409">
        <v>-3.8259590000000003E-3</v>
      </c>
      <c r="J287" s="1410">
        <v>3.0312999999999999</v>
      </c>
    </row>
    <row r="288" spans="2:10" x14ac:dyDescent="0.25">
      <c r="B288" s="1407" t="s">
        <v>815</v>
      </c>
      <c r="C288" s="1408">
        <v>2035</v>
      </c>
      <c r="D288" s="1407">
        <v>1190000</v>
      </c>
      <c r="E288" s="1409">
        <v>51660</v>
      </c>
      <c r="F288" s="1410">
        <v>29230</v>
      </c>
      <c r="G288" s="1407">
        <v>3.7818000000000001</v>
      </c>
      <c r="H288" s="1409">
        <v>8.4370999999999995E-3</v>
      </c>
      <c r="I288" s="1409">
        <v>-3.8259590000000003E-3</v>
      </c>
      <c r="J288" s="1410">
        <v>3.0312999999999999</v>
      </c>
    </row>
    <row r="289" spans="2:10" x14ac:dyDescent="0.25">
      <c r="B289" s="1407" t="s">
        <v>824</v>
      </c>
      <c r="C289" s="1408">
        <v>2035</v>
      </c>
      <c r="D289" s="1407">
        <v>1190000</v>
      </c>
      <c r="E289" s="1409">
        <v>51660</v>
      </c>
      <c r="F289" s="1410">
        <v>29230</v>
      </c>
      <c r="G289" s="1407">
        <v>3.7818000000000001</v>
      </c>
      <c r="H289" s="1409">
        <v>8.4370999999999995E-3</v>
      </c>
      <c r="I289" s="1409">
        <v>-3.8259590000000003E-3</v>
      </c>
      <c r="J289" s="1410">
        <v>3.0312999999999999</v>
      </c>
    </row>
    <row r="290" spans="2:10" ht="13" thickBot="1" x14ac:dyDescent="0.3">
      <c r="B290" s="1411" t="s">
        <v>1087</v>
      </c>
      <c r="C290" s="1412">
        <v>2035</v>
      </c>
      <c r="D290" s="1411">
        <v>1384000</v>
      </c>
      <c r="E290" s="1413">
        <v>1383000</v>
      </c>
      <c r="F290" s="1414">
        <v>5034</v>
      </c>
      <c r="G290" s="1411">
        <v>78.571100000000001</v>
      </c>
      <c r="H290" s="1413">
        <v>0.27494000000000002</v>
      </c>
      <c r="I290" s="1413">
        <v>2.3304000000000003E-3</v>
      </c>
      <c r="J290" s="1414">
        <v>87.594300000000004</v>
      </c>
    </row>
    <row r="291" spans="2:10" x14ac:dyDescent="0.25">
      <c r="B291" s="1403" t="s">
        <v>1084</v>
      </c>
      <c r="C291" s="1404">
        <v>2040</v>
      </c>
      <c r="D291" s="1403">
        <v>1092000</v>
      </c>
      <c r="E291" s="1405">
        <v>1092000</v>
      </c>
      <c r="F291" s="1406">
        <v>3975</v>
      </c>
      <c r="G291" s="1403">
        <v>5.7453000000000003</v>
      </c>
      <c r="H291" s="1405">
        <v>0.18462200000000001</v>
      </c>
      <c r="I291" s="1405">
        <v>8.6110000000000006E-4</v>
      </c>
      <c r="J291" s="1406">
        <v>11.577199999999999</v>
      </c>
    </row>
    <row r="292" spans="2:10" x14ac:dyDescent="0.25">
      <c r="B292" s="1407" t="s">
        <v>283</v>
      </c>
      <c r="C292" s="1408">
        <v>2040</v>
      </c>
      <c r="D292" s="1407">
        <v>1092000</v>
      </c>
      <c r="E292" s="1409">
        <v>1092000</v>
      </c>
      <c r="F292" s="1410">
        <v>3975</v>
      </c>
      <c r="G292" s="1407">
        <v>5.7453000000000003</v>
      </c>
      <c r="H292" s="1409">
        <v>0.18462200000000001</v>
      </c>
      <c r="I292" s="1409">
        <v>8.6110000000000006E-4</v>
      </c>
      <c r="J292" s="1410">
        <v>11.577199999999999</v>
      </c>
    </row>
    <row r="293" spans="2:10" x14ac:dyDescent="0.25">
      <c r="B293" s="1407" t="s">
        <v>1085</v>
      </c>
      <c r="C293" s="1408">
        <v>2040</v>
      </c>
      <c r="D293" s="1407">
        <v>1092000</v>
      </c>
      <c r="E293" s="1409">
        <v>1092000</v>
      </c>
      <c r="F293" s="1410">
        <v>3975</v>
      </c>
      <c r="G293" s="1407">
        <v>5.7453000000000003</v>
      </c>
      <c r="H293" s="1409">
        <v>0.18462200000000001</v>
      </c>
      <c r="I293" s="1409">
        <v>8.6110000000000006E-4</v>
      </c>
      <c r="J293" s="1410">
        <v>11.577199999999999</v>
      </c>
    </row>
    <row r="294" spans="2:10" x14ac:dyDescent="0.25">
      <c r="B294" s="1407" t="s">
        <v>681</v>
      </c>
      <c r="C294" s="1408">
        <v>2040</v>
      </c>
      <c r="D294" s="1407">
        <v>1092000</v>
      </c>
      <c r="E294" s="1409">
        <v>1092000</v>
      </c>
      <c r="F294" s="1410">
        <v>3975</v>
      </c>
      <c r="G294" s="1407">
        <v>5.7453000000000003</v>
      </c>
      <c r="H294" s="1409">
        <v>0.18462200000000001</v>
      </c>
      <c r="I294" s="1409">
        <v>8.6110000000000006E-4</v>
      </c>
      <c r="J294" s="1410">
        <v>11.577199999999999</v>
      </c>
    </row>
    <row r="295" spans="2:10" x14ac:dyDescent="0.25">
      <c r="B295" s="1407" t="s">
        <v>682</v>
      </c>
      <c r="C295" s="1408">
        <v>2040</v>
      </c>
      <c r="D295" s="1407">
        <v>-1185000</v>
      </c>
      <c r="E295" s="1409">
        <v>0</v>
      </c>
      <c r="F295" s="1410">
        <v>0</v>
      </c>
      <c r="G295" s="1407">
        <v>-85.800000000000011</v>
      </c>
      <c r="H295" s="1409">
        <v>0.54700000000000004</v>
      </c>
      <c r="I295" s="1409">
        <v>-1.8286999999999999E-3</v>
      </c>
      <c r="J295" s="1410">
        <v>-70.08</v>
      </c>
    </row>
    <row r="296" spans="2:10" x14ac:dyDescent="0.25">
      <c r="B296" s="1407" t="s">
        <v>683</v>
      </c>
      <c r="C296" s="1408">
        <v>2040</v>
      </c>
      <c r="D296" s="1407">
        <v>1732000</v>
      </c>
      <c r="E296" s="1409">
        <v>1300000</v>
      </c>
      <c r="F296" s="1410">
        <v>17320</v>
      </c>
      <c r="G296" s="1407">
        <v>129.32</v>
      </c>
      <c r="H296" s="1409">
        <v>0.20383000000000001</v>
      </c>
      <c r="I296" s="1409">
        <v>1.8644999999999998E-3</v>
      </c>
      <c r="J296" s="1410">
        <v>134.37</v>
      </c>
    </row>
    <row r="297" spans="2:10" x14ac:dyDescent="0.25">
      <c r="B297" s="1407" t="s">
        <v>698</v>
      </c>
      <c r="C297" s="1408">
        <v>2040</v>
      </c>
      <c r="D297" s="1407">
        <v>1732000</v>
      </c>
      <c r="E297" s="1409">
        <v>1300000</v>
      </c>
      <c r="F297" s="1410">
        <v>17320</v>
      </c>
      <c r="G297" s="1407">
        <v>129.32</v>
      </c>
      <c r="H297" s="1409">
        <v>0.20383000000000001</v>
      </c>
      <c r="I297" s="1409">
        <v>1.8644999999999998E-3</v>
      </c>
      <c r="J297" s="1410">
        <v>134.37</v>
      </c>
    </row>
    <row r="298" spans="2:10" x14ac:dyDescent="0.25">
      <c r="B298" s="1407" t="s">
        <v>684</v>
      </c>
      <c r="C298" s="1408">
        <v>2040</v>
      </c>
      <c r="D298" s="1407">
        <v>1732000</v>
      </c>
      <c r="E298" s="1409">
        <v>1300000</v>
      </c>
      <c r="F298" s="1410">
        <v>17320</v>
      </c>
      <c r="G298" s="1407">
        <v>129.32</v>
      </c>
      <c r="H298" s="1409">
        <v>0.20383000000000001</v>
      </c>
      <c r="I298" s="1409">
        <v>1.8644999999999998E-3</v>
      </c>
      <c r="J298" s="1410">
        <v>134.37</v>
      </c>
    </row>
    <row r="299" spans="2:10" x14ac:dyDescent="0.25">
      <c r="B299" s="1407" t="s">
        <v>1086</v>
      </c>
      <c r="C299" s="1408">
        <v>2040</v>
      </c>
      <c r="D299" s="1407">
        <v>1022000</v>
      </c>
      <c r="E299" s="1409">
        <v>1021000</v>
      </c>
      <c r="F299" s="1410">
        <v>15510</v>
      </c>
      <c r="G299" s="1407">
        <v>1.7054</v>
      </c>
      <c r="H299" s="1409">
        <v>0.14096210000000001</v>
      </c>
      <c r="I299" s="1409">
        <v>3.2928999999999996E-5</v>
      </c>
      <c r="J299" s="1410">
        <v>5.9637000000000002</v>
      </c>
    </row>
    <row r="300" spans="2:10" x14ac:dyDescent="0.25">
      <c r="B300" s="1407" t="s">
        <v>716</v>
      </c>
      <c r="C300" s="1408">
        <v>2040</v>
      </c>
      <c r="D300" s="1407">
        <v>1022000</v>
      </c>
      <c r="E300" s="1409">
        <v>1021000</v>
      </c>
      <c r="F300" s="1410">
        <v>15510</v>
      </c>
      <c r="G300" s="1407">
        <v>1.7054</v>
      </c>
      <c r="H300" s="1409">
        <v>0.14096210000000001</v>
      </c>
      <c r="I300" s="1409">
        <v>3.2928999999999996E-5</v>
      </c>
      <c r="J300" s="1410">
        <v>5.9637000000000002</v>
      </c>
    </row>
    <row r="301" spans="2:10" x14ac:dyDescent="0.25">
      <c r="B301" s="1407" t="s">
        <v>717</v>
      </c>
      <c r="C301" s="1408">
        <v>2040</v>
      </c>
      <c r="D301" s="1407">
        <v>1022000</v>
      </c>
      <c r="E301" s="1409">
        <v>1021000</v>
      </c>
      <c r="F301" s="1410">
        <v>15510</v>
      </c>
      <c r="G301" s="1407">
        <v>1.7054</v>
      </c>
      <c r="H301" s="1409">
        <v>0.14096210000000001</v>
      </c>
      <c r="I301" s="1409">
        <v>3.2928999999999996E-5</v>
      </c>
      <c r="J301" s="1410">
        <v>5.9637000000000002</v>
      </c>
    </row>
    <row r="302" spans="2:10" x14ac:dyDescent="0.25">
      <c r="B302" s="1407" t="s">
        <v>911</v>
      </c>
      <c r="C302" s="1408">
        <v>2040</v>
      </c>
      <c r="D302" s="1407">
        <v>1209000</v>
      </c>
      <c r="E302" s="1409">
        <v>1202000</v>
      </c>
      <c r="F302" s="1410">
        <v>1052000</v>
      </c>
      <c r="G302" s="1407">
        <v>18.032</v>
      </c>
      <c r="H302" s="1409">
        <v>0.16412599999999999</v>
      </c>
      <c r="I302" s="1409">
        <v>2.9167E-4</v>
      </c>
      <c r="J302" s="1410">
        <v>23.062000000000001</v>
      </c>
    </row>
    <row r="303" spans="2:10" x14ac:dyDescent="0.25">
      <c r="B303" s="1407" t="s">
        <v>909</v>
      </c>
      <c r="C303" s="1408">
        <v>2040</v>
      </c>
      <c r="D303" s="1407">
        <v>1586000</v>
      </c>
      <c r="E303" s="1409">
        <v>696600</v>
      </c>
      <c r="F303" s="1410">
        <v>286100</v>
      </c>
      <c r="G303" s="1407">
        <v>38.200000000000003</v>
      </c>
      <c r="H303" s="1409">
        <v>0.1118</v>
      </c>
      <c r="I303" s="1409">
        <v>2.5350000000000001E-2</v>
      </c>
      <c r="J303" s="1410">
        <v>45.3</v>
      </c>
    </row>
    <row r="304" spans="2:10" x14ac:dyDescent="0.25">
      <c r="B304" s="1407" t="s">
        <v>912</v>
      </c>
      <c r="C304" s="1408">
        <v>2040</v>
      </c>
      <c r="D304" s="1407">
        <v>1250000</v>
      </c>
      <c r="E304" s="1409">
        <v>1242000</v>
      </c>
      <c r="F304" s="1410">
        <v>1078000</v>
      </c>
      <c r="G304" s="1407">
        <v>23.914999999999999</v>
      </c>
      <c r="H304" s="1409">
        <v>0.16985499999999998</v>
      </c>
      <c r="I304" s="1409">
        <v>3.7957999999999997E-4</v>
      </c>
      <c r="J304" s="1410">
        <v>29.232999999999997</v>
      </c>
    </row>
    <row r="305" spans="2:10" x14ac:dyDescent="0.25">
      <c r="B305" s="1407" t="s">
        <v>1080</v>
      </c>
      <c r="C305" s="1408">
        <v>2040</v>
      </c>
      <c r="D305" s="1407">
        <v>1190000</v>
      </c>
      <c r="E305" s="1409">
        <v>51610</v>
      </c>
      <c r="F305" s="1410">
        <v>29220</v>
      </c>
      <c r="G305" s="1407">
        <v>3.7715999999999998</v>
      </c>
      <c r="H305" s="1409">
        <v>8.4332999999999995E-3</v>
      </c>
      <c r="I305" s="1409">
        <v>-3.8260220000000001E-3</v>
      </c>
      <c r="J305" s="1410">
        <v>3.02</v>
      </c>
    </row>
    <row r="306" spans="2:10" x14ac:dyDescent="0.25">
      <c r="B306" s="1407" t="s">
        <v>815</v>
      </c>
      <c r="C306" s="1408">
        <v>2040</v>
      </c>
      <c r="D306" s="1407">
        <v>1190000</v>
      </c>
      <c r="E306" s="1409">
        <v>51610</v>
      </c>
      <c r="F306" s="1410">
        <v>29220</v>
      </c>
      <c r="G306" s="1407">
        <v>3.7715999999999998</v>
      </c>
      <c r="H306" s="1409">
        <v>8.4332999999999995E-3</v>
      </c>
      <c r="I306" s="1409">
        <v>-3.8260220000000001E-3</v>
      </c>
      <c r="J306" s="1410">
        <v>3.02</v>
      </c>
    </row>
    <row r="307" spans="2:10" x14ac:dyDescent="0.25">
      <c r="B307" s="1407" t="s">
        <v>824</v>
      </c>
      <c r="C307" s="1408">
        <v>2040</v>
      </c>
      <c r="D307" s="1407">
        <v>1190000</v>
      </c>
      <c r="E307" s="1409">
        <v>51610</v>
      </c>
      <c r="F307" s="1410">
        <v>29220</v>
      </c>
      <c r="G307" s="1407">
        <v>3.7715999999999998</v>
      </c>
      <c r="H307" s="1409">
        <v>8.4332999999999995E-3</v>
      </c>
      <c r="I307" s="1409">
        <v>-3.8260220000000001E-3</v>
      </c>
      <c r="J307" s="1410">
        <v>3.02</v>
      </c>
    </row>
    <row r="308" spans="2:10" ht="13" thickBot="1" x14ac:dyDescent="0.3">
      <c r="B308" s="1411" t="s">
        <v>1087</v>
      </c>
      <c r="C308" s="1412">
        <v>2040</v>
      </c>
      <c r="D308" s="1411">
        <v>1384000</v>
      </c>
      <c r="E308" s="1413">
        <v>1383000</v>
      </c>
      <c r="F308" s="1414">
        <v>5034</v>
      </c>
      <c r="G308" s="1411">
        <v>78.571100000000001</v>
      </c>
      <c r="H308" s="1413">
        <v>0.27494000000000002</v>
      </c>
      <c r="I308" s="1413">
        <v>2.3304000000000003E-3</v>
      </c>
      <c r="J308" s="1414">
        <v>87.594300000000004</v>
      </c>
    </row>
    <row r="309" spans="2:10" x14ac:dyDescent="0.25">
      <c r="B309" s="1403" t="s">
        <v>1084</v>
      </c>
      <c r="C309" s="1404">
        <v>2045</v>
      </c>
      <c r="D309" s="1403">
        <v>1092000</v>
      </c>
      <c r="E309" s="1405">
        <v>1092000</v>
      </c>
      <c r="F309" s="1406">
        <v>3972</v>
      </c>
      <c r="G309" s="1403">
        <v>5.7410000000000005</v>
      </c>
      <c r="H309" s="1405">
        <v>0.18462200000000001</v>
      </c>
      <c r="I309" s="1405">
        <v>8.6110000000000006E-4</v>
      </c>
      <c r="J309" s="1406">
        <v>11.565900000000001</v>
      </c>
    </row>
    <row r="310" spans="2:10" x14ac:dyDescent="0.25">
      <c r="B310" s="1407" t="s">
        <v>283</v>
      </c>
      <c r="C310" s="1408">
        <v>2045</v>
      </c>
      <c r="D310" s="1407">
        <v>1092000</v>
      </c>
      <c r="E310" s="1409">
        <v>1092000</v>
      </c>
      <c r="F310" s="1410">
        <v>3972</v>
      </c>
      <c r="G310" s="1407">
        <v>5.7410000000000005</v>
      </c>
      <c r="H310" s="1409">
        <v>0.18462200000000001</v>
      </c>
      <c r="I310" s="1409">
        <v>8.6110000000000006E-4</v>
      </c>
      <c r="J310" s="1410">
        <v>11.565900000000001</v>
      </c>
    </row>
    <row r="311" spans="2:10" x14ac:dyDescent="0.25">
      <c r="B311" s="1407" t="s">
        <v>1085</v>
      </c>
      <c r="C311" s="1408">
        <v>2045</v>
      </c>
      <c r="D311" s="1407">
        <v>1092000</v>
      </c>
      <c r="E311" s="1409">
        <v>1092000</v>
      </c>
      <c r="F311" s="1410">
        <v>3972</v>
      </c>
      <c r="G311" s="1407">
        <v>5.7410000000000005</v>
      </c>
      <c r="H311" s="1409">
        <v>0.18462200000000001</v>
      </c>
      <c r="I311" s="1409">
        <v>8.6110000000000006E-4</v>
      </c>
      <c r="J311" s="1410">
        <v>11.565900000000001</v>
      </c>
    </row>
    <row r="312" spans="2:10" x14ac:dyDescent="0.25">
      <c r="B312" s="1407" t="s">
        <v>681</v>
      </c>
      <c r="C312" s="1408">
        <v>2045</v>
      </c>
      <c r="D312" s="1407">
        <v>1092000</v>
      </c>
      <c r="E312" s="1409">
        <v>1092000</v>
      </c>
      <c r="F312" s="1410">
        <v>3972</v>
      </c>
      <c r="G312" s="1407">
        <v>5.7410000000000005</v>
      </c>
      <c r="H312" s="1409">
        <v>0.18462200000000001</v>
      </c>
      <c r="I312" s="1409">
        <v>8.6110000000000006E-4</v>
      </c>
      <c r="J312" s="1410">
        <v>11.565900000000001</v>
      </c>
    </row>
    <row r="313" spans="2:10" x14ac:dyDescent="0.25">
      <c r="B313" s="1407" t="s">
        <v>682</v>
      </c>
      <c r="C313" s="1408">
        <v>2045</v>
      </c>
      <c r="D313" s="1407">
        <v>-1185000</v>
      </c>
      <c r="E313" s="1409">
        <v>0</v>
      </c>
      <c r="F313" s="1410">
        <v>0</v>
      </c>
      <c r="G313" s="1407">
        <v>-85.800000000000011</v>
      </c>
      <c r="H313" s="1409">
        <v>0.54700000000000004</v>
      </c>
      <c r="I313" s="1409">
        <v>-1.8286999999999999E-3</v>
      </c>
      <c r="J313" s="1410">
        <v>-70.08</v>
      </c>
    </row>
    <row r="314" spans="2:10" x14ac:dyDescent="0.25">
      <c r="B314" s="1407" t="s">
        <v>683</v>
      </c>
      <c r="C314" s="1408">
        <v>2045</v>
      </c>
      <c r="D314" s="1407">
        <v>1724000</v>
      </c>
      <c r="E314" s="1409">
        <v>1293000</v>
      </c>
      <c r="F314" s="1410">
        <v>15580</v>
      </c>
      <c r="G314" s="1407">
        <v>126.71000000000001</v>
      </c>
      <c r="H314" s="1409">
        <v>0.203795</v>
      </c>
      <c r="I314" s="1409">
        <v>1.8165E-3</v>
      </c>
      <c r="J314" s="1410">
        <v>131.63</v>
      </c>
    </row>
    <row r="315" spans="2:10" x14ac:dyDescent="0.25">
      <c r="B315" s="1407" t="s">
        <v>698</v>
      </c>
      <c r="C315" s="1408">
        <v>2045</v>
      </c>
      <c r="D315" s="1407">
        <v>1724000</v>
      </c>
      <c r="E315" s="1409">
        <v>1293000</v>
      </c>
      <c r="F315" s="1410">
        <v>15580</v>
      </c>
      <c r="G315" s="1407">
        <v>126.71000000000001</v>
      </c>
      <c r="H315" s="1409">
        <v>0.203795</v>
      </c>
      <c r="I315" s="1409">
        <v>1.8165E-3</v>
      </c>
      <c r="J315" s="1410">
        <v>131.63</v>
      </c>
    </row>
    <row r="316" spans="2:10" x14ac:dyDescent="0.25">
      <c r="B316" s="1407" t="s">
        <v>684</v>
      </c>
      <c r="C316" s="1408">
        <v>2045</v>
      </c>
      <c r="D316" s="1407">
        <v>1724000</v>
      </c>
      <c r="E316" s="1409">
        <v>1293000</v>
      </c>
      <c r="F316" s="1410">
        <v>15580</v>
      </c>
      <c r="G316" s="1407">
        <v>126.71000000000001</v>
      </c>
      <c r="H316" s="1409">
        <v>0.203795</v>
      </c>
      <c r="I316" s="1409">
        <v>1.8165E-3</v>
      </c>
      <c r="J316" s="1410">
        <v>131.63</v>
      </c>
    </row>
    <row r="317" spans="2:10" x14ac:dyDescent="0.25">
      <c r="B317" s="1407" t="s">
        <v>1086</v>
      </c>
      <c r="C317" s="1408">
        <v>2045</v>
      </c>
      <c r="D317" s="1407">
        <v>1022000</v>
      </c>
      <c r="E317" s="1409">
        <v>1021000</v>
      </c>
      <c r="F317" s="1410">
        <v>15510</v>
      </c>
      <c r="G317" s="1407">
        <v>1.6997</v>
      </c>
      <c r="H317" s="1409">
        <v>0.14096223999999999</v>
      </c>
      <c r="I317" s="1409">
        <v>3.2833999999999998E-5</v>
      </c>
      <c r="J317" s="1410">
        <v>5.9580000000000002</v>
      </c>
    </row>
    <row r="318" spans="2:10" x14ac:dyDescent="0.25">
      <c r="B318" s="1407" t="s">
        <v>716</v>
      </c>
      <c r="C318" s="1408">
        <v>2045</v>
      </c>
      <c r="D318" s="1407">
        <v>1022000</v>
      </c>
      <c r="E318" s="1409">
        <v>1021000</v>
      </c>
      <c r="F318" s="1410">
        <v>15510</v>
      </c>
      <c r="G318" s="1407">
        <v>1.6997</v>
      </c>
      <c r="H318" s="1409">
        <v>0.14096223999999999</v>
      </c>
      <c r="I318" s="1409">
        <v>3.2833999999999998E-5</v>
      </c>
      <c r="J318" s="1410">
        <v>5.9580000000000002</v>
      </c>
    </row>
    <row r="319" spans="2:10" x14ac:dyDescent="0.25">
      <c r="B319" s="1407" t="s">
        <v>717</v>
      </c>
      <c r="C319" s="1408">
        <v>2045</v>
      </c>
      <c r="D319" s="1407">
        <v>1022000</v>
      </c>
      <c r="E319" s="1409">
        <v>1021000</v>
      </c>
      <c r="F319" s="1410">
        <v>15510</v>
      </c>
      <c r="G319" s="1407">
        <v>1.6997</v>
      </c>
      <c r="H319" s="1409">
        <v>0.14096223999999999</v>
      </c>
      <c r="I319" s="1409">
        <v>3.2833999999999998E-5</v>
      </c>
      <c r="J319" s="1410">
        <v>5.9580000000000002</v>
      </c>
    </row>
    <row r="320" spans="2:10" x14ac:dyDescent="0.25">
      <c r="B320" s="1407" t="s">
        <v>911</v>
      </c>
      <c r="C320" s="1408">
        <v>2045</v>
      </c>
      <c r="D320" s="1407">
        <v>1209000</v>
      </c>
      <c r="E320" s="1409">
        <v>1202000</v>
      </c>
      <c r="F320" s="1410">
        <v>1052000</v>
      </c>
      <c r="G320" s="1407">
        <v>17.989000000000001</v>
      </c>
      <c r="H320" s="1409">
        <v>0.164127</v>
      </c>
      <c r="I320" s="1409">
        <v>2.9079000000000003E-4</v>
      </c>
      <c r="J320" s="1410">
        <v>23.018999999999998</v>
      </c>
    </row>
    <row r="321" spans="2:10" x14ac:dyDescent="0.25">
      <c r="B321" s="1407" t="s">
        <v>909</v>
      </c>
      <c r="C321" s="1408">
        <v>2045</v>
      </c>
      <c r="D321" s="1407">
        <v>1586000</v>
      </c>
      <c r="E321" s="1409">
        <v>696300</v>
      </c>
      <c r="F321" s="1410">
        <v>286000</v>
      </c>
      <c r="G321" s="1407">
        <v>38.110999999999997</v>
      </c>
      <c r="H321" s="1409">
        <v>0.1118</v>
      </c>
      <c r="I321" s="1409">
        <v>2.5350000000000001E-2</v>
      </c>
      <c r="J321" s="1410">
        <v>45.23</v>
      </c>
    </row>
    <row r="322" spans="2:10" x14ac:dyDescent="0.25">
      <c r="B322" s="1407" t="s">
        <v>912</v>
      </c>
      <c r="C322" s="1408">
        <v>2045</v>
      </c>
      <c r="D322" s="1407">
        <v>1249000</v>
      </c>
      <c r="E322" s="1409">
        <v>1242000</v>
      </c>
      <c r="F322" s="1410">
        <v>1078000</v>
      </c>
      <c r="G322" s="1407">
        <v>23.861000000000001</v>
      </c>
      <c r="H322" s="1409">
        <v>0.16985599999999998</v>
      </c>
      <c r="I322" s="1409">
        <v>3.7867E-4</v>
      </c>
      <c r="J322" s="1410">
        <v>29.189</v>
      </c>
    </row>
    <row r="323" spans="2:10" x14ac:dyDescent="0.25">
      <c r="B323" s="1407" t="s">
        <v>1080</v>
      </c>
      <c r="C323" s="1408">
        <v>2045</v>
      </c>
      <c r="D323" s="1407">
        <v>1190000</v>
      </c>
      <c r="E323" s="1409">
        <v>51590</v>
      </c>
      <c r="F323" s="1410">
        <v>29220</v>
      </c>
      <c r="G323" s="1407">
        <v>3.7631000000000001</v>
      </c>
      <c r="H323" s="1409">
        <v>8.4335E-3</v>
      </c>
      <c r="I323" s="1409">
        <v>-3.8260760000000003E-3</v>
      </c>
      <c r="J323" s="1410">
        <v>3.0114000000000001</v>
      </c>
    </row>
    <row r="324" spans="2:10" x14ac:dyDescent="0.25">
      <c r="B324" s="1407" t="s">
        <v>815</v>
      </c>
      <c r="C324" s="1408">
        <v>2045</v>
      </c>
      <c r="D324" s="1407">
        <v>1190000</v>
      </c>
      <c r="E324" s="1409">
        <v>51590</v>
      </c>
      <c r="F324" s="1410">
        <v>29220</v>
      </c>
      <c r="G324" s="1407">
        <v>3.7631000000000001</v>
      </c>
      <c r="H324" s="1409">
        <v>8.4335E-3</v>
      </c>
      <c r="I324" s="1409">
        <v>-3.8260760000000003E-3</v>
      </c>
      <c r="J324" s="1410">
        <v>3.0114000000000001</v>
      </c>
    </row>
    <row r="325" spans="2:10" x14ac:dyDescent="0.25">
      <c r="B325" s="1407" t="s">
        <v>824</v>
      </c>
      <c r="C325" s="1408">
        <v>2045</v>
      </c>
      <c r="D325" s="1407">
        <v>1190000</v>
      </c>
      <c r="E325" s="1409">
        <v>51590</v>
      </c>
      <c r="F325" s="1410">
        <v>29220</v>
      </c>
      <c r="G325" s="1407">
        <v>3.7631000000000001</v>
      </c>
      <c r="H325" s="1409">
        <v>8.4335E-3</v>
      </c>
      <c r="I325" s="1409">
        <v>-3.8260760000000003E-3</v>
      </c>
      <c r="J325" s="1410">
        <v>3.0114000000000001</v>
      </c>
    </row>
    <row r="326" spans="2:10" ht="13" thickBot="1" x14ac:dyDescent="0.3">
      <c r="B326" s="1411" t="s">
        <v>1087</v>
      </c>
      <c r="C326" s="1412">
        <v>2045</v>
      </c>
      <c r="D326" s="1411">
        <v>1384000</v>
      </c>
      <c r="E326" s="1413">
        <v>1383000</v>
      </c>
      <c r="F326" s="1414">
        <v>5034</v>
      </c>
      <c r="G326" s="1411">
        <v>78.571100000000001</v>
      </c>
      <c r="H326" s="1413">
        <v>0.27494000000000002</v>
      </c>
      <c r="I326" s="1413">
        <v>2.3304000000000003E-3</v>
      </c>
      <c r="J326" s="1414">
        <v>87.594300000000004</v>
      </c>
    </row>
    <row r="327" spans="2:10" x14ac:dyDescent="0.25">
      <c r="B327" s="1403" t="s">
        <v>1084</v>
      </c>
      <c r="C327" s="1404">
        <v>2050</v>
      </c>
      <c r="D327" s="1403">
        <v>1092000</v>
      </c>
      <c r="E327" s="1405">
        <v>1092000</v>
      </c>
      <c r="F327" s="1406">
        <v>3971</v>
      </c>
      <c r="G327" s="1403">
        <v>5.7390999999999996</v>
      </c>
      <c r="H327" s="1405">
        <v>0.18462200000000001</v>
      </c>
      <c r="I327" s="1405">
        <v>8.61E-4</v>
      </c>
      <c r="J327" s="1406">
        <v>11.5648</v>
      </c>
    </row>
    <row r="328" spans="2:10" x14ac:dyDescent="0.25">
      <c r="B328" s="1407" t="s">
        <v>283</v>
      </c>
      <c r="C328" s="1408">
        <v>2050</v>
      </c>
      <c r="D328" s="1407">
        <v>1092000</v>
      </c>
      <c r="E328" s="1409">
        <v>1092000</v>
      </c>
      <c r="F328" s="1410">
        <v>3971</v>
      </c>
      <c r="G328" s="1407">
        <v>5.7390999999999996</v>
      </c>
      <c r="H328" s="1409">
        <v>0.18462200000000001</v>
      </c>
      <c r="I328" s="1409">
        <v>8.61E-4</v>
      </c>
      <c r="J328" s="1410">
        <v>11.5648</v>
      </c>
    </row>
    <row r="329" spans="2:10" x14ac:dyDescent="0.25">
      <c r="B329" s="1407" t="s">
        <v>1085</v>
      </c>
      <c r="C329" s="1408">
        <v>2050</v>
      </c>
      <c r="D329" s="1407">
        <v>1092000</v>
      </c>
      <c r="E329" s="1409">
        <v>1092000</v>
      </c>
      <c r="F329" s="1410">
        <v>3971</v>
      </c>
      <c r="G329" s="1407">
        <v>5.7390999999999996</v>
      </c>
      <c r="H329" s="1409">
        <v>0.18462200000000001</v>
      </c>
      <c r="I329" s="1409">
        <v>8.61E-4</v>
      </c>
      <c r="J329" s="1410">
        <v>11.5648</v>
      </c>
    </row>
    <row r="330" spans="2:10" x14ac:dyDescent="0.25">
      <c r="B330" s="1407" t="s">
        <v>681</v>
      </c>
      <c r="C330" s="1408">
        <v>2050</v>
      </c>
      <c r="D330" s="1407">
        <v>1092000</v>
      </c>
      <c r="E330" s="1409">
        <v>1092000</v>
      </c>
      <c r="F330" s="1410">
        <v>3971</v>
      </c>
      <c r="G330" s="1407">
        <v>5.7390999999999996</v>
      </c>
      <c r="H330" s="1409">
        <v>0.18462200000000001</v>
      </c>
      <c r="I330" s="1409">
        <v>8.61E-4</v>
      </c>
      <c r="J330" s="1410">
        <v>11.5648</v>
      </c>
    </row>
    <row r="331" spans="2:10" x14ac:dyDescent="0.25">
      <c r="B331" s="1407" t="s">
        <v>682</v>
      </c>
      <c r="C331" s="1408">
        <v>2050</v>
      </c>
      <c r="D331" s="1407">
        <v>-1185000</v>
      </c>
      <c r="E331" s="1409">
        <v>0</v>
      </c>
      <c r="F331" s="1410">
        <v>0</v>
      </c>
      <c r="G331" s="1407">
        <v>-85.800000000000011</v>
      </c>
      <c r="H331" s="1409">
        <v>0.54700000000000004</v>
      </c>
      <c r="I331" s="1409">
        <v>-1.8286999999999999E-3</v>
      </c>
      <c r="J331" s="1410">
        <v>-70.08</v>
      </c>
    </row>
    <row r="332" spans="2:10" x14ac:dyDescent="0.25">
      <c r="B332" s="1407" t="s">
        <v>683</v>
      </c>
      <c r="C332" s="1408">
        <v>2050</v>
      </c>
      <c r="D332" s="1407">
        <v>1721000</v>
      </c>
      <c r="E332" s="1409">
        <v>1293000</v>
      </c>
      <c r="F332" s="1410">
        <v>15050</v>
      </c>
      <c r="G332" s="1407">
        <v>125.08</v>
      </c>
      <c r="H332" s="1409">
        <v>0.20477100000000001</v>
      </c>
      <c r="I332" s="1409">
        <v>1.7827000000000001E-3</v>
      </c>
      <c r="J332" s="1410">
        <v>129.82</v>
      </c>
    </row>
    <row r="333" spans="2:10" x14ac:dyDescent="0.25">
      <c r="B333" s="1407" t="s">
        <v>698</v>
      </c>
      <c r="C333" s="1408">
        <v>2050</v>
      </c>
      <c r="D333" s="1407">
        <v>1721000</v>
      </c>
      <c r="E333" s="1409">
        <v>1293000</v>
      </c>
      <c r="F333" s="1410">
        <v>15050</v>
      </c>
      <c r="G333" s="1407">
        <v>125.08</v>
      </c>
      <c r="H333" s="1409">
        <v>0.20477100000000001</v>
      </c>
      <c r="I333" s="1409">
        <v>1.7827000000000001E-3</v>
      </c>
      <c r="J333" s="1410">
        <v>129.82</v>
      </c>
    </row>
    <row r="334" spans="2:10" x14ac:dyDescent="0.25">
      <c r="B334" s="1407" t="s">
        <v>684</v>
      </c>
      <c r="C334" s="1408">
        <v>2050</v>
      </c>
      <c r="D334" s="1407">
        <v>1721000</v>
      </c>
      <c r="E334" s="1409">
        <v>1293000</v>
      </c>
      <c r="F334" s="1410">
        <v>15050</v>
      </c>
      <c r="G334" s="1407">
        <v>125.08</v>
      </c>
      <c r="H334" s="1409">
        <v>0.20477100000000001</v>
      </c>
      <c r="I334" s="1409">
        <v>1.7827000000000001E-3</v>
      </c>
      <c r="J334" s="1410">
        <v>129.82</v>
      </c>
    </row>
    <row r="335" spans="2:10" x14ac:dyDescent="0.25">
      <c r="B335" s="1407" t="s">
        <v>1086</v>
      </c>
      <c r="C335" s="1408">
        <v>2050</v>
      </c>
      <c r="D335" s="1407">
        <v>1022000</v>
      </c>
      <c r="E335" s="1409">
        <v>1021000</v>
      </c>
      <c r="F335" s="1410">
        <v>15510</v>
      </c>
      <c r="G335" s="1407">
        <v>1.6964999999999999</v>
      </c>
      <c r="H335" s="1409">
        <v>0.14096238999999999</v>
      </c>
      <c r="I335" s="1409">
        <v>3.2765999999999998E-5</v>
      </c>
      <c r="J335" s="1410">
        <v>5.9536999999999995</v>
      </c>
    </row>
    <row r="336" spans="2:10" x14ac:dyDescent="0.25">
      <c r="B336" s="1407" t="s">
        <v>716</v>
      </c>
      <c r="C336" s="1408">
        <v>2050</v>
      </c>
      <c r="D336" s="1407">
        <v>1022000</v>
      </c>
      <c r="E336" s="1409">
        <v>1021000</v>
      </c>
      <c r="F336" s="1410">
        <v>15510</v>
      </c>
      <c r="G336" s="1407">
        <v>1.6964999999999999</v>
      </c>
      <c r="H336" s="1409">
        <v>0.14096238999999999</v>
      </c>
      <c r="I336" s="1409">
        <v>3.2765999999999998E-5</v>
      </c>
      <c r="J336" s="1410">
        <v>5.9536999999999995</v>
      </c>
    </row>
    <row r="337" spans="2:10" x14ac:dyDescent="0.25">
      <c r="B337" s="1407" t="s">
        <v>717</v>
      </c>
      <c r="C337" s="1408">
        <v>2050</v>
      </c>
      <c r="D337" s="1407">
        <v>1022000</v>
      </c>
      <c r="E337" s="1409">
        <v>1021000</v>
      </c>
      <c r="F337" s="1410">
        <v>15510</v>
      </c>
      <c r="G337" s="1407">
        <v>1.6964999999999999</v>
      </c>
      <c r="H337" s="1409">
        <v>0.14096238999999999</v>
      </c>
      <c r="I337" s="1409">
        <v>3.2765999999999998E-5</v>
      </c>
      <c r="J337" s="1410">
        <v>5.9536999999999995</v>
      </c>
    </row>
    <row r="338" spans="2:10" x14ac:dyDescent="0.25">
      <c r="B338" s="1407" t="s">
        <v>911</v>
      </c>
      <c r="C338" s="1408">
        <v>2050</v>
      </c>
      <c r="D338" s="1407">
        <v>1209000</v>
      </c>
      <c r="E338" s="1409">
        <v>1202000</v>
      </c>
      <c r="F338" s="1410">
        <v>1052000</v>
      </c>
      <c r="G338" s="1407">
        <v>17.969000000000001</v>
      </c>
      <c r="H338" s="1409">
        <v>0.164128</v>
      </c>
      <c r="I338" s="1409">
        <v>2.9025999999999998E-4</v>
      </c>
      <c r="J338" s="1410">
        <v>22.988</v>
      </c>
    </row>
    <row r="339" spans="2:10" x14ac:dyDescent="0.25">
      <c r="B339" s="1407" t="s">
        <v>909</v>
      </c>
      <c r="C339" s="1408">
        <v>2050</v>
      </c>
      <c r="D339" s="1407">
        <v>1585000</v>
      </c>
      <c r="E339" s="1409">
        <v>696300</v>
      </c>
      <c r="F339" s="1410">
        <v>286000</v>
      </c>
      <c r="G339" s="1407">
        <v>38.049999999999997</v>
      </c>
      <c r="H339" s="1409">
        <v>0.1118</v>
      </c>
      <c r="I339" s="1409">
        <v>2.5350000000000001E-2</v>
      </c>
      <c r="J339" s="1410">
        <v>45.19</v>
      </c>
    </row>
    <row r="340" spans="2:10" x14ac:dyDescent="0.25">
      <c r="B340" s="1407" t="s">
        <v>912</v>
      </c>
      <c r="C340" s="1408">
        <v>2050</v>
      </c>
      <c r="D340" s="1407">
        <v>1249000</v>
      </c>
      <c r="E340" s="1409">
        <v>1242000</v>
      </c>
      <c r="F340" s="1410">
        <v>1078000</v>
      </c>
      <c r="G340" s="1407">
        <v>23.84</v>
      </c>
      <c r="H340" s="1409">
        <v>0.16985799999999998</v>
      </c>
      <c r="I340" s="1409">
        <v>3.7813000000000001E-4</v>
      </c>
      <c r="J340" s="1410">
        <v>29.157000000000004</v>
      </c>
    </row>
    <row r="341" spans="2:10" x14ac:dyDescent="0.25">
      <c r="B341" s="1407" t="s">
        <v>1080</v>
      </c>
      <c r="C341" s="1408">
        <v>2050</v>
      </c>
      <c r="D341" s="1407">
        <v>1190000</v>
      </c>
      <c r="E341" s="1409">
        <v>51590</v>
      </c>
      <c r="F341" s="1410">
        <v>29220</v>
      </c>
      <c r="G341" s="1407">
        <v>3.7582</v>
      </c>
      <c r="H341" s="1409">
        <v>8.4366999999999984E-3</v>
      </c>
      <c r="I341" s="1409">
        <v>-3.8261190000000002E-3</v>
      </c>
      <c r="J341" s="1410">
        <v>3.0054000000000003</v>
      </c>
    </row>
    <row r="342" spans="2:10" x14ac:dyDescent="0.25">
      <c r="B342" s="1407" t="s">
        <v>815</v>
      </c>
      <c r="C342" s="1408">
        <v>2050</v>
      </c>
      <c r="D342" s="1407">
        <v>1190000</v>
      </c>
      <c r="E342" s="1409">
        <v>51590</v>
      </c>
      <c r="F342" s="1410">
        <v>29220</v>
      </c>
      <c r="G342" s="1407">
        <v>3.7582</v>
      </c>
      <c r="H342" s="1409">
        <v>8.4366999999999984E-3</v>
      </c>
      <c r="I342" s="1409">
        <v>-3.8261190000000002E-3</v>
      </c>
      <c r="J342" s="1410">
        <v>3.0054000000000003</v>
      </c>
    </row>
    <row r="343" spans="2:10" x14ac:dyDescent="0.25">
      <c r="B343" s="1407" t="s">
        <v>824</v>
      </c>
      <c r="C343" s="1408">
        <v>2050</v>
      </c>
      <c r="D343" s="1407">
        <v>1190000</v>
      </c>
      <c r="E343" s="1409">
        <v>51590</v>
      </c>
      <c r="F343" s="1410">
        <v>29220</v>
      </c>
      <c r="G343" s="1407">
        <v>3.7582</v>
      </c>
      <c r="H343" s="1409">
        <v>8.4366999999999984E-3</v>
      </c>
      <c r="I343" s="1409">
        <v>-3.8261190000000002E-3</v>
      </c>
      <c r="J343" s="1410">
        <v>3.0054000000000003</v>
      </c>
    </row>
    <row r="344" spans="2:10" ht="13" thickBot="1" x14ac:dyDescent="0.3">
      <c r="B344" s="1411" t="s">
        <v>1087</v>
      </c>
      <c r="C344" s="1412">
        <v>2050</v>
      </c>
      <c r="D344" s="1411">
        <v>1384000</v>
      </c>
      <c r="E344" s="1413">
        <v>1383000</v>
      </c>
      <c r="F344" s="1414">
        <v>5034</v>
      </c>
      <c r="G344" s="1411">
        <v>78.571100000000001</v>
      </c>
      <c r="H344" s="1413">
        <v>0.27494000000000002</v>
      </c>
      <c r="I344" s="1413">
        <v>2.3304000000000003E-3</v>
      </c>
      <c r="J344" s="1414">
        <v>87.594300000000004</v>
      </c>
    </row>
    <row r="345" spans="2:10" x14ac:dyDescent="0.25">
      <c r="B345" s="1403" t="s">
        <v>1084</v>
      </c>
      <c r="C345" s="1404">
        <v>2055</v>
      </c>
      <c r="D345" s="1403">
        <v>1092000</v>
      </c>
      <c r="E345" s="1405">
        <v>1092000</v>
      </c>
      <c r="F345" s="1406">
        <v>3971</v>
      </c>
      <c r="G345" s="1403">
        <v>5.7390999999999996</v>
      </c>
      <c r="H345" s="1405">
        <v>0.18462200000000001</v>
      </c>
      <c r="I345" s="1405">
        <v>8.61E-4</v>
      </c>
      <c r="J345" s="1406">
        <v>11.5648</v>
      </c>
    </row>
    <row r="346" spans="2:10" x14ac:dyDescent="0.25">
      <c r="B346" s="1407" t="s">
        <v>283</v>
      </c>
      <c r="C346" s="1408">
        <v>2055</v>
      </c>
      <c r="D346" s="1407">
        <v>1092000</v>
      </c>
      <c r="E346" s="1409">
        <v>1092000</v>
      </c>
      <c r="F346" s="1410">
        <v>3971</v>
      </c>
      <c r="G346" s="1407">
        <v>5.7390999999999996</v>
      </c>
      <c r="H346" s="1409">
        <v>0.18462200000000001</v>
      </c>
      <c r="I346" s="1409">
        <v>8.61E-4</v>
      </c>
      <c r="J346" s="1410">
        <v>11.5648</v>
      </c>
    </row>
    <row r="347" spans="2:10" x14ac:dyDescent="0.25">
      <c r="B347" s="1407" t="s">
        <v>1085</v>
      </c>
      <c r="C347" s="1408">
        <v>2055</v>
      </c>
      <c r="D347" s="1407">
        <v>1092000</v>
      </c>
      <c r="E347" s="1409">
        <v>1092000</v>
      </c>
      <c r="F347" s="1410">
        <v>3971</v>
      </c>
      <c r="G347" s="1407">
        <v>5.7390999999999996</v>
      </c>
      <c r="H347" s="1409">
        <v>0.18462200000000001</v>
      </c>
      <c r="I347" s="1409">
        <v>8.61E-4</v>
      </c>
      <c r="J347" s="1410">
        <v>11.5648</v>
      </c>
    </row>
    <row r="348" spans="2:10" x14ac:dyDescent="0.25">
      <c r="B348" s="1407" t="s">
        <v>681</v>
      </c>
      <c r="C348" s="1408">
        <v>2055</v>
      </c>
      <c r="D348" s="1407">
        <v>1092000</v>
      </c>
      <c r="E348" s="1409">
        <v>1092000</v>
      </c>
      <c r="F348" s="1410">
        <v>3971</v>
      </c>
      <c r="G348" s="1407">
        <v>5.7390999999999996</v>
      </c>
      <c r="H348" s="1409">
        <v>0.18462200000000001</v>
      </c>
      <c r="I348" s="1409">
        <v>8.61E-4</v>
      </c>
      <c r="J348" s="1410">
        <v>11.5648</v>
      </c>
    </row>
    <row r="349" spans="2:10" x14ac:dyDescent="0.25">
      <c r="B349" s="1407" t="s">
        <v>682</v>
      </c>
      <c r="C349" s="1408">
        <v>2055</v>
      </c>
      <c r="D349" s="1407">
        <v>-1185000</v>
      </c>
      <c r="E349" s="1409">
        <v>0</v>
      </c>
      <c r="F349" s="1410">
        <v>0</v>
      </c>
      <c r="G349" s="1407">
        <v>-85.800000000000011</v>
      </c>
      <c r="H349" s="1409">
        <v>0.54700000000000004</v>
      </c>
      <c r="I349" s="1409">
        <v>-1.8286999999999999E-3</v>
      </c>
      <c r="J349" s="1410">
        <v>-70.08</v>
      </c>
    </row>
    <row r="350" spans="2:10" x14ac:dyDescent="0.25">
      <c r="B350" s="1407" t="s">
        <v>683</v>
      </c>
      <c r="C350" s="1408">
        <v>2055</v>
      </c>
      <c r="D350" s="1407">
        <v>1721000</v>
      </c>
      <c r="E350" s="1409">
        <v>1293000</v>
      </c>
      <c r="F350" s="1410">
        <v>15050</v>
      </c>
      <c r="G350" s="1407">
        <v>125.08</v>
      </c>
      <c r="H350" s="1409">
        <v>0.20477100000000001</v>
      </c>
      <c r="I350" s="1409">
        <v>1.7827000000000001E-3</v>
      </c>
      <c r="J350" s="1410">
        <v>129.82</v>
      </c>
    </row>
    <row r="351" spans="2:10" x14ac:dyDescent="0.25">
      <c r="B351" s="1407" t="s">
        <v>698</v>
      </c>
      <c r="C351" s="1408">
        <v>2055</v>
      </c>
      <c r="D351" s="1407">
        <v>1721000</v>
      </c>
      <c r="E351" s="1409">
        <v>1293000</v>
      </c>
      <c r="F351" s="1410">
        <v>15050</v>
      </c>
      <c r="G351" s="1407">
        <v>125.08</v>
      </c>
      <c r="H351" s="1409">
        <v>0.20477100000000001</v>
      </c>
      <c r="I351" s="1409">
        <v>1.7827000000000001E-3</v>
      </c>
      <c r="J351" s="1410">
        <v>129.82</v>
      </c>
    </row>
    <row r="352" spans="2:10" x14ac:dyDescent="0.25">
      <c r="B352" s="1407" t="s">
        <v>684</v>
      </c>
      <c r="C352" s="1408">
        <v>2055</v>
      </c>
      <c r="D352" s="1407">
        <v>1721000</v>
      </c>
      <c r="E352" s="1409">
        <v>1293000</v>
      </c>
      <c r="F352" s="1410">
        <v>15050</v>
      </c>
      <c r="G352" s="1407">
        <v>125.08</v>
      </c>
      <c r="H352" s="1409">
        <v>0.20477100000000001</v>
      </c>
      <c r="I352" s="1409">
        <v>1.7827000000000001E-3</v>
      </c>
      <c r="J352" s="1410">
        <v>129.82</v>
      </c>
    </row>
    <row r="353" spans="2:10" x14ac:dyDescent="0.25">
      <c r="B353" s="1407" t="s">
        <v>1086</v>
      </c>
      <c r="C353" s="1408">
        <v>2055</v>
      </c>
      <c r="D353" s="1407">
        <v>1022000</v>
      </c>
      <c r="E353" s="1409">
        <v>1021000</v>
      </c>
      <c r="F353" s="1410">
        <v>15510</v>
      </c>
      <c r="G353" s="1407">
        <v>1.6964999999999999</v>
      </c>
      <c r="H353" s="1409">
        <v>0.14096238999999999</v>
      </c>
      <c r="I353" s="1409">
        <v>3.2765999999999998E-5</v>
      </c>
      <c r="J353" s="1410">
        <v>5.9536999999999995</v>
      </c>
    </row>
    <row r="354" spans="2:10" x14ac:dyDescent="0.25">
      <c r="B354" s="1407" t="s">
        <v>716</v>
      </c>
      <c r="C354" s="1408">
        <v>2055</v>
      </c>
      <c r="D354" s="1407">
        <v>1022000</v>
      </c>
      <c r="E354" s="1409">
        <v>1021000</v>
      </c>
      <c r="F354" s="1410">
        <v>15510</v>
      </c>
      <c r="G354" s="1407">
        <v>1.6964999999999999</v>
      </c>
      <c r="H354" s="1409">
        <v>0.14096238999999999</v>
      </c>
      <c r="I354" s="1409">
        <v>3.2765999999999998E-5</v>
      </c>
      <c r="J354" s="1410">
        <v>5.9536999999999995</v>
      </c>
    </row>
    <row r="355" spans="2:10" x14ac:dyDescent="0.25">
      <c r="B355" s="1407" t="s">
        <v>717</v>
      </c>
      <c r="C355" s="1408">
        <v>2055</v>
      </c>
      <c r="D355" s="1407">
        <v>1022000</v>
      </c>
      <c r="E355" s="1409">
        <v>1021000</v>
      </c>
      <c r="F355" s="1410">
        <v>15510</v>
      </c>
      <c r="G355" s="1407">
        <v>1.6964999999999999</v>
      </c>
      <c r="H355" s="1409">
        <v>0.14096238999999999</v>
      </c>
      <c r="I355" s="1409">
        <v>3.2765999999999998E-5</v>
      </c>
      <c r="J355" s="1410">
        <v>5.9536999999999995</v>
      </c>
    </row>
    <row r="356" spans="2:10" x14ac:dyDescent="0.25">
      <c r="B356" s="1407" t="s">
        <v>911</v>
      </c>
      <c r="C356" s="1408">
        <v>2055</v>
      </c>
      <c r="D356" s="1407">
        <v>1209000</v>
      </c>
      <c r="E356" s="1409">
        <v>1202000</v>
      </c>
      <c r="F356" s="1410">
        <v>1052000</v>
      </c>
      <c r="G356" s="1407">
        <v>17.969000000000001</v>
      </c>
      <c r="H356" s="1409">
        <v>0.164128</v>
      </c>
      <c r="I356" s="1409">
        <v>2.9025999999999998E-4</v>
      </c>
      <c r="J356" s="1410">
        <v>22.988</v>
      </c>
    </row>
    <row r="357" spans="2:10" x14ac:dyDescent="0.25">
      <c r="B357" s="1407" t="s">
        <v>909</v>
      </c>
      <c r="C357" s="1408">
        <v>2055</v>
      </c>
      <c r="D357" s="1407">
        <v>1585000</v>
      </c>
      <c r="E357" s="1409">
        <v>696300</v>
      </c>
      <c r="F357" s="1410">
        <v>286000</v>
      </c>
      <c r="G357" s="1407">
        <v>38.049999999999997</v>
      </c>
      <c r="H357" s="1409">
        <v>0.1118</v>
      </c>
      <c r="I357" s="1409">
        <v>2.5350000000000001E-2</v>
      </c>
      <c r="J357" s="1410">
        <v>45.19</v>
      </c>
    </row>
    <row r="358" spans="2:10" x14ac:dyDescent="0.25">
      <c r="B358" s="1407" t="s">
        <v>912</v>
      </c>
      <c r="C358" s="1408">
        <v>2055</v>
      </c>
      <c r="D358" s="1407">
        <v>1249000</v>
      </c>
      <c r="E358" s="1409">
        <v>1242000</v>
      </c>
      <c r="F358" s="1410">
        <v>1078000</v>
      </c>
      <c r="G358" s="1407">
        <v>23.84</v>
      </c>
      <c r="H358" s="1409">
        <v>0.16985799999999998</v>
      </c>
      <c r="I358" s="1409">
        <v>3.7813000000000001E-4</v>
      </c>
      <c r="J358" s="1410">
        <v>29.157000000000004</v>
      </c>
    </row>
    <row r="359" spans="2:10" x14ac:dyDescent="0.25">
      <c r="B359" s="1407" t="s">
        <v>1080</v>
      </c>
      <c r="C359" s="1408">
        <v>2055</v>
      </c>
      <c r="D359" s="1407">
        <v>1190000</v>
      </c>
      <c r="E359" s="1409">
        <v>51590</v>
      </c>
      <c r="F359" s="1410">
        <v>29220</v>
      </c>
      <c r="G359" s="1407">
        <v>3.7582</v>
      </c>
      <c r="H359" s="1409">
        <v>8.4366999999999984E-3</v>
      </c>
      <c r="I359" s="1409">
        <v>-3.8261190000000002E-3</v>
      </c>
      <c r="J359" s="1410">
        <v>3.0054000000000003</v>
      </c>
    </row>
    <row r="360" spans="2:10" x14ac:dyDescent="0.25">
      <c r="B360" s="1407" t="s">
        <v>815</v>
      </c>
      <c r="C360" s="1408">
        <v>2055</v>
      </c>
      <c r="D360" s="1407">
        <v>1190000</v>
      </c>
      <c r="E360" s="1409">
        <v>51590</v>
      </c>
      <c r="F360" s="1410">
        <v>29220</v>
      </c>
      <c r="G360" s="1407">
        <v>3.7582</v>
      </c>
      <c r="H360" s="1409">
        <v>8.4366999999999984E-3</v>
      </c>
      <c r="I360" s="1409">
        <v>-3.8261190000000002E-3</v>
      </c>
      <c r="J360" s="1410">
        <v>3.0054000000000003</v>
      </c>
    </row>
    <row r="361" spans="2:10" x14ac:dyDescent="0.25">
      <c r="B361" s="1407" t="s">
        <v>824</v>
      </c>
      <c r="C361" s="1408">
        <v>2055</v>
      </c>
      <c r="D361" s="1407">
        <v>1190000</v>
      </c>
      <c r="E361" s="1409">
        <v>51590</v>
      </c>
      <c r="F361" s="1410">
        <v>29220</v>
      </c>
      <c r="G361" s="1407">
        <v>3.7582</v>
      </c>
      <c r="H361" s="1409">
        <v>8.4366999999999984E-3</v>
      </c>
      <c r="I361" s="1409">
        <v>-3.8261190000000002E-3</v>
      </c>
      <c r="J361" s="1410">
        <v>3.0054000000000003</v>
      </c>
    </row>
    <row r="362" spans="2:10" ht="13" thickBot="1" x14ac:dyDescent="0.3">
      <c r="B362" s="1411" t="s">
        <v>1087</v>
      </c>
      <c r="C362" s="1412">
        <v>2055</v>
      </c>
      <c r="D362" s="1411">
        <v>1384000</v>
      </c>
      <c r="E362" s="1413">
        <v>1383000</v>
      </c>
      <c r="F362" s="1414">
        <v>5034</v>
      </c>
      <c r="G362" s="1411">
        <v>78.571100000000001</v>
      </c>
      <c r="H362" s="1413">
        <v>0.27494000000000002</v>
      </c>
      <c r="I362" s="1413">
        <v>2.3304000000000003E-3</v>
      </c>
      <c r="J362" s="1414">
        <v>87.594300000000004</v>
      </c>
    </row>
    <row r="363" spans="2:10" x14ac:dyDescent="0.25">
      <c r="B363" s="1403" t="s">
        <v>1084</v>
      </c>
      <c r="C363" s="1404">
        <v>2060</v>
      </c>
      <c r="D363" s="1403">
        <v>1092000</v>
      </c>
      <c r="E363" s="1405">
        <v>1092000</v>
      </c>
      <c r="F363" s="1406">
        <v>3971</v>
      </c>
      <c r="G363" s="1403">
        <v>5.7390999999999996</v>
      </c>
      <c r="H363" s="1405">
        <v>0.18462200000000001</v>
      </c>
      <c r="I363" s="1405">
        <v>8.61E-4</v>
      </c>
      <c r="J363" s="1406">
        <v>11.5648</v>
      </c>
    </row>
    <row r="364" spans="2:10" x14ac:dyDescent="0.25">
      <c r="B364" s="1407" t="s">
        <v>283</v>
      </c>
      <c r="C364" s="1408">
        <v>2060</v>
      </c>
      <c r="D364" s="1407">
        <v>1092000</v>
      </c>
      <c r="E364" s="1409">
        <v>1092000</v>
      </c>
      <c r="F364" s="1410">
        <v>3971</v>
      </c>
      <c r="G364" s="1407">
        <v>5.7390999999999996</v>
      </c>
      <c r="H364" s="1409">
        <v>0.18462200000000001</v>
      </c>
      <c r="I364" s="1409">
        <v>8.61E-4</v>
      </c>
      <c r="J364" s="1410">
        <v>11.5648</v>
      </c>
    </row>
    <row r="365" spans="2:10" x14ac:dyDescent="0.25">
      <c r="B365" s="1407" t="s">
        <v>1085</v>
      </c>
      <c r="C365" s="1408">
        <v>2060</v>
      </c>
      <c r="D365" s="1407">
        <v>1092000</v>
      </c>
      <c r="E365" s="1409">
        <v>1092000</v>
      </c>
      <c r="F365" s="1410">
        <v>3971</v>
      </c>
      <c r="G365" s="1407">
        <v>5.7390999999999996</v>
      </c>
      <c r="H365" s="1409">
        <v>0.18462200000000001</v>
      </c>
      <c r="I365" s="1409">
        <v>8.61E-4</v>
      </c>
      <c r="J365" s="1410">
        <v>11.5648</v>
      </c>
    </row>
    <row r="366" spans="2:10" x14ac:dyDescent="0.25">
      <c r="B366" s="1407" t="s">
        <v>681</v>
      </c>
      <c r="C366" s="1408">
        <v>2060</v>
      </c>
      <c r="D366" s="1407">
        <v>1092000</v>
      </c>
      <c r="E366" s="1409">
        <v>1092000</v>
      </c>
      <c r="F366" s="1410">
        <v>3971</v>
      </c>
      <c r="G366" s="1407">
        <v>5.7390999999999996</v>
      </c>
      <c r="H366" s="1409">
        <v>0.18462200000000001</v>
      </c>
      <c r="I366" s="1409">
        <v>8.61E-4</v>
      </c>
      <c r="J366" s="1410">
        <v>11.5648</v>
      </c>
    </row>
    <row r="367" spans="2:10" x14ac:dyDescent="0.25">
      <c r="B367" s="1407" t="s">
        <v>682</v>
      </c>
      <c r="C367" s="1408">
        <v>2060</v>
      </c>
      <c r="D367" s="1407">
        <v>-1185000</v>
      </c>
      <c r="E367" s="1409">
        <v>0</v>
      </c>
      <c r="F367" s="1410">
        <v>0</v>
      </c>
      <c r="G367" s="1407">
        <v>-85.800000000000011</v>
      </c>
      <c r="H367" s="1409">
        <v>0.54700000000000004</v>
      </c>
      <c r="I367" s="1409">
        <v>-1.8286999999999999E-3</v>
      </c>
      <c r="J367" s="1410">
        <v>-70.08</v>
      </c>
    </row>
    <row r="368" spans="2:10" x14ac:dyDescent="0.25">
      <c r="B368" s="1407" t="s">
        <v>683</v>
      </c>
      <c r="C368" s="1408">
        <v>2060</v>
      </c>
      <c r="D368" s="1407">
        <v>1721000</v>
      </c>
      <c r="E368" s="1409">
        <v>1293000</v>
      </c>
      <c r="F368" s="1410">
        <v>15050</v>
      </c>
      <c r="G368" s="1407">
        <v>125.08</v>
      </c>
      <c r="H368" s="1409">
        <v>0.20477100000000001</v>
      </c>
      <c r="I368" s="1409">
        <v>1.7827000000000001E-3</v>
      </c>
      <c r="J368" s="1410">
        <v>129.82</v>
      </c>
    </row>
    <row r="369" spans="2:10" x14ac:dyDescent="0.25">
      <c r="B369" s="1407" t="s">
        <v>698</v>
      </c>
      <c r="C369" s="1408">
        <v>2060</v>
      </c>
      <c r="D369" s="1407">
        <v>1721000</v>
      </c>
      <c r="E369" s="1409">
        <v>1293000</v>
      </c>
      <c r="F369" s="1410">
        <v>15050</v>
      </c>
      <c r="G369" s="1407">
        <v>125.08</v>
      </c>
      <c r="H369" s="1409">
        <v>0.20477100000000001</v>
      </c>
      <c r="I369" s="1409">
        <v>1.7827000000000001E-3</v>
      </c>
      <c r="J369" s="1410">
        <v>129.82</v>
      </c>
    </row>
    <row r="370" spans="2:10" x14ac:dyDescent="0.25">
      <c r="B370" s="1407" t="s">
        <v>684</v>
      </c>
      <c r="C370" s="1408">
        <v>2060</v>
      </c>
      <c r="D370" s="1407">
        <v>1721000</v>
      </c>
      <c r="E370" s="1409">
        <v>1293000</v>
      </c>
      <c r="F370" s="1410">
        <v>15050</v>
      </c>
      <c r="G370" s="1407">
        <v>125.08</v>
      </c>
      <c r="H370" s="1409">
        <v>0.20477100000000001</v>
      </c>
      <c r="I370" s="1409">
        <v>1.7827000000000001E-3</v>
      </c>
      <c r="J370" s="1410">
        <v>129.82</v>
      </c>
    </row>
    <row r="371" spans="2:10" x14ac:dyDescent="0.25">
      <c r="B371" s="1407" t="s">
        <v>1086</v>
      </c>
      <c r="C371" s="1408">
        <v>2060</v>
      </c>
      <c r="D371" s="1407">
        <v>1022000</v>
      </c>
      <c r="E371" s="1409">
        <v>1021000</v>
      </c>
      <c r="F371" s="1410">
        <v>15510</v>
      </c>
      <c r="G371" s="1407">
        <v>1.6964999999999999</v>
      </c>
      <c r="H371" s="1409">
        <v>0.14096238999999999</v>
      </c>
      <c r="I371" s="1409">
        <v>3.2765999999999998E-5</v>
      </c>
      <c r="J371" s="1410">
        <v>5.9536999999999995</v>
      </c>
    </row>
    <row r="372" spans="2:10" x14ac:dyDescent="0.25">
      <c r="B372" s="1407" t="s">
        <v>716</v>
      </c>
      <c r="C372" s="1408">
        <v>2060</v>
      </c>
      <c r="D372" s="1407">
        <v>1022000</v>
      </c>
      <c r="E372" s="1409">
        <v>1021000</v>
      </c>
      <c r="F372" s="1410">
        <v>15510</v>
      </c>
      <c r="G372" s="1407">
        <v>1.6964999999999999</v>
      </c>
      <c r="H372" s="1409">
        <v>0.14096238999999999</v>
      </c>
      <c r="I372" s="1409">
        <v>3.2765999999999998E-5</v>
      </c>
      <c r="J372" s="1410">
        <v>5.9536999999999995</v>
      </c>
    </row>
    <row r="373" spans="2:10" x14ac:dyDescent="0.25">
      <c r="B373" s="1407" t="s">
        <v>717</v>
      </c>
      <c r="C373" s="1408">
        <v>2060</v>
      </c>
      <c r="D373" s="1407">
        <v>1022000</v>
      </c>
      <c r="E373" s="1409">
        <v>1021000</v>
      </c>
      <c r="F373" s="1410">
        <v>15510</v>
      </c>
      <c r="G373" s="1407">
        <v>1.6964999999999999</v>
      </c>
      <c r="H373" s="1409">
        <v>0.14096238999999999</v>
      </c>
      <c r="I373" s="1409">
        <v>3.2765999999999998E-5</v>
      </c>
      <c r="J373" s="1410">
        <v>5.9536999999999995</v>
      </c>
    </row>
    <row r="374" spans="2:10" x14ac:dyDescent="0.25">
      <c r="B374" s="1407" t="s">
        <v>911</v>
      </c>
      <c r="C374" s="1408">
        <v>2060</v>
      </c>
      <c r="D374" s="1407">
        <v>1209000</v>
      </c>
      <c r="E374" s="1409">
        <v>1202000</v>
      </c>
      <c r="F374" s="1410">
        <v>1052000</v>
      </c>
      <c r="G374" s="1407">
        <v>17.969000000000001</v>
      </c>
      <c r="H374" s="1409">
        <v>0.164128</v>
      </c>
      <c r="I374" s="1409">
        <v>2.9025999999999998E-4</v>
      </c>
      <c r="J374" s="1410">
        <v>22.988</v>
      </c>
    </row>
    <row r="375" spans="2:10" x14ac:dyDescent="0.25">
      <c r="B375" s="1407" t="s">
        <v>909</v>
      </c>
      <c r="C375" s="1408">
        <v>2060</v>
      </c>
      <c r="D375" s="1407">
        <v>1585000</v>
      </c>
      <c r="E375" s="1409">
        <v>696300</v>
      </c>
      <c r="F375" s="1410">
        <v>286000</v>
      </c>
      <c r="G375" s="1407">
        <v>38.049999999999997</v>
      </c>
      <c r="H375" s="1409">
        <v>0.1118</v>
      </c>
      <c r="I375" s="1409">
        <v>2.5350000000000001E-2</v>
      </c>
      <c r="J375" s="1410">
        <v>45.19</v>
      </c>
    </row>
    <row r="376" spans="2:10" x14ac:dyDescent="0.25">
      <c r="B376" s="1407" t="s">
        <v>912</v>
      </c>
      <c r="C376" s="1408">
        <v>2060</v>
      </c>
      <c r="D376" s="1407">
        <v>1249000</v>
      </c>
      <c r="E376" s="1409">
        <v>1242000</v>
      </c>
      <c r="F376" s="1410">
        <v>1078000</v>
      </c>
      <c r="G376" s="1407">
        <v>23.84</v>
      </c>
      <c r="H376" s="1409">
        <v>0.16985799999999998</v>
      </c>
      <c r="I376" s="1409">
        <v>3.7813000000000001E-4</v>
      </c>
      <c r="J376" s="1410">
        <v>29.157000000000004</v>
      </c>
    </row>
    <row r="377" spans="2:10" x14ac:dyDescent="0.25">
      <c r="B377" s="1407" t="s">
        <v>1080</v>
      </c>
      <c r="C377" s="1408">
        <v>2060</v>
      </c>
      <c r="D377" s="1407">
        <v>1190000</v>
      </c>
      <c r="E377" s="1409">
        <v>51590</v>
      </c>
      <c r="F377" s="1410">
        <v>29220</v>
      </c>
      <c r="G377" s="1407">
        <v>3.7582</v>
      </c>
      <c r="H377" s="1409">
        <v>8.4366999999999984E-3</v>
      </c>
      <c r="I377" s="1409">
        <v>-3.8261190000000002E-3</v>
      </c>
      <c r="J377" s="1410">
        <v>3.0054000000000003</v>
      </c>
    </row>
    <row r="378" spans="2:10" x14ac:dyDescent="0.25">
      <c r="B378" s="1407" t="s">
        <v>815</v>
      </c>
      <c r="C378" s="1408">
        <v>2060</v>
      </c>
      <c r="D378" s="1407">
        <v>1190000</v>
      </c>
      <c r="E378" s="1409">
        <v>51590</v>
      </c>
      <c r="F378" s="1410">
        <v>29220</v>
      </c>
      <c r="G378" s="1407">
        <v>3.7582</v>
      </c>
      <c r="H378" s="1409">
        <v>8.4366999999999984E-3</v>
      </c>
      <c r="I378" s="1409">
        <v>-3.8261190000000002E-3</v>
      </c>
      <c r="J378" s="1410">
        <v>3.0054000000000003</v>
      </c>
    </row>
    <row r="379" spans="2:10" x14ac:dyDescent="0.25">
      <c r="B379" s="1407" t="s">
        <v>824</v>
      </c>
      <c r="C379" s="1408">
        <v>2060</v>
      </c>
      <c r="D379" s="1407">
        <v>1190000</v>
      </c>
      <c r="E379" s="1409">
        <v>51590</v>
      </c>
      <c r="F379" s="1410">
        <v>29220</v>
      </c>
      <c r="G379" s="1407">
        <v>3.7582</v>
      </c>
      <c r="H379" s="1409">
        <v>8.4366999999999984E-3</v>
      </c>
      <c r="I379" s="1409">
        <v>-3.8261190000000002E-3</v>
      </c>
      <c r="J379" s="1410">
        <v>3.0054000000000003</v>
      </c>
    </row>
    <row r="380" spans="2:10" ht="13" thickBot="1" x14ac:dyDescent="0.3">
      <c r="B380" s="1411" t="s">
        <v>1087</v>
      </c>
      <c r="C380" s="1412">
        <v>2060</v>
      </c>
      <c r="D380" s="1411">
        <v>1384000</v>
      </c>
      <c r="E380" s="1413">
        <v>1383000</v>
      </c>
      <c r="F380" s="1414">
        <v>5034</v>
      </c>
      <c r="G380" s="1411">
        <v>78.571100000000001</v>
      </c>
      <c r="H380" s="1413">
        <v>0.27494000000000002</v>
      </c>
      <c r="I380" s="1413">
        <v>2.3304000000000003E-3</v>
      </c>
      <c r="J380" s="1414">
        <v>87.594300000000004</v>
      </c>
    </row>
    <row r="381" spans="2:10" x14ac:dyDescent="0.25">
      <c r="B381" s="1403" t="s">
        <v>1084</v>
      </c>
      <c r="C381" s="1404">
        <v>2065</v>
      </c>
      <c r="D381" s="1403">
        <v>1092000</v>
      </c>
      <c r="E381" s="1405">
        <v>1092000</v>
      </c>
      <c r="F381" s="1406">
        <v>3971</v>
      </c>
      <c r="G381" s="1403">
        <v>5.7390999999999996</v>
      </c>
      <c r="H381" s="1405">
        <v>0.18462200000000001</v>
      </c>
      <c r="I381" s="1405">
        <v>8.61E-4</v>
      </c>
      <c r="J381" s="1406">
        <v>11.5648</v>
      </c>
    </row>
    <row r="382" spans="2:10" x14ac:dyDescent="0.25">
      <c r="B382" s="1407" t="s">
        <v>283</v>
      </c>
      <c r="C382" s="1408">
        <v>2065</v>
      </c>
      <c r="D382" s="1407">
        <v>1092000</v>
      </c>
      <c r="E382" s="1409">
        <v>1092000</v>
      </c>
      <c r="F382" s="1410">
        <v>3971</v>
      </c>
      <c r="G382" s="1407">
        <v>5.7390999999999996</v>
      </c>
      <c r="H382" s="1409">
        <v>0.18462200000000001</v>
      </c>
      <c r="I382" s="1409">
        <v>8.61E-4</v>
      </c>
      <c r="J382" s="1410">
        <v>11.5648</v>
      </c>
    </row>
    <row r="383" spans="2:10" x14ac:dyDescent="0.25">
      <c r="B383" s="1407" t="s">
        <v>1085</v>
      </c>
      <c r="C383" s="1408">
        <v>2065</v>
      </c>
      <c r="D383" s="1407">
        <v>1092000</v>
      </c>
      <c r="E383" s="1409">
        <v>1092000</v>
      </c>
      <c r="F383" s="1410">
        <v>3971</v>
      </c>
      <c r="G383" s="1407">
        <v>5.7390999999999996</v>
      </c>
      <c r="H383" s="1409">
        <v>0.18462200000000001</v>
      </c>
      <c r="I383" s="1409">
        <v>8.61E-4</v>
      </c>
      <c r="J383" s="1410">
        <v>11.5648</v>
      </c>
    </row>
    <row r="384" spans="2:10" x14ac:dyDescent="0.25">
      <c r="B384" s="1407" t="s">
        <v>681</v>
      </c>
      <c r="C384" s="1408">
        <v>2065</v>
      </c>
      <c r="D384" s="1407">
        <v>1092000</v>
      </c>
      <c r="E384" s="1409">
        <v>1092000</v>
      </c>
      <c r="F384" s="1410">
        <v>3971</v>
      </c>
      <c r="G384" s="1407">
        <v>5.7390999999999996</v>
      </c>
      <c r="H384" s="1409">
        <v>0.18462200000000001</v>
      </c>
      <c r="I384" s="1409">
        <v>8.61E-4</v>
      </c>
      <c r="J384" s="1410">
        <v>11.5648</v>
      </c>
    </row>
    <row r="385" spans="2:10" x14ac:dyDescent="0.25">
      <c r="B385" s="1407" t="s">
        <v>682</v>
      </c>
      <c r="C385" s="1408">
        <v>2065</v>
      </c>
      <c r="D385" s="1407">
        <v>-1185000</v>
      </c>
      <c r="E385" s="1409">
        <v>0</v>
      </c>
      <c r="F385" s="1410">
        <v>0</v>
      </c>
      <c r="G385" s="1407">
        <v>-85.800000000000011</v>
      </c>
      <c r="H385" s="1409">
        <v>0.54700000000000004</v>
      </c>
      <c r="I385" s="1409">
        <v>-1.8286999999999999E-3</v>
      </c>
      <c r="J385" s="1410">
        <v>-70.08</v>
      </c>
    </row>
    <row r="386" spans="2:10" x14ac:dyDescent="0.25">
      <c r="B386" s="1407" t="s">
        <v>683</v>
      </c>
      <c r="C386" s="1408">
        <v>2065</v>
      </c>
      <c r="D386" s="1407">
        <v>1721000</v>
      </c>
      <c r="E386" s="1409">
        <v>1293000</v>
      </c>
      <c r="F386" s="1410">
        <v>15050</v>
      </c>
      <c r="G386" s="1407">
        <v>125.08</v>
      </c>
      <c r="H386" s="1409">
        <v>0.20477100000000001</v>
      </c>
      <c r="I386" s="1409">
        <v>1.7827000000000001E-3</v>
      </c>
      <c r="J386" s="1410">
        <v>129.82</v>
      </c>
    </row>
    <row r="387" spans="2:10" x14ac:dyDescent="0.25">
      <c r="B387" s="1407" t="s">
        <v>698</v>
      </c>
      <c r="C387" s="1408">
        <v>2065</v>
      </c>
      <c r="D387" s="1407">
        <v>1721000</v>
      </c>
      <c r="E387" s="1409">
        <v>1293000</v>
      </c>
      <c r="F387" s="1410">
        <v>15050</v>
      </c>
      <c r="G387" s="1407">
        <v>125.08</v>
      </c>
      <c r="H387" s="1409">
        <v>0.20477100000000001</v>
      </c>
      <c r="I387" s="1409">
        <v>1.7827000000000001E-3</v>
      </c>
      <c r="J387" s="1410">
        <v>129.82</v>
      </c>
    </row>
    <row r="388" spans="2:10" x14ac:dyDescent="0.25">
      <c r="B388" s="1407" t="s">
        <v>684</v>
      </c>
      <c r="C388" s="1408">
        <v>2065</v>
      </c>
      <c r="D388" s="1407">
        <v>1721000</v>
      </c>
      <c r="E388" s="1409">
        <v>1293000</v>
      </c>
      <c r="F388" s="1410">
        <v>15050</v>
      </c>
      <c r="G388" s="1407">
        <v>125.08</v>
      </c>
      <c r="H388" s="1409">
        <v>0.20477100000000001</v>
      </c>
      <c r="I388" s="1409">
        <v>1.7827000000000001E-3</v>
      </c>
      <c r="J388" s="1410">
        <v>129.82</v>
      </c>
    </row>
    <row r="389" spans="2:10" x14ac:dyDescent="0.25">
      <c r="B389" s="1407" t="s">
        <v>1086</v>
      </c>
      <c r="C389" s="1408">
        <v>2065</v>
      </c>
      <c r="D389" s="1407">
        <v>1022000</v>
      </c>
      <c r="E389" s="1409">
        <v>1021000</v>
      </c>
      <c r="F389" s="1410">
        <v>15510</v>
      </c>
      <c r="G389" s="1407">
        <v>1.6964999999999999</v>
      </c>
      <c r="H389" s="1409">
        <v>0.14096238999999999</v>
      </c>
      <c r="I389" s="1409">
        <v>3.2765999999999998E-5</v>
      </c>
      <c r="J389" s="1410">
        <v>5.9536999999999995</v>
      </c>
    </row>
    <row r="390" spans="2:10" x14ac:dyDescent="0.25">
      <c r="B390" s="1407" t="s">
        <v>716</v>
      </c>
      <c r="C390" s="1408">
        <v>2065</v>
      </c>
      <c r="D390" s="1407">
        <v>1022000</v>
      </c>
      <c r="E390" s="1409">
        <v>1021000</v>
      </c>
      <c r="F390" s="1410">
        <v>15510</v>
      </c>
      <c r="G390" s="1407">
        <v>1.6964999999999999</v>
      </c>
      <c r="H390" s="1409">
        <v>0.14096238999999999</v>
      </c>
      <c r="I390" s="1409">
        <v>3.2765999999999998E-5</v>
      </c>
      <c r="J390" s="1410">
        <v>5.9536999999999995</v>
      </c>
    </row>
    <row r="391" spans="2:10" x14ac:dyDescent="0.25">
      <c r="B391" s="1407" t="s">
        <v>717</v>
      </c>
      <c r="C391" s="1408">
        <v>2065</v>
      </c>
      <c r="D391" s="1407">
        <v>1022000</v>
      </c>
      <c r="E391" s="1409">
        <v>1021000</v>
      </c>
      <c r="F391" s="1410">
        <v>15510</v>
      </c>
      <c r="G391" s="1407">
        <v>1.6964999999999999</v>
      </c>
      <c r="H391" s="1409">
        <v>0.14096238999999999</v>
      </c>
      <c r="I391" s="1409">
        <v>3.2765999999999998E-5</v>
      </c>
      <c r="J391" s="1410">
        <v>5.9536999999999995</v>
      </c>
    </row>
    <row r="392" spans="2:10" x14ac:dyDescent="0.25">
      <c r="B392" s="1407" t="s">
        <v>911</v>
      </c>
      <c r="C392" s="1408">
        <v>2065</v>
      </c>
      <c r="D392" s="1407">
        <v>1209000</v>
      </c>
      <c r="E392" s="1409">
        <v>1202000</v>
      </c>
      <c r="F392" s="1410">
        <v>1052000</v>
      </c>
      <c r="G392" s="1407">
        <v>17.969000000000001</v>
      </c>
      <c r="H392" s="1409">
        <v>0.164128</v>
      </c>
      <c r="I392" s="1409">
        <v>2.9025999999999998E-4</v>
      </c>
      <c r="J392" s="1410">
        <v>22.988</v>
      </c>
    </row>
    <row r="393" spans="2:10" x14ac:dyDescent="0.25">
      <c r="B393" s="1407" t="s">
        <v>909</v>
      </c>
      <c r="C393" s="1408">
        <v>2065</v>
      </c>
      <c r="D393" s="1407">
        <v>1585000</v>
      </c>
      <c r="E393" s="1409">
        <v>696300</v>
      </c>
      <c r="F393" s="1410">
        <v>286000</v>
      </c>
      <c r="G393" s="1407">
        <v>38.049999999999997</v>
      </c>
      <c r="H393" s="1409">
        <v>0.1118</v>
      </c>
      <c r="I393" s="1409">
        <v>2.5350000000000001E-2</v>
      </c>
      <c r="J393" s="1410">
        <v>45.19</v>
      </c>
    </row>
    <row r="394" spans="2:10" x14ac:dyDescent="0.25">
      <c r="B394" s="1407" t="s">
        <v>912</v>
      </c>
      <c r="C394" s="1408">
        <v>2065</v>
      </c>
      <c r="D394" s="1407">
        <v>1249000</v>
      </c>
      <c r="E394" s="1409">
        <v>1242000</v>
      </c>
      <c r="F394" s="1410">
        <v>1078000</v>
      </c>
      <c r="G394" s="1407">
        <v>23.84</v>
      </c>
      <c r="H394" s="1409">
        <v>0.16985799999999998</v>
      </c>
      <c r="I394" s="1409">
        <v>3.7813000000000001E-4</v>
      </c>
      <c r="J394" s="1410">
        <v>29.157000000000004</v>
      </c>
    </row>
    <row r="395" spans="2:10" x14ac:dyDescent="0.25">
      <c r="B395" s="1407" t="s">
        <v>1080</v>
      </c>
      <c r="C395" s="1408">
        <v>2065</v>
      </c>
      <c r="D395" s="1407">
        <v>1190000</v>
      </c>
      <c r="E395" s="1409">
        <v>51590</v>
      </c>
      <c r="F395" s="1410">
        <v>29220</v>
      </c>
      <c r="G395" s="1407">
        <v>3.7582</v>
      </c>
      <c r="H395" s="1409">
        <v>8.4366999999999984E-3</v>
      </c>
      <c r="I395" s="1409">
        <v>-3.8261190000000002E-3</v>
      </c>
      <c r="J395" s="1410">
        <v>3.0054000000000003</v>
      </c>
    </row>
    <row r="396" spans="2:10" x14ac:dyDescent="0.25">
      <c r="B396" s="1407" t="s">
        <v>815</v>
      </c>
      <c r="C396" s="1408">
        <v>2065</v>
      </c>
      <c r="D396" s="1407">
        <v>1190000</v>
      </c>
      <c r="E396" s="1409">
        <v>51590</v>
      </c>
      <c r="F396" s="1410">
        <v>29220</v>
      </c>
      <c r="G396" s="1407">
        <v>3.7582</v>
      </c>
      <c r="H396" s="1409">
        <v>8.4366999999999984E-3</v>
      </c>
      <c r="I396" s="1409">
        <v>-3.8261190000000002E-3</v>
      </c>
      <c r="J396" s="1410">
        <v>3.0054000000000003</v>
      </c>
    </row>
    <row r="397" spans="2:10" x14ac:dyDescent="0.25">
      <c r="B397" s="1407" t="s">
        <v>824</v>
      </c>
      <c r="C397" s="1408">
        <v>2065</v>
      </c>
      <c r="D397" s="1407">
        <v>1190000</v>
      </c>
      <c r="E397" s="1409">
        <v>51590</v>
      </c>
      <c r="F397" s="1410">
        <v>29220</v>
      </c>
      <c r="G397" s="1407">
        <v>3.7582</v>
      </c>
      <c r="H397" s="1409">
        <v>8.4366999999999984E-3</v>
      </c>
      <c r="I397" s="1409">
        <v>-3.8261190000000002E-3</v>
      </c>
      <c r="J397" s="1410">
        <v>3.0054000000000003</v>
      </c>
    </row>
    <row r="398" spans="2:10" ht="13" thickBot="1" x14ac:dyDescent="0.3">
      <c r="B398" s="1411" t="s">
        <v>1087</v>
      </c>
      <c r="C398" s="1412">
        <v>2065</v>
      </c>
      <c r="D398" s="1411">
        <v>1384000</v>
      </c>
      <c r="E398" s="1413">
        <v>1383000</v>
      </c>
      <c r="F398" s="1414">
        <v>5034</v>
      </c>
      <c r="G398" s="1411">
        <v>78.571100000000001</v>
      </c>
      <c r="H398" s="1413">
        <v>0.27494000000000002</v>
      </c>
      <c r="I398" s="1413">
        <v>2.3304000000000003E-3</v>
      </c>
      <c r="J398" s="1414">
        <v>87.594300000000004</v>
      </c>
    </row>
    <row r="399" spans="2:10" x14ac:dyDescent="0.25">
      <c r="B399" s="1403" t="s">
        <v>1084</v>
      </c>
      <c r="C399" s="1404">
        <v>2070</v>
      </c>
      <c r="D399" s="1403">
        <v>1092000</v>
      </c>
      <c r="E399" s="1405">
        <v>1092000</v>
      </c>
      <c r="F399" s="1406">
        <v>3971</v>
      </c>
      <c r="G399" s="1403">
        <v>5.7390999999999996</v>
      </c>
      <c r="H399" s="1405">
        <v>0.18462200000000001</v>
      </c>
      <c r="I399" s="1405">
        <v>8.61E-4</v>
      </c>
      <c r="J399" s="1406">
        <v>11.5648</v>
      </c>
    </row>
    <row r="400" spans="2:10" x14ac:dyDescent="0.25">
      <c r="B400" s="1407" t="s">
        <v>283</v>
      </c>
      <c r="C400" s="1408">
        <v>2070</v>
      </c>
      <c r="D400" s="1407">
        <v>1092000</v>
      </c>
      <c r="E400" s="1409">
        <v>1092000</v>
      </c>
      <c r="F400" s="1410">
        <v>3971</v>
      </c>
      <c r="G400" s="1407">
        <v>5.7390999999999996</v>
      </c>
      <c r="H400" s="1409">
        <v>0.18462200000000001</v>
      </c>
      <c r="I400" s="1409">
        <v>8.61E-4</v>
      </c>
      <c r="J400" s="1410">
        <v>11.5648</v>
      </c>
    </row>
    <row r="401" spans="2:10" x14ac:dyDescent="0.25">
      <c r="B401" s="1407" t="s">
        <v>1085</v>
      </c>
      <c r="C401" s="1408">
        <v>2070</v>
      </c>
      <c r="D401" s="1407">
        <v>1092000</v>
      </c>
      <c r="E401" s="1409">
        <v>1092000</v>
      </c>
      <c r="F401" s="1410">
        <v>3971</v>
      </c>
      <c r="G401" s="1407">
        <v>5.7390999999999996</v>
      </c>
      <c r="H401" s="1409">
        <v>0.18462200000000001</v>
      </c>
      <c r="I401" s="1409">
        <v>8.61E-4</v>
      </c>
      <c r="J401" s="1410">
        <v>11.5648</v>
      </c>
    </row>
    <row r="402" spans="2:10" x14ac:dyDescent="0.25">
      <c r="B402" s="1407" t="s">
        <v>681</v>
      </c>
      <c r="C402" s="1408">
        <v>2070</v>
      </c>
      <c r="D402" s="1407">
        <v>1092000</v>
      </c>
      <c r="E402" s="1409">
        <v>1092000</v>
      </c>
      <c r="F402" s="1410">
        <v>3971</v>
      </c>
      <c r="G402" s="1407">
        <v>5.7390999999999996</v>
      </c>
      <c r="H402" s="1409">
        <v>0.18462200000000001</v>
      </c>
      <c r="I402" s="1409">
        <v>8.61E-4</v>
      </c>
      <c r="J402" s="1410">
        <v>11.5648</v>
      </c>
    </row>
    <row r="403" spans="2:10" x14ac:dyDescent="0.25">
      <c r="B403" s="1407" t="s">
        <v>682</v>
      </c>
      <c r="C403" s="1408">
        <v>2070</v>
      </c>
      <c r="D403" s="1407">
        <v>-1185000</v>
      </c>
      <c r="E403" s="1409">
        <v>0</v>
      </c>
      <c r="F403" s="1410">
        <v>0</v>
      </c>
      <c r="G403" s="1407">
        <v>-85.800000000000011</v>
      </c>
      <c r="H403" s="1409">
        <v>0.54700000000000004</v>
      </c>
      <c r="I403" s="1409">
        <v>-1.8286999999999999E-3</v>
      </c>
      <c r="J403" s="1410">
        <v>-70.08</v>
      </c>
    </row>
    <row r="404" spans="2:10" x14ac:dyDescent="0.25">
      <c r="B404" s="1407" t="s">
        <v>683</v>
      </c>
      <c r="C404" s="1408">
        <v>2070</v>
      </c>
      <c r="D404" s="1407">
        <v>1721000</v>
      </c>
      <c r="E404" s="1409">
        <v>1293000</v>
      </c>
      <c r="F404" s="1410">
        <v>15050</v>
      </c>
      <c r="G404" s="1407">
        <v>125.08</v>
      </c>
      <c r="H404" s="1409">
        <v>0.20477100000000001</v>
      </c>
      <c r="I404" s="1409">
        <v>1.7827000000000001E-3</v>
      </c>
      <c r="J404" s="1410">
        <v>129.82</v>
      </c>
    </row>
    <row r="405" spans="2:10" x14ac:dyDescent="0.25">
      <c r="B405" s="1407" t="s">
        <v>698</v>
      </c>
      <c r="C405" s="1408">
        <v>2070</v>
      </c>
      <c r="D405" s="1407">
        <v>1721000</v>
      </c>
      <c r="E405" s="1409">
        <v>1293000</v>
      </c>
      <c r="F405" s="1410">
        <v>15050</v>
      </c>
      <c r="G405" s="1407">
        <v>125.08</v>
      </c>
      <c r="H405" s="1409">
        <v>0.20477100000000001</v>
      </c>
      <c r="I405" s="1409">
        <v>1.7827000000000001E-3</v>
      </c>
      <c r="J405" s="1410">
        <v>129.82</v>
      </c>
    </row>
    <row r="406" spans="2:10" x14ac:dyDescent="0.25">
      <c r="B406" s="1407" t="s">
        <v>684</v>
      </c>
      <c r="C406" s="1408">
        <v>2070</v>
      </c>
      <c r="D406" s="1407">
        <v>1721000</v>
      </c>
      <c r="E406" s="1409">
        <v>1293000</v>
      </c>
      <c r="F406" s="1410">
        <v>15050</v>
      </c>
      <c r="G406" s="1407">
        <v>125.08</v>
      </c>
      <c r="H406" s="1409">
        <v>0.20477100000000001</v>
      </c>
      <c r="I406" s="1409">
        <v>1.7827000000000001E-3</v>
      </c>
      <c r="J406" s="1410">
        <v>129.82</v>
      </c>
    </row>
    <row r="407" spans="2:10" x14ac:dyDescent="0.25">
      <c r="B407" s="1407" t="s">
        <v>1086</v>
      </c>
      <c r="C407" s="1408">
        <v>2070</v>
      </c>
      <c r="D407" s="1407">
        <v>1022000</v>
      </c>
      <c r="E407" s="1409">
        <v>1021000</v>
      </c>
      <c r="F407" s="1410">
        <v>15510</v>
      </c>
      <c r="G407" s="1407">
        <v>1.6964999999999999</v>
      </c>
      <c r="H407" s="1409">
        <v>0.14096238999999999</v>
      </c>
      <c r="I407" s="1409">
        <v>3.2765999999999998E-5</v>
      </c>
      <c r="J407" s="1410">
        <v>5.9536999999999995</v>
      </c>
    </row>
    <row r="408" spans="2:10" x14ac:dyDescent="0.25">
      <c r="B408" s="1407" t="s">
        <v>716</v>
      </c>
      <c r="C408" s="1408">
        <v>2070</v>
      </c>
      <c r="D408" s="1407">
        <v>1022000</v>
      </c>
      <c r="E408" s="1409">
        <v>1021000</v>
      </c>
      <c r="F408" s="1410">
        <v>15510</v>
      </c>
      <c r="G408" s="1407">
        <v>1.6964999999999999</v>
      </c>
      <c r="H408" s="1409">
        <v>0.14096238999999999</v>
      </c>
      <c r="I408" s="1409">
        <v>3.2765999999999998E-5</v>
      </c>
      <c r="J408" s="1410">
        <v>5.9536999999999995</v>
      </c>
    </row>
    <row r="409" spans="2:10" x14ac:dyDescent="0.25">
      <c r="B409" s="1407" t="s">
        <v>717</v>
      </c>
      <c r="C409" s="1408">
        <v>2070</v>
      </c>
      <c r="D409" s="1407">
        <v>1022000</v>
      </c>
      <c r="E409" s="1409">
        <v>1021000</v>
      </c>
      <c r="F409" s="1410">
        <v>15510</v>
      </c>
      <c r="G409" s="1407">
        <v>1.6964999999999999</v>
      </c>
      <c r="H409" s="1409">
        <v>0.14096238999999999</v>
      </c>
      <c r="I409" s="1409">
        <v>3.2765999999999998E-5</v>
      </c>
      <c r="J409" s="1410">
        <v>5.9536999999999995</v>
      </c>
    </row>
    <row r="410" spans="2:10" x14ac:dyDescent="0.25">
      <c r="B410" s="1407" t="s">
        <v>911</v>
      </c>
      <c r="C410" s="1408">
        <v>2070</v>
      </c>
      <c r="D410" s="1407">
        <v>1209000</v>
      </c>
      <c r="E410" s="1409">
        <v>1202000</v>
      </c>
      <c r="F410" s="1410">
        <v>1052000</v>
      </c>
      <c r="G410" s="1407">
        <v>17.969000000000001</v>
      </c>
      <c r="H410" s="1409">
        <v>0.164128</v>
      </c>
      <c r="I410" s="1409">
        <v>2.9025999999999998E-4</v>
      </c>
      <c r="J410" s="1410">
        <v>22.988</v>
      </c>
    </row>
    <row r="411" spans="2:10" x14ac:dyDescent="0.25">
      <c r="B411" s="1407" t="s">
        <v>909</v>
      </c>
      <c r="C411" s="1408">
        <v>2070</v>
      </c>
      <c r="D411" s="1407">
        <v>1585000</v>
      </c>
      <c r="E411" s="1409">
        <v>696300</v>
      </c>
      <c r="F411" s="1410">
        <v>286000</v>
      </c>
      <c r="G411" s="1407">
        <v>38.049999999999997</v>
      </c>
      <c r="H411" s="1409">
        <v>0.1118</v>
      </c>
      <c r="I411" s="1409">
        <v>2.5350000000000001E-2</v>
      </c>
      <c r="J411" s="1410">
        <v>45.19</v>
      </c>
    </row>
    <row r="412" spans="2:10" x14ac:dyDescent="0.25">
      <c r="B412" s="1407" t="s">
        <v>912</v>
      </c>
      <c r="C412" s="1408">
        <v>2070</v>
      </c>
      <c r="D412" s="1407">
        <v>1249000</v>
      </c>
      <c r="E412" s="1409">
        <v>1242000</v>
      </c>
      <c r="F412" s="1410">
        <v>1078000</v>
      </c>
      <c r="G412" s="1407">
        <v>23.84</v>
      </c>
      <c r="H412" s="1409">
        <v>0.16985799999999998</v>
      </c>
      <c r="I412" s="1409">
        <v>3.7813000000000001E-4</v>
      </c>
      <c r="J412" s="1410">
        <v>29.157000000000004</v>
      </c>
    </row>
    <row r="413" spans="2:10" x14ac:dyDescent="0.25">
      <c r="B413" s="1407" t="s">
        <v>1080</v>
      </c>
      <c r="C413" s="1408">
        <v>2070</v>
      </c>
      <c r="D413" s="1407">
        <v>1190000</v>
      </c>
      <c r="E413" s="1409">
        <v>51590</v>
      </c>
      <c r="F413" s="1410">
        <v>29220</v>
      </c>
      <c r="G413" s="1407">
        <v>3.7582</v>
      </c>
      <c r="H413" s="1409">
        <v>8.4366999999999984E-3</v>
      </c>
      <c r="I413" s="1409">
        <v>-3.8261190000000002E-3</v>
      </c>
      <c r="J413" s="1410">
        <v>3.0054000000000003</v>
      </c>
    </row>
    <row r="414" spans="2:10" x14ac:dyDescent="0.25">
      <c r="B414" s="1407" t="s">
        <v>815</v>
      </c>
      <c r="C414" s="1408">
        <v>2070</v>
      </c>
      <c r="D414" s="1407">
        <v>1190000</v>
      </c>
      <c r="E414" s="1409">
        <v>51590</v>
      </c>
      <c r="F414" s="1410">
        <v>29220</v>
      </c>
      <c r="G414" s="1407">
        <v>3.7582</v>
      </c>
      <c r="H414" s="1409">
        <v>8.4366999999999984E-3</v>
      </c>
      <c r="I414" s="1409">
        <v>-3.8261190000000002E-3</v>
      </c>
      <c r="J414" s="1410">
        <v>3.0054000000000003</v>
      </c>
    </row>
    <row r="415" spans="2:10" x14ac:dyDescent="0.25">
      <c r="B415" s="1407" t="s">
        <v>824</v>
      </c>
      <c r="C415" s="1408">
        <v>2070</v>
      </c>
      <c r="D415" s="1407">
        <v>1190000</v>
      </c>
      <c r="E415" s="1409">
        <v>51590</v>
      </c>
      <c r="F415" s="1410">
        <v>29220</v>
      </c>
      <c r="G415" s="1407">
        <v>3.7582</v>
      </c>
      <c r="H415" s="1409">
        <v>8.4366999999999984E-3</v>
      </c>
      <c r="I415" s="1409">
        <v>-3.8261190000000002E-3</v>
      </c>
      <c r="J415" s="1410">
        <v>3.0054000000000003</v>
      </c>
    </row>
    <row r="416" spans="2:10" ht="13" thickBot="1" x14ac:dyDescent="0.3">
      <c r="B416" s="1411" t="s">
        <v>1087</v>
      </c>
      <c r="C416" s="1412">
        <v>2070</v>
      </c>
      <c r="D416" s="1411">
        <v>1384000</v>
      </c>
      <c r="E416" s="1413">
        <v>1383000</v>
      </c>
      <c r="F416" s="1414">
        <v>5034</v>
      </c>
      <c r="G416" s="1411">
        <v>78.571100000000001</v>
      </c>
      <c r="H416" s="1413">
        <v>0.27494000000000002</v>
      </c>
      <c r="I416" s="1413">
        <v>2.3304000000000003E-3</v>
      </c>
      <c r="J416" s="1414">
        <v>87.594300000000004</v>
      </c>
    </row>
    <row r="417" spans="2:10" x14ac:dyDescent="0.25">
      <c r="B417" s="1403" t="s">
        <v>1084</v>
      </c>
      <c r="C417" s="1404">
        <v>2075</v>
      </c>
      <c r="D417" s="1403">
        <v>1092000</v>
      </c>
      <c r="E417" s="1405">
        <v>1092000</v>
      </c>
      <c r="F417" s="1406">
        <v>3971</v>
      </c>
      <c r="G417" s="1403">
        <v>5.7390999999999996</v>
      </c>
      <c r="H417" s="1405">
        <v>0.18462200000000001</v>
      </c>
      <c r="I417" s="1405">
        <v>8.61E-4</v>
      </c>
      <c r="J417" s="1406">
        <v>11.5648</v>
      </c>
    </row>
    <row r="418" spans="2:10" x14ac:dyDescent="0.25">
      <c r="B418" s="1407" t="s">
        <v>283</v>
      </c>
      <c r="C418" s="1408">
        <v>2075</v>
      </c>
      <c r="D418" s="1407">
        <v>1092000</v>
      </c>
      <c r="E418" s="1409">
        <v>1092000</v>
      </c>
      <c r="F418" s="1410">
        <v>3971</v>
      </c>
      <c r="G418" s="1407">
        <v>5.7390999999999996</v>
      </c>
      <c r="H418" s="1409">
        <v>0.18462200000000001</v>
      </c>
      <c r="I418" s="1409">
        <v>8.61E-4</v>
      </c>
      <c r="J418" s="1410">
        <v>11.5648</v>
      </c>
    </row>
    <row r="419" spans="2:10" x14ac:dyDescent="0.25">
      <c r="B419" s="1407" t="s">
        <v>1085</v>
      </c>
      <c r="C419" s="1408">
        <v>2075</v>
      </c>
      <c r="D419" s="1407">
        <v>1092000</v>
      </c>
      <c r="E419" s="1409">
        <v>1092000</v>
      </c>
      <c r="F419" s="1410">
        <v>3971</v>
      </c>
      <c r="G419" s="1407">
        <v>5.7390999999999996</v>
      </c>
      <c r="H419" s="1409">
        <v>0.18462200000000001</v>
      </c>
      <c r="I419" s="1409">
        <v>8.61E-4</v>
      </c>
      <c r="J419" s="1410">
        <v>11.5648</v>
      </c>
    </row>
    <row r="420" spans="2:10" x14ac:dyDescent="0.25">
      <c r="B420" s="1407" t="s">
        <v>681</v>
      </c>
      <c r="C420" s="1408">
        <v>2075</v>
      </c>
      <c r="D420" s="1407">
        <v>1092000</v>
      </c>
      <c r="E420" s="1409">
        <v>1092000</v>
      </c>
      <c r="F420" s="1410">
        <v>3971</v>
      </c>
      <c r="G420" s="1407">
        <v>5.7390999999999996</v>
      </c>
      <c r="H420" s="1409">
        <v>0.18462200000000001</v>
      </c>
      <c r="I420" s="1409">
        <v>8.61E-4</v>
      </c>
      <c r="J420" s="1410">
        <v>11.5648</v>
      </c>
    </row>
    <row r="421" spans="2:10" x14ac:dyDescent="0.25">
      <c r="B421" s="1407" t="s">
        <v>682</v>
      </c>
      <c r="C421" s="1408">
        <v>2075</v>
      </c>
      <c r="D421" s="1407">
        <v>-1185000</v>
      </c>
      <c r="E421" s="1409">
        <v>0</v>
      </c>
      <c r="F421" s="1410">
        <v>0</v>
      </c>
      <c r="G421" s="1407">
        <v>-85.800000000000011</v>
      </c>
      <c r="H421" s="1409">
        <v>0.54700000000000004</v>
      </c>
      <c r="I421" s="1409">
        <v>-1.8286999999999999E-3</v>
      </c>
      <c r="J421" s="1410">
        <v>-70.08</v>
      </c>
    </row>
    <row r="422" spans="2:10" x14ac:dyDescent="0.25">
      <c r="B422" s="1407" t="s">
        <v>683</v>
      </c>
      <c r="C422" s="1408">
        <v>2075</v>
      </c>
      <c r="D422" s="1407">
        <v>1721000</v>
      </c>
      <c r="E422" s="1409">
        <v>1293000</v>
      </c>
      <c r="F422" s="1410">
        <v>15050</v>
      </c>
      <c r="G422" s="1407">
        <v>125.08</v>
      </c>
      <c r="H422" s="1409">
        <v>0.20477100000000001</v>
      </c>
      <c r="I422" s="1409">
        <v>1.7827000000000001E-3</v>
      </c>
      <c r="J422" s="1410">
        <v>129.82</v>
      </c>
    </row>
    <row r="423" spans="2:10" x14ac:dyDescent="0.25">
      <c r="B423" s="1407" t="s">
        <v>698</v>
      </c>
      <c r="C423" s="1408">
        <v>2075</v>
      </c>
      <c r="D423" s="1407">
        <v>1721000</v>
      </c>
      <c r="E423" s="1409">
        <v>1293000</v>
      </c>
      <c r="F423" s="1410">
        <v>15050</v>
      </c>
      <c r="G423" s="1407">
        <v>125.08</v>
      </c>
      <c r="H423" s="1409">
        <v>0.20477100000000001</v>
      </c>
      <c r="I423" s="1409">
        <v>1.7827000000000001E-3</v>
      </c>
      <c r="J423" s="1410">
        <v>129.82</v>
      </c>
    </row>
    <row r="424" spans="2:10" x14ac:dyDescent="0.25">
      <c r="B424" s="1407" t="s">
        <v>684</v>
      </c>
      <c r="C424" s="1408">
        <v>2075</v>
      </c>
      <c r="D424" s="1407">
        <v>1721000</v>
      </c>
      <c r="E424" s="1409">
        <v>1293000</v>
      </c>
      <c r="F424" s="1410">
        <v>15050</v>
      </c>
      <c r="G424" s="1407">
        <v>125.08</v>
      </c>
      <c r="H424" s="1409">
        <v>0.20477100000000001</v>
      </c>
      <c r="I424" s="1409">
        <v>1.7827000000000001E-3</v>
      </c>
      <c r="J424" s="1410">
        <v>129.82</v>
      </c>
    </row>
    <row r="425" spans="2:10" x14ac:dyDescent="0.25">
      <c r="B425" s="1407" t="s">
        <v>1086</v>
      </c>
      <c r="C425" s="1408">
        <v>2075</v>
      </c>
      <c r="D425" s="1407">
        <v>1022000</v>
      </c>
      <c r="E425" s="1409">
        <v>1021000</v>
      </c>
      <c r="F425" s="1410">
        <v>15510</v>
      </c>
      <c r="G425" s="1407">
        <v>1.6964999999999999</v>
      </c>
      <c r="H425" s="1409">
        <v>0.14096238999999999</v>
      </c>
      <c r="I425" s="1409">
        <v>3.2765999999999998E-5</v>
      </c>
      <c r="J425" s="1410">
        <v>5.9536999999999995</v>
      </c>
    </row>
    <row r="426" spans="2:10" x14ac:dyDescent="0.25">
      <c r="B426" s="1407" t="s">
        <v>716</v>
      </c>
      <c r="C426" s="1408">
        <v>2075</v>
      </c>
      <c r="D426" s="1407">
        <v>1022000</v>
      </c>
      <c r="E426" s="1409">
        <v>1021000</v>
      </c>
      <c r="F426" s="1410">
        <v>15510</v>
      </c>
      <c r="G426" s="1407">
        <v>1.6964999999999999</v>
      </c>
      <c r="H426" s="1409">
        <v>0.14096238999999999</v>
      </c>
      <c r="I426" s="1409">
        <v>3.2765999999999998E-5</v>
      </c>
      <c r="J426" s="1410">
        <v>5.9536999999999995</v>
      </c>
    </row>
    <row r="427" spans="2:10" x14ac:dyDescent="0.25">
      <c r="B427" s="1407" t="s">
        <v>717</v>
      </c>
      <c r="C427" s="1408">
        <v>2075</v>
      </c>
      <c r="D427" s="1407">
        <v>1022000</v>
      </c>
      <c r="E427" s="1409">
        <v>1021000</v>
      </c>
      <c r="F427" s="1410">
        <v>15510</v>
      </c>
      <c r="G427" s="1407">
        <v>1.6964999999999999</v>
      </c>
      <c r="H427" s="1409">
        <v>0.14096238999999999</v>
      </c>
      <c r="I427" s="1409">
        <v>3.2765999999999998E-5</v>
      </c>
      <c r="J427" s="1410">
        <v>5.9536999999999995</v>
      </c>
    </row>
    <row r="428" spans="2:10" x14ac:dyDescent="0.25">
      <c r="B428" s="1407" t="s">
        <v>911</v>
      </c>
      <c r="C428" s="1408">
        <v>2075</v>
      </c>
      <c r="D428" s="1407">
        <v>1209000</v>
      </c>
      <c r="E428" s="1409">
        <v>1202000</v>
      </c>
      <c r="F428" s="1410">
        <v>1052000</v>
      </c>
      <c r="G428" s="1407">
        <v>17.969000000000001</v>
      </c>
      <c r="H428" s="1409">
        <v>0.164128</v>
      </c>
      <c r="I428" s="1409">
        <v>2.9025999999999998E-4</v>
      </c>
      <c r="J428" s="1410">
        <v>22.988</v>
      </c>
    </row>
    <row r="429" spans="2:10" x14ac:dyDescent="0.25">
      <c r="B429" s="1407" t="s">
        <v>909</v>
      </c>
      <c r="C429" s="1408">
        <v>2075</v>
      </c>
      <c r="D429" s="1407">
        <v>1585000</v>
      </c>
      <c r="E429" s="1409">
        <v>696300</v>
      </c>
      <c r="F429" s="1410">
        <v>286000</v>
      </c>
      <c r="G429" s="1407">
        <v>38.049999999999997</v>
      </c>
      <c r="H429" s="1409">
        <v>0.1118</v>
      </c>
      <c r="I429" s="1409">
        <v>2.5350000000000001E-2</v>
      </c>
      <c r="J429" s="1410">
        <v>45.19</v>
      </c>
    </row>
    <row r="430" spans="2:10" x14ac:dyDescent="0.25">
      <c r="B430" s="1407" t="s">
        <v>912</v>
      </c>
      <c r="C430" s="1408">
        <v>2075</v>
      </c>
      <c r="D430" s="1407">
        <v>1249000</v>
      </c>
      <c r="E430" s="1409">
        <v>1242000</v>
      </c>
      <c r="F430" s="1410">
        <v>1078000</v>
      </c>
      <c r="G430" s="1407">
        <v>23.84</v>
      </c>
      <c r="H430" s="1409">
        <v>0.16985799999999998</v>
      </c>
      <c r="I430" s="1409">
        <v>3.7813000000000001E-4</v>
      </c>
      <c r="J430" s="1410">
        <v>29.157000000000004</v>
      </c>
    </row>
    <row r="431" spans="2:10" x14ac:dyDescent="0.25">
      <c r="B431" s="1407" t="s">
        <v>1080</v>
      </c>
      <c r="C431" s="1408">
        <v>2075</v>
      </c>
      <c r="D431" s="1407">
        <v>1190000</v>
      </c>
      <c r="E431" s="1409">
        <v>51590</v>
      </c>
      <c r="F431" s="1410">
        <v>29220</v>
      </c>
      <c r="G431" s="1407">
        <v>3.7582</v>
      </c>
      <c r="H431" s="1409">
        <v>8.4366999999999984E-3</v>
      </c>
      <c r="I431" s="1409">
        <v>-3.8261190000000002E-3</v>
      </c>
      <c r="J431" s="1410">
        <v>3.0054000000000003</v>
      </c>
    </row>
    <row r="432" spans="2:10" x14ac:dyDescent="0.25">
      <c r="B432" s="1407" t="s">
        <v>815</v>
      </c>
      <c r="C432" s="1408">
        <v>2075</v>
      </c>
      <c r="D432" s="1407">
        <v>1190000</v>
      </c>
      <c r="E432" s="1409">
        <v>51590</v>
      </c>
      <c r="F432" s="1410">
        <v>29220</v>
      </c>
      <c r="G432" s="1407">
        <v>3.7582</v>
      </c>
      <c r="H432" s="1409">
        <v>8.4366999999999984E-3</v>
      </c>
      <c r="I432" s="1409">
        <v>-3.8261190000000002E-3</v>
      </c>
      <c r="J432" s="1410">
        <v>3.0054000000000003</v>
      </c>
    </row>
    <row r="433" spans="2:10" x14ac:dyDescent="0.25">
      <c r="B433" s="1407" t="s">
        <v>824</v>
      </c>
      <c r="C433" s="1408">
        <v>2075</v>
      </c>
      <c r="D433" s="1407">
        <v>1190000</v>
      </c>
      <c r="E433" s="1409">
        <v>51590</v>
      </c>
      <c r="F433" s="1410">
        <v>29220</v>
      </c>
      <c r="G433" s="1407">
        <v>3.7582</v>
      </c>
      <c r="H433" s="1409">
        <v>8.4366999999999984E-3</v>
      </c>
      <c r="I433" s="1409">
        <v>-3.8261190000000002E-3</v>
      </c>
      <c r="J433" s="1410">
        <v>3.0054000000000003</v>
      </c>
    </row>
    <row r="434" spans="2:10" ht="13" thickBot="1" x14ac:dyDescent="0.3">
      <c r="B434" s="1411" t="s">
        <v>1087</v>
      </c>
      <c r="C434" s="1412">
        <v>2075</v>
      </c>
      <c r="D434" s="1411">
        <v>1384000</v>
      </c>
      <c r="E434" s="1413">
        <v>1383000</v>
      </c>
      <c r="F434" s="1414">
        <v>5034</v>
      </c>
      <c r="G434" s="1411">
        <v>78.571100000000001</v>
      </c>
      <c r="H434" s="1413">
        <v>0.27494000000000002</v>
      </c>
      <c r="I434" s="1413">
        <v>2.3304000000000003E-3</v>
      </c>
      <c r="J434" s="1414">
        <v>87.594300000000004</v>
      </c>
    </row>
    <row r="435" spans="2:10" x14ac:dyDescent="0.25">
      <c r="B435" s="1403" t="s">
        <v>1084</v>
      </c>
      <c r="C435" s="1404">
        <v>2080</v>
      </c>
      <c r="D435" s="1403">
        <v>1092000</v>
      </c>
      <c r="E435" s="1405">
        <v>1092000</v>
      </c>
      <c r="F435" s="1406">
        <v>3971</v>
      </c>
      <c r="G435" s="1403">
        <v>5.7390999999999996</v>
      </c>
      <c r="H435" s="1405">
        <v>0.18462200000000001</v>
      </c>
      <c r="I435" s="1405">
        <v>8.61E-4</v>
      </c>
      <c r="J435" s="1406">
        <v>11.5648</v>
      </c>
    </row>
    <row r="436" spans="2:10" x14ac:dyDescent="0.25">
      <c r="B436" s="1407" t="s">
        <v>283</v>
      </c>
      <c r="C436" s="1408">
        <v>2080</v>
      </c>
      <c r="D436" s="1407">
        <v>1092000</v>
      </c>
      <c r="E436" s="1409">
        <v>1092000</v>
      </c>
      <c r="F436" s="1410">
        <v>3971</v>
      </c>
      <c r="G436" s="1407">
        <v>5.7390999999999996</v>
      </c>
      <c r="H436" s="1409">
        <v>0.18462200000000001</v>
      </c>
      <c r="I436" s="1409">
        <v>8.61E-4</v>
      </c>
      <c r="J436" s="1410">
        <v>11.5648</v>
      </c>
    </row>
    <row r="437" spans="2:10" x14ac:dyDescent="0.25">
      <c r="B437" s="1407" t="s">
        <v>1085</v>
      </c>
      <c r="C437" s="1408">
        <v>2080</v>
      </c>
      <c r="D437" s="1407">
        <v>1092000</v>
      </c>
      <c r="E437" s="1409">
        <v>1092000</v>
      </c>
      <c r="F437" s="1410">
        <v>3971</v>
      </c>
      <c r="G437" s="1407">
        <v>5.7390999999999996</v>
      </c>
      <c r="H437" s="1409">
        <v>0.18462200000000001</v>
      </c>
      <c r="I437" s="1409">
        <v>8.61E-4</v>
      </c>
      <c r="J437" s="1410">
        <v>11.5648</v>
      </c>
    </row>
    <row r="438" spans="2:10" x14ac:dyDescent="0.25">
      <c r="B438" s="1407" t="s">
        <v>681</v>
      </c>
      <c r="C438" s="1408">
        <v>2080</v>
      </c>
      <c r="D438" s="1407">
        <v>1092000</v>
      </c>
      <c r="E438" s="1409">
        <v>1092000</v>
      </c>
      <c r="F438" s="1410">
        <v>3971</v>
      </c>
      <c r="G438" s="1407">
        <v>5.7390999999999996</v>
      </c>
      <c r="H438" s="1409">
        <v>0.18462200000000001</v>
      </c>
      <c r="I438" s="1409">
        <v>8.61E-4</v>
      </c>
      <c r="J438" s="1410">
        <v>11.5648</v>
      </c>
    </row>
    <row r="439" spans="2:10" x14ac:dyDescent="0.25">
      <c r="B439" s="1407" t="s">
        <v>682</v>
      </c>
      <c r="C439" s="1408">
        <v>2080</v>
      </c>
      <c r="D439" s="1407">
        <v>-1185000</v>
      </c>
      <c r="E439" s="1409">
        <v>0</v>
      </c>
      <c r="F439" s="1410">
        <v>0</v>
      </c>
      <c r="G439" s="1407">
        <v>-85.800000000000011</v>
      </c>
      <c r="H439" s="1409">
        <v>0.54700000000000004</v>
      </c>
      <c r="I439" s="1409">
        <v>-1.8286999999999999E-3</v>
      </c>
      <c r="J439" s="1410">
        <v>-70.08</v>
      </c>
    </row>
    <row r="440" spans="2:10" x14ac:dyDescent="0.25">
      <c r="B440" s="1407" t="s">
        <v>683</v>
      </c>
      <c r="C440" s="1408">
        <v>2080</v>
      </c>
      <c r="D440" s="1407">
        <v>1721000</v>
      </c>
      <c r="E440" s="1409">
        <v>1293000</v>
      </c>
      <c r="F440" s="1410">
        <v>15050</v>
      </c>
      <c r="G440" s="1407">
        <v>125.08</v>
      </c>
      <c r="H440" s="1409">
        <v>0.20477100000000001</v>
      </c>
      <c r="I440" s="1409">
        <v>1.7827000000000001E-3</v>
      </c>
      <c r="J440" s="1410">
        <v>129.82</v>
      </c>
    </row>
    <row r="441" spans="2:10" x14ac:dyDescent="0.25">
      <c r="B441" s="1407" t="s">
        <v>698</v>
      </c>
      <c r="C441" s="1408">
        <v>2080</v>
      </c>
      <c r="D441" s="1407">
        <v>1721000</v>
      </c>
      <c r="E441" s="1409">
        <v>1293000</v>
      </c>
      <c r="F441" s="1410">
        <v>15050</v>
      </c>
      <c r="G441" s="1407">
        <v>125.08</v>
      </c>
      <c r="H441" s="1409">
        <v>0.20477100000000001</v>
      </c>
      <c r="I441" s="1409">
        <v>1.7827000000000001E-3</v>
      </c>
      <c r="J441" s="1410">
        <v>129.82</v>
      </c>
    </row>
    <row r="442" spans="2:10" x14ac:dyDescent="0.25">
      <c r="B442" s="1407" t="s">
        <v>684</v>
      </c>
      <c r="C442" s="1408">
        <v>2080</v>
      </c>
      <c r="D442" s="1407">
        <v>1721000</v>
      </c>
      <c r="E442" s="1409">
        <v>1293000</v>
      </c>
      <c r="F442" s="1410">
        <v>15050</v>
      </c>
      <c r="G442" s="1407">
        <v>125.08</v>
      </c>
      <c r="H442" s="1409">
        <v>0.20477100000000001</v>
      </c>
      <c r="I442" s="1409">
        <v>1.7827000000000001E-3</v>
      </c>
      <c r="J442" s="1410">
        <v>129.82</v>
      </c>
    </row>
    <row r="443" spans="2:10" x14ac:dyDescent="0.25">
      <c r="B443" s="1407" t="s">
        <v>1086</v>
      </c>
      <c r="C443" s="1408">
        <v>2080</v>
      </c>
      <c r="D443" s="1407">
        <v>1022000</v>
      </c>
      <c r="E443" s="1409">
        <v>1021000</v>
      </c>
      <c r="F443" s="1410">
        <v>15510</v>
      </c>
      <c r="G443" s="1407">
        <v>1.6964999999999999</v>
      </c>
      <c r="H443" s="1409">
        <v>0.14096238999999999</v>
      </c>
      <c r="I443" s="1409">
        <v>3.2765999999999998E-5</v>
      </c>
      <c r="J443" s="1410">
        <v>5.9536999999999995</v>
      </c>
    </row>
    <row r="444" spans="2:10" x14ac:dyDescent="0.25">
      <c r="B444" s="1407" t="s">
        <v>716</v>
      </c>
      <c r="C444" s="1408">
        <v>2080</v>
      </c>
      <c r="D444" s="1407">
        <v>1022000</v>
      </c>
      <c r="E444" s="1409">
        <v>1021000</v>
      </c>
      <c r="F444" s="1410">
        <v>15510</v>
      </c>
      <c r="G444" s="1407">
        <v>1.6964999999999999</v>
      </c>
      <c r="H444" s="1409">
        <v>0.14096238999999999</v>
      </c>
      <c r="I444" s="1409">
        <v>3.2765999999999998E-5</v>
      </c>
      <c r="J444" s="1410">
        <v>5.9536999999999995</v>
      </c>
    </row>
    <row r="445" spans="2:10" x14ac:dyDescent="0.25">
      <c r="B445" s="1407" t="s">
        <v>717</v>
      </c>
      <c r="C445" s="1408">
        <v>2080</v>
      </c>
      <c r="D445" s="1407">
        <v>1022000</v>
      </c>
      <c r="E445" s="1409">
        <v>1021000</v>
      </c>
      <c r="F445" s="1410">
        <v>15510</v>
      </c>
      <c r="G445" s="1407">
        <v>1.6964999999999999</v>
      </c>
      <c r="H445" s="1409">
        <v>0.14096238999999999</v>
      </c>
      <c r="I445" s="1409">
        <v>3.2765999999999998E-5</v>
      </c>
      <c r="J445" s="1410">
        <v>5.9536999999999995</v>
      </c>
    </row>
    <row r="446" spans="2:10" x14ac:dyDescent="0.25">
      <c r="B446" s="1407" t="s">
        <v>911</v>
      </c>
      <c r="C446" s="1408">
        <v>2080</v>
      </c>
      <c r="D446" s="1407">
        <v>1209000</v>
      </c>
      <c r="E446" s="1409">
        <v>1202000</v>
      </c>
      <c r="F446" s="1410">
        <v>1052000</v>
      </c>
      <c r="G446" s="1407">
        <v>17.969000000000001</v>
      </c>
      <c r="H446" s="1409">
        <v>0.164128</v>
      </c>
      <c r="I446" s="1409">
        <v>2.9025999999999998E-4</v>
      </c>
      <c r="J446" s="1410">
        <v>22.988</v>
      </c>
    </row>
    <row r="447" spans="2:10" x14ac:dyDescent="0.25">
      <c r="B447" s="1407" t="s">
        <v>909</v>
      </c>
      <c r="C447" s="1408">
        <v>2080</v>
      </c>
      <c r="D447" s="1407">
        <v>1585000</v>
      </c>
      <c r="E447" s="1409">
        <v>696300</v>
      </c>
      <c r="F447" s="1410">
        <v>286000</v>
      </c>
      <c r="G447" s="1407">
        <v>38.049999999999997</v>
      </c>
      <c r="H447" s="1409">
        <v>0.1118</v>
      </c>
      <c r="I447" s="1409">
        <v>2.5350000000000001E-2</v>
      </c>
      <c r="J447" s="1410">
        <v>45.19</v>
      </c>
    </row>
    <row r="448" spans="2:10" x14ac:dyDescent="0.25">
      <c r="B448" s="1407" t="s">
        <v>912</v>
      </c>
      <c r="C448" s="1408">
        <v>2080</v>
      </c>
      <c r="D448" s="1407">
        <v>1249000</v>
      </c>
      <c r="E448" s="1409">
        <v>1242000</v>
      </c>
      <c r="F448" s="1410">
        <v>1078000</v>
      </c>
      <c r="G448" s="1407">
        <v>23.84</v>
      </c>
      <c r="H448" s="1409">
        <v>0.16985799999999998</v>
      </c>
      <c r="I448" s="1409">
        <v>3.7813000000000001E-4</v>
      </c>
      <c r="J448" s="1410">
        <v>29.157000000000004</v>
      </c>
    </row>
    <row r="449" spans="2:10" x14ac:dyDescent="0.25">
      <c r="B449" s="1407" t="s">
        <v>1080</v>
      </c>
      <c r="C449" s="1408">
        <v>2080</v>
      </c>
      <c r="D449" s="1407">
        <v>1190000</v>
      </c>
      <c r="E449" s="1409">
        <v>51590</v>
      </c>
      <c r="F449" s="1410">
        <v>29220</v>
      </c>
      <c r="G449" s="1407">
        <v>3.7582</v>
      </c>
      <c r="H449" s="1409">
        <v>8.4366999999999984E-3</v>
      </c>
      <c r="I449" s="1409">
        <v>-3.8261190000000002E-3</v>
      </c>
      <c r="J449" s="1410">
        <v>3.0054000000000003</v>
      </c>
    </row>
    <row r="450" spans="2:10" x14ac:dyDescent="0.25">
      <c r="B450" s="1407" t="s">
        <v>815</v>
      </c>
      <c r="C450" s="1408">
        <v>2080</v>
      </c>
      <c r="D450" s="1407">
        <v>1190000</v>
      </c>
      <c r="E450" s="1409">
        <v>51590</v>
      </c>
      <c r="F450" s="1410">
        <v>29220</v>
      </c>
      <c r="G450" s="1407">
        <v>3.7582</v>
      </c>
      <c r="H450" s="1409">
        <v>8.4366999999999984E-3</v>
      </c>
      <c r="I450" s="1409">
        <v>-3.8261190000000002E-3</v>
      </c>
      <c r="J450" s="1410">
        <v>3.0054000000000003</v>
      </c>
    </row>
    <row r="451" spans="2:10" x14ac:dyDescent="0.25">
      <c r="B451" s="1407" t="s">
        <v>824</v>
      </c>
      <c r="C451" s="1408">
        <v>2080</v>
      </c>
      <c r="D451" s="1407">
        <v>1190000</v>
      </c>
      <c r="E451" s="1409">
        <v>51590</v>
      </c>
      <c r="F451" s="1410">
        <v>29220</v>
      </c>
      <c r="G451" s="1407">
        <v>3.7582</v>
      </c>
      <c r="H451" s="1409">
        <v>8.4366999999999984E-3</v>
      </c>
      <c r="I451" s="1409">
        <v>-3.8261190000000002E-3</v>
      </c>
      <c r="J451" s="1410">
        <v>3.0054000000000003</v>
      </c>
    </row>
    <row r="452" spans="2:10" ht="13" thickBot="1" x14ac:dyDescent="0.3">
      <c r="B452" s="1411" t="s">
        <v>1087</v>
      </c>
      <c r="C452" s="1412">
        <v>2080</v>
      </c>
      <c r="D452" s="1411">
        <v>1384000</v>
      </c>
      <c r="E452" s="1413">
        <v>1383000</v>
      </c>
      <c r="F452" s="1414">
        <v>5034</v>
      </c>
      <c r="G452" s="1411">
        <v>78.571100000000001</v>
      </c>
      <c r="H452" s="1413">
        <v>0.27494000000000002</v>
      </c>
      <c r="I452" s="1413">
        <v>2.3304000000000003E-3</v>
      </c>
      <c r="J452" s="1414">
        <v>87.594300000000004</v>
      </c>
    </row>
    <row r="453" spans="2:10" x14ac:dyDescent="0.25">
      <c r="B453" s="1403" t="s">
        <v>1084</v>
      </c>
      <c r="C453" s="1404">
        <v>2085</v>
      </c>
      <c r="D453" s="1403">
        <v>1092000</v>
      </c>
      <c r="E453" s="1405">
        <v>1092000</v>
      </c>
      <c r="F453" s="1406">
        <v>3971</v>
      </c>
      <c r="G453" s="1403">
        <v>5.7390999999999996</v>
      </c>
      <c r="H453" s="1405">
        <v>0.18462200000000001</v>
      </c>
      <c r="I453" s="1405">
        <v>8.61E-4</v>
      </c>
      <c r="J453" s="1406">
        <v>11.5648</v>
      </c>
    </row>
    <row r="454" spans="2:10" x14ac:dyDescent="0.25">
      <c r="B454" s="1407" t="s">
        <v>283</v>
      </c>
      <c r="C454" s="1408">
        <v>2085</v>
      </c>
      <c r="D454" s="1407">
        <v>1092000</v>
      </c>
      <c r="E454" s="1409">
        <v>1092000</v>
      </c>
      <c r="F454" s="1410">
        <v>3971</v>
      </c>
      <c r="G454" s="1407">
        <v>5.7390999999999996</v>
      </c>
      <c r="H454" s="1409">
        <v>0.18462200000000001</v>
      </c>
      <c r="I454" s="1409">
        <v>8.61E-4</v>
      </c>
      <c r="J454" s="1410">
        <v>11.5648</v>
      </c>
    </row>
    <row r="455" spans="2:10" x14ac:dyDescent="0.25">
      <c r="B455" s="1407" t="s">
        <v>1085</v>
      </c>
      <c r="C455" s="1408">
        <v>2085</v>
      </c>
      <c r="D455" s="1407">
        <v>1092000</v>
      </c>
      <c r="E455" s="1409">
        <v>1092000</v>
      </c>
      <c r="F455" s="1410">
        <v>3971</v>
      </c>
      <c r="G455" s="1407">
        <v>5.7390999999999996</v>
      </c>
      <c r="H455" s="1409">
        <v>0.18462200000000001</v>
      </c>
      <c r="I455" s="1409">
        <v>8.61E-4</v>
      </c>
      <c r="J455" s="1410">
        <v>11.5648</v>
      </c>
    </row>
    <row r="456" spans="2:10" x14ac:dyDescent="0.25">
      <c r="B456" s="1407" t="s">
        <v>681</v>
      </c>
      <c r="C456" s="1408">
        <v>2085</v>
      </c>
      <c r="D456" s="1407">
        <v>1092000</v>
      </c>
      <c r="E456" s="1409">
        <v>1092000</v>
      </c>
      <c r="F456" s="1410">
        <v>3971</v>
      </c>
      <c r="G456" s="1407">
        <v>5.7390999999999996</v>
      </c>
      <c r="H456" s="1409">
        <v>0.18462200000000001</v>
      </c>
      <c r="I456" s="1409">
        <v>8.61E-4</v>
      </c>
      <c r="J456" s="1410">
        <v>11.5648</v>
      </c>
    </row>
    <row r="457" spans="2:10" x14ac:dyDescent="0.25">
      <c r="B457" s="1407" t="s">
        <v>682</v>
      </c>
      <c r="C457" s="1408">
        <v>2085</v>
      </c>
      <c r="D457" s="1407">
        <v>-1185000</v>
      </c>
      <c r="E457" s="1409">
        <v>0</v>
      </c>
      <c r="F457" s="1410">
        <v>0</v>
      </c>
      <c r="G457" s="1407">
        <v>-85.800000000000011</v>
      </c>
      <c r="H457" s="1409">
        <v>0.54700000000000004</v>
      </c>
      <c r="I457" s="1409">
        <v>-1.8286999999999999E-3</v>
      </c>
      <c r="J457" s="1410">
        <v>-70.08</v>
      </c>
    </row>
    <row r="458" spans="2:10" x14ac:dyDescent="0.25">
      <c r="B458" s="1407" t="s">
        <v>683</v>
      </c>
      <c r="C458" s="1408">
        <v>2085</v>
      </c>
      <c r="D458" s="1407">
        <v>1721000</v>
      </c>
      <c r="E458" s="1409">
        <v>1293000</v>
      </c>
      <c r="F458" s="1410">
        <v>15050</v>
      </c>
      <c r="G458" s="1407">
        <v>125.08</v>
      </c>
      <c r="H458" s="1409">
        <v>0.20477100000000001</v>
      </c>
      <c r="I458" s="1409">
        <v>1.7827000000000001E-3</v>
      </c>
      <c r="J458" s="1410">
        <v>129.82</v>
      </c>
    </row>
    <row r="459" spans="2:10" x14ac:dyDescent="0.25">
      <c r="B459" s="1407" t="s">
        <v>698</v>
      </c>
      <c r="C459" s="1408">
        <v>2085</v>
      </c>
      <c r="D459" s="1407">
        <v>1721000</v>
      </c>
      <c r="E459" s="1409">
        <v>1293000</v>
      </c>
      <c r="F459" s="1410">
        <v>15050</v>
      </c>
      <c r="G459" s="1407">
        <v>125.08</v>
      </c>
      <c r="H459" s="1409">
        <v>0.20477100000000001</v>
      </c>
      <c r="I459" s="1409">
        <v>1.7827000000000001E-3</v>
      </c>
      <c r="J459" s="1410">
        <v>129.82</v>
      </c>
    </row>
    <row r="460" spans="2:10" x14ac:dyDescent="0.25">
      <c r="B460" s="1407" t="s">
        <v>684</v>
      </c>
      <c r="C460" s="1408">
        <v>2085</v>
      </c>
      <c r="D460" s="1407">
        <v>1721000</v>
      </c>
      <c r="E460" s="1409">
        <v>1293000</v>
      </c>
      <c r="F460" s="1410">
        <v>15050</v>
      </c>
      <c r="G460" s="1407">
        <v>125.08</v>
      </c>
      <c r="H460" s="1409">
        <v>0.20477100000000001</v>
      </c>
      <c r="I460" s="1409">
        <v>1.7827000000000001E-3</v>
      </c>
      <c r="J460" s="1410">
        <v>129.82</v>
      </c>
    </row>
    <row r="461" spans="2:10" x14ac:dyDescent="0.25">
      <c r="B461" s="1407" t="s">
        <v>1086</v>
      </c>
      <c r="C461" s="1408">
        <v>2085</v>
      </c>
      <c r="D461" s="1407">
        <v>1022000</v>
      </c>
      <c r="E461" s="1409">
        <v>1021000</v>
      </c>
      <c r="F461" s="1410">
        <v>15510</v>
      </c>
      <c r="G461" s="1407">
        <v>1.6964999999999999</v>
      </c>
      <c r="H461" s="1409">
        <v>0.14096238999999999</v>
      </c>
      <c r="I461" s="1409">
        <v>3.2765999999999998E-5</v>
      </c>
      <c r="J461" s="1410">
        <v>5.9536999999999995</v>
      </c>
    </row>
    <row r="462" spans="2:10" x14ac:dyDescent="0.25">
      <c r="B462" s="1407" t="s">
        <v>716</v>
      </c>
      <c r="C462" s="1408">
        <v>2085</v>
      </c>
      <c r="D462" s="1407">
        <v>1022000</v>
      </c>
      <c r="E462" s="1409">
        <v>1021000</v>
      </c>
      <c r="F462" s="1410">
        <v>15510</v>
      </c>
      <c r="G462" s="1407">
        <v>1.6964999999999999</v>
      </c>
      <c r="H462" s="1409">
        <v>0.14096238999999999</v>
      </c>
      <c r="I462" s="1409">
        <v>3.2765999999999998E-5</v>
      </c>
      <c r="J462" s="1410">
        <v>5.9536999999999995</v>
      </c>
    </row>
    <row r="463" spans="2:10" x14ac:dyDescent="0.25">
      <c r="B463" s="1407" t="s">
        <v>717</v>
      </c>
      <c r="C463" s="1408">
        <v>2085</v>
      </c>
      <c r="D463" s="1407">
        <v>1022000</v>
      </c>
      <c r="E463" s="1409">
        <v>1021000</v>
      </c>
      <c r="F463" s="1410">
        <v>15510</v>
      </c>
      <c r="G463" s="1407">
        <v>1.6964999999999999</v>
      </c>
      <c r="H463" s="1409">
        <v>0.14096238999999999</v>
      </c>
      <c r="I463" s="1409">
        <v>3.2765999999999998E-5</v>
      </c>
      <c r="J463" s="1410">
        <v>5.9536999999999995</v>
      </c>
    </row>
    <row r="464" spans="2:10" x14ac:dyDescent="0.25">
      <c r="B464" s="1407" t="s">
        <v>911</v>
      </c>
      <c r="C464" s="1408">
        <v>2085</v>
      </c>
      <c r="D464" s="1407">
        <v>1209000</v>
      </c>
      <c r="E464" s="1409">
        <v>1202000</v>
      </c>
      <c r="F464" s="1410">
        <v>1052000</v>
      </c>
      <c r="G464" s="1407">
        <v>17.969000000000001</v>
      </c>
      <c r="H464" s="1409">
        <v>0.164128</v>
      </c>
      <c r="I464" s="1409">
        <v>2.9025999999999998E-4</v>
      </c>
      <c r="J464" s="1410">
        <v>22.988</v>
      </c>
    </row>
    <row r="465" spans="2:10" x14ac:dyDescent="0.25">
      <c r="B465" s="1407" t="s">
        <v>909</v>
      </c>
      <c r="C465" s="1408">
        <v>2085</v>
      </c>
      <c r="D465" s="1407">
        <v>1585000</v>
      </c>
      <c r="E465" s="1409">
        <v>696300</v>
      </c>
      <c r="F465" s="1410">
        <v>286000</v>
      </c>
      <c r="G465" s="1407">
        <v>38.049999999999997</v>
      </c>
      <c r="H465" s="1409">
        <v>0.1118</v>
      </c>
      <c r="I465" s="1409">
        <v>2.5350000000000001E-2</v>
      </c>
      <c r="J465" s="1410">
        <v>45.19</v>
      </c>
    </row>
    <row r="466" spans="2:10" x14ac:dyDescent="0.25">
      <c r="B466" s="1407" t="s">
        <v>912</v>
      </c>
      <c r="C466" s="1408">
        <v>2085</v>
      </c>
      <c r="D466" s="1407">
        <v>1249000</v>
      </c>
      <c r="E466" s="1409">
        <v>1242000</v>
      </c>
      <c r="F466" s="1410">
        <v>1078000</v>
      </c>
      <c r="G466" s="1407">
        <v>23.84</v>
      </c>
      <c r="H466" s="1409">
        <v>0.16985799999999998</v>
      </c>
      <c r="I466" s="1409">
        <v>3.7813000000000001E-4</v>
      </c>
      <c r="J466" s="1410">
        <v>29.157000000000004</v>
      </c>
    </row>
    <row r="467" spans="2:10" x14ac:dyDescent="0.25">
      <c r="B467" s="1407" t="s">
        <v>1080</v>
      </c>
      <c r="C467" s="1408">
        <v>2085</v>
      </c>
      <c r="D467" s="1407">
        <v>1190000</v>
      </c>
      <c r="E467" s="1409">
        <v>51590</v>
      </c>
      <c r="F467" s="1410">
        <v>29220</v>
      </c>
      <c r="G467" s="1407">
        <v>3.7582</v>
      </c>
      <c r="H467" s="1409">
        <v>8.4366999999999984E-3</v>
      </c>
      <c r="I467" s="1409">
        <v>-3.8261190000000002E-3</v>
      </c>
      <c r="J467" s="1410">
        <v>3.0054000000000003</v>
      </c>
    </row>
    <row r="468" spans="2:10" x14ac:dyDescent="0.25">
      <c r="B468" s="1407" t="s">
        <v>815</v>
      </c>
      <c r="C468" s="1408">
        <v>2085</v>
      </c>
      <c r="D468" s="1407">
        <v>1190000</v>
      </c>
      <c r="E468" s="1409">
        <v>51590</v>
      </c>
      <c r="F468" s="1410">
        <v>29220</v>
      </c>
      <c r="G468" s="1407">
        <v>3.7582</v>
      </c>
      <c r="H468" s="1409">
        <v>8.4366999999999984E-3</v>
      </c>
      <c r="I468" s="1409">
        <v>-3.8261190000000002E-3</v>
      </c>
      <c r="J468" s="1410">
        <v>3.0054000000000003</v>
      </c>
    </row>
    <row r="469" spans="2:10" x14ac:dyDescent="0.25">
      <c r="B469" s="1407" t="s">
        <v>824</v>
      </c>
      <c r="C469" s="1408">
        <v>2085</v>
      </c>
      <c r="D469" s="1407">
        <v>1190000</v>
      </c>
      <c r="E469" s="1409">
        <v>51590</v>
      </c>
      <c r="F469" s="1410">
        <v>29220</v>
      </c>
      <c r="G469" s="1407">
        <v>3.7582</v>
      </c>
      <c r="H469" s="1409">
        <v>8.4366999999999984E-3</v>
      </c>
      <c r="I469" s="1409">
        <v>-3.8261190000000002E-3</v>
      </c>
      <c r="J469" s="1410">
        <v>3.0054000000000003</v>
      </c>
    </row>
    <row r="470" spans="2:10" ht="13" thickBot="1" x14ac:dyDescent="0.3">
      <c r="B470" s="1411" t="s">
        <v>1087</v>
      </c>
      <c r="C470" s="1412">
        <v>2085</v>
      </c>
      <c r="D470" s="1411">
        <v>1384000</v>
      </c>
      <c r="E470" s="1413">
        <v>1383000</v>
      </c>
      <c r="F470" s="1414">
        <v>5034</v>
      </c>
      <c r="G470" s="1411">
        <v>78.571100000000001</v>
      </c>
      <c r="H470" s="1413">
        <v>0.27494000000000002</v>
      </c>
      <c r="I470" s="1413">
        <v>2.3304000000000003E-3</v>
      </c>
      <c r="J470" s="1414">
        <v>87.594300000000004</v>
      </c>
    </row>
    <row r="471" spans="2:10" x14ac:dyDescent="0.25">
      <c r="B471" s="1403" t="s">
        <v>1084</v>
      </c>
      <c r="C471" s="1404">
        <v>2090</v>
      </c>
      <c r="D471" s="1403">
        <v>1092000</v>
      </c>
      <c r="E471" s="1405">
        <v>1092000</v>
      </c>
      <c r="F471" s="1406">
        <v>3971</v>
      </c>
      <c r="G471" s="1403">
        <v>5.7390999999999996</v>
      </c>
      <c r="H471" s="1405">
        <v>0.18462200000000001</v>
      </c>
      <c r="I471" s="1405">
        <v>8.61E-4</v>
      </c>
      <c r="J471" s="1406">
        <v>11.5648</v>
      </c>
    </row>
    <row r="472" spans="2:10" x14ac:dyDescent="0.25">
      <c r="B472" s="1407" t="s">
        <v>283</v>
      </c>
      <c r="C472" s="1408">
        <v>2090</v>
      </c>
      <c r="D472" s="1407">
        <v>1092000</v>
      </c>
      <c r="E472" s="1409">
        <v>1092000</v>
      </c>
      <c r="F472" s="1410">
        <v>3971</v>
      </c>
      <c r="G472" s="1407">
        <v>5.7390999999999996</v>
      </c>
      <c r="H472" s="1409">
        <v>0.18462200000000001</v>
      </c>
      <c r="I472" s="1409">
        <v>8.61E-4</v>
      </c>
      <c r="J472" s="1410">
        <v>11.5648</v>
      </c>
    </row>
    <row r="473" spans="2:10" x14ac:dyDescent="0.25">
      <c r="B473" s="1407" t="s">
        <v>1085</v>
      </c>
      <c r="C473" s="1408">
        <v>2090</v>
      </c>
      <c r="D473" s="1407">
        <v>1092000</v>
      </c>
      <c r="E473" s="1409">
        <v>1092000</v>
      </c>
      <c r="F473" s="1410">
        <v>3971</v>
      </c>
      <c r="G473" s="1407">
        <v>5.7390999999999996</v>
      </c>
      <c r="H473" s="1409">
        <v>0.18462200000000001</v>
      </c>
      <c r="I473" s="1409">
        <v>8.61E-4</v>
      </c>
      <c r="J473" s="1410">
        <v>11.5648</v>
      </c>
    </row>
    <row r="474" spans="2:10" x14ac:dyDescent="0.25">
      <c r="B474" s="1407" t="s">
        <v>681</v>
      </c>
      <c r="C474" s="1408">
        <v>2090</v>
      </c>
      <c r="D474" s="1407">
        <v>1092000</v>
      </c>
      <c r="E474" s="1409">
        <v>1092000</v>
      </c>
      <c r="F474" s="1410">
        <v>3971</v>
      </c>
      <c r="G474" s="1407">
        <v>5.7390999999999996</v>
      </c>
      <c r="H474" s="1409">
        <v>0.18462200000000001</v>
      </c>
      <c r="I474" s="1409">
        <v>8.61E-4</v>
      </c>
      <c r="J474" s="1410">
        <v>11.5648</v>
      </c>
    </row>
    <row r="475" spans="2:10" x14ac:dyDescent="0.25">
      <c r="B475" s="1407" t="s">
        <v>682</v>
      </c>
      <c r="C475" s="1408">
        <v>2090</v>
      </c>
      <c r="D475" s="1407">
        <v>-1185000</v>
      </c>
      <c r="E475" s="1409">
        <v>0</v>
      </c>
      <c r="F475" s="1410">
        <v>0</v>
      </c>
      <c r="G475" s="1407">
        <v>-85.800000000000011</v>
      </c>
      <c r="H475" s="1409">
        <v>0.54700000000000004</v>
      </c>
      <c r="I475" s="1409">
        <v>-1.8286999999999999E-3</v>
      </c>
      <c r="J475" s="1410">
        <v>-70.08</v>
      </c>
    </row>
    <row r="476" spans="2:10" x14ac:dyDescent="0.25">
      <c r="B476" s="1407" t="s">
        <v>683</v>
      </c>
      <c r="C476" s="1408">
        <v>2090</v>
      </c>
      <c r="D476" s="1407">
        <v>1721000</v>
      </c>
      <c r="E476" s="1409">
        <v>1293000</v>
      </c>
      <c r="F476" s="1410">
        <v>15050</v>
      </c>
      <c r="G476" s="1407">
        <v>125.08</v>
      </c>
      <c r="H476" s="1409">
        <v>0.20477100000000001</v>
      </c>
      <c r="I476" s="1409">
        <v>1.7827000000000001E-3</v>
      </c>
      <c r="J476" s="1410">
        <v>129.82</v>
      </c>
    </row>
    <row r="477" spans="2:10" x14ac:dyDescent="0.25">
      <c r="B477" s="1407" t="s">
        <v>698</v>
      </c>
      <c r="C477" s="1408">
        <v>2090</v>
      </c>
      <c r="D477" s="1407">
        <v>1721000</v>
      </c>
      <c r="E477" s="1409">
        <v>1293000</v>
      </c>
      <c r="F477" s="1410">
        <v>15050</v>
      </c>
      <c r="G477" s="1407">
        <v>125.08</v>
      </c>
      <c r="H477" s="1409">
        <v>0.20477100000000001</v>
      </c>
      <c r="I477" s="1409">
        <v>1.7827000000000001E-3</v>
      </c>
      <c r="J477" s="1410">
        <v>129.82</v>
      </c>
    </row>
    <row r="478" spans="2:10" x14ac:dyDescent="0.25">
      <c r="B478" s="1407" t="s">
        <v>684</v>
      </c>
      <c r="C478" s="1408">
        <v>2090</v>
      </c>
      <c r="D478" s="1407">
        <v>1721000</v>
      </c>
      <c r="E478" s="1409">
        <v>1293000</v>
      </c>
      <c r="F478" s="1410">
        <v>15050</v>
      </c>
      <c r="G478" s="1407">
        <v>125.08</v>
      </c>
      <c r="H478" s="1409">
        <v>0.20477100000000001</v>
      </c>
      <c r="I478" s="1409">
        <v>1.7827000000000001E-3</v>
      </c>
      <c r="J478" s="1410">
        <v>129.82</v>
      </c>
    </row>
    <row r="479" spans="2:10" x14ac:dyDescent="0.25">
      <c r="B479" s="1407" t="s">
        <v>1086</v>
      </c>
      <c r="C479" s="1408">
        <v>2090</v>
      </c>
      <c r="D479" s="1407">
        <v>1022000</v>
      </c>
      <c r="E479" s="1409">
        <v>1021000</v>
      </c>
      <c r="F479" s="1410">
        <v>15510</v>
      </c>
      <c r="G479" s="1407">
        <v>1.6964999999999999</v>
      </c>
      <c r="H479" s="1409">
        <v>0.14096238999999999</v>
      </c>
      <c r="I479" s="1409">
        <v>3.2765999999999998E-5</v>
      </c>
      <c r="J479" s="1410">
        <v>5.9536999999999995</v>
      </c>
    </row>
    <row r="480" spans="2:10" x14ac:dyDescent="0.25">
      <c r="B480" s="1407" t="s">
        <v>716</v>
      </c>
      <c r="C480" s="1408">
        <v>2090</v>
      </c>
      <c r="D480" s="1407">
        <v>1022000</v>
      </c>
      <c r="E480" s="1409">
        <v>1021000</v>
      </c>
      <c r="F480" s="1410">
        <v>15510</v>
      </c>
      <c r="G480" s="1407">
        <v>1.6964999999999999</v>
      </c>
      <c r="H480" s="1409">
        <v>0.14096238999999999</v>
      </c>
      <c r="I480" s="1409">
        <v>3.2765999999999998E-5</v>
      </c>
      <c r="J480" s="1410">
        <v>5.9536999999999995</v>
      </c>
    </row>
    <row r="481" spans="2:10" x14ac:dyDescent="0.25">
      <c r="B481" s="1407" t="s">
        <v>717</v>
      </c>
      <c r="C481" s="1408">
        <v>2090</v>
      </c>
      <c r="D481" s="1407">
        <v>1022000</v>
      </c>
      <c r="E481" s="1409">
        <v>1021000</v>
      </c>
      <c r="F481" s="1410">
        <v>15510</v>
      </c>
      <c r="G481" s="1407">
        <v>1.6964999999999999</v>
      </c>
      <c r="H481" s="1409">
        <v>0.14096238999999999</v>
      </c>
      <c r="I481" s="1409">
        <v>3.2765999999999998E-5</v>
      </c>
      <c r="J481" s="1410">
        <v>5.9536999999999995</v>
      </c>
    </row>
    <row r="482" spans="2:10" x14ac:dyDescent="0.25">
      <c r="B482" s="1407" t="s">
        <v>911</v>
      </c>
      <c r="C482" s="1408">
        <v>2090</v>
      </c>
      <c r="D482" s="1407">
        <v>1209000</v>
      </c>
      <c r="E482" s="1409">
        <v>1202000</v>
      </c>
      <c r="F482" s="1410">
        <v>1052000</v>
      </c>
      <c r="G482" s="1407">
        <v>17.969000000000001</v>
      </c>
      <c r="H482" s="1409">
        <v>0.164128</v>
      </c>
      <c r="I482" s="1409">
        <v>2.9025999999999998E-4</v>
      </c>
      <c r="J482" s="1410">
        <v>22.988</v>
      </c>
    </row>
    <row r="483" spans="2:10" x14ac:dyDescent="0.25">
      <c r="B483" s="1407" t="s">
        <v>909</v>
      </c>
      <c r="C483" s="1408">
        <v>2090</v>
      </c>
      <c r="D483" s="1407">
        <v>1585000</v>
      </c>
      <c r="E483" s="1409">
        <v>696300</v>
      </c>
      <c r="F483" s="1410">
        <v>286000</v>
      </c>
      <c r="G483" s="1407">
        <v>38.049999999999997</v>
      </c>
      <c r="H483" s="1409">
        <v>0.1118</v>
      </c>
      <c r="I483" s="1409">
        <v>2.5350000000000001E-2</v>
      </c>
      <c r="J483" s="1410">
        <v>45.19</v>
      </c>
    </row>
    <row r="484" spans="2:10" x14ac:dyDescent="0.25">
      <c r="B484" s="1407" t="s">
        <v>912</v>
      </c>
      <c r="C484" s="1408">
        <v>2090</v>
      </c>
      <c r="D484" s="1407">
        <v>1249000</v>
      </c>
      <c r="E484" s="1409">
        <v>1242000</v>
      </c>
      <c r="F484" s="1410">
        <v>1078000</v>
      </c>
      <c r="G484" s="1407">
        <v>23.84</v>
      </c>
      <c r="H484" s="1409">
        <v>0.16985799999999998</v>
      </c>
      <c r="I484" s="1409">
        <v>3.7813000000000001E-4</v>
      </c>
      <c r="J484" s="1410">
        <v>29.157000000000004</v>
      </c>
    </row>
    <row r="485" spans="2:10" x14ac:dyDescent="0.25">
      <c r="B485" s="1407" t="s">
        <v>1080</v>
      </c>
      <c r="C485" s="1408">
        <v>2090</v>
      </c>
      <c r="D485" s="1407">
        <v>1190000</v>
      </c>
      <c r="E485" s="1409">
        <v>51590</v>
      </c>
      <c r="F485" s="1410">
        <v>29220</v>
      </c>
      <c r="G485" s="1407">
        <v>3.7582</v>
      </c>
      <c r="H485" s="1409">
        <v>8.4366999999999984E-3</v>
      </c>
      <c r="I485" s="1409">
        <v>-3.8261190000000002E-3</v>
      </c>
      <c r="J485" s="1410">
        <v>3.0054000000000003</v>
      </c>
    </row>
    <row r="486" spans="2:10" x14ac:dyDescent="0.25">
      <c r="B486" s="1407" t="s">
        <v>815</v>
      </c>
      <c r="C486" s="1408">
        <v>2090</v>
      </c>
      <c r="D486" s="1407">
        <v>1190000</v>
      </c>
      <c r="E486" s="1409">
        <v>51590</v>
      </c>
      <c r="F486" s="1410">
        <v>29220</v>
      </c>
      <c r="G486" s="1407">
        <v>3.7582</v>
      </c>
      <c r="H486" s="1409">
        <v>8.4366999999999984E-3</v>
      </c>
      <c r="I486" s="1409">
        <v>-3.8261190000000002E-3</v>
      </c>
      <c r="J486" s="1410">
        <v>3.0054000000000003</v>
      </c>
    </row>
    <row r="487" spans="2:10" x14ac:dyDescent="0.25">
      <c r="B487" s="1407" t="s">
        <v>824</v>
      </c>
      <c r="C487" s="1408">
        <v>2090</v>
      </c>
      <c r="D487" s="1407">
        <v>1190000</v>
      </c>
      <c r="E487" s="1409">
        <v>51590</v>
      </c>
      <c r="F487" s="1410">
        <v>29220</v>
      </c>
      <c r="G487" s="1407">
        <v>3.7582</v>
      </c>
      <c r="H487" s="1409">
        <v>8.4366999999999984E-3</v>
      </c>
      <c r="I487" s="1409">
        <v>-3.8261190000000002E-3</v>
      </c>
      <c r="J487" s="1410">
        <v>3.0054000000000003</v>
      </c>
    </row>
    <row r="488" spans="2:10" ht="13" thickBot="1" x14ac:dyDescent="0.3">
      <c r="B488" s="1411" t="s">
        <v>1087</v>
      </c>
      <c r="C488" s="1412">
        <v>2090</v>
      </c>
      <c r="D488" s="1411">
        <v>1384000</v>
      </c>
      <c r="E488" s="1413">
        <v>1383000</v>
      </c>
      <c r="F488" s="1414">
        <v>5034</v>
      </c>
      <c r="G488" s="1411">
        <v>78.571100000000001</v>
      </c>
      <c r="H488" s="1413">
        <v>0.27494000000000002</v>
      </c>
      <c r="I488" s="1413">
        <v>2.3304000000000003E-3</v>
      </c>
      <c r="J488" s="1414">
        <v>87.594300000000004</v>
      </c>
    </row>
    <row r="489" spans="2:10" x14ac:dyDescent="0.25">
      <c r="B489" s="1403" t="s">
        <v>1084</v>
      </c>
      <c r="C489" s="1404">
        <v>2095</v>
      </c>
      <c r="D489" s="1403">
        <v>1092000</v>
      </c>
      <c r="E489" s="1405">
        <v>1092000</v>
      </c>
      <c r="F489" s="1406">
        <v>3971</v>
      </c>
      <c r="G489" s="1403">
        <v>5.7390999999999996</v>
      </c>
      <c r="H489" s="1405">
        <v>0.18462200000000001</v>
      </c>
      <c r="I489" s="1405">
        <v>8.61E-4</v>
      </c>
      <c r="J489" s="1406">
        <v>11.5648</v>
      </c>
    </row>
    <row r="490" spans="2:10" x14ac:dyDescent="0.25">
      <c r="B490" s="1407" t="s">
        <v>283</v>
      </c>
      <c r="C490" s="1408">
        <v>2095</v>
      </c>
      <c r="D490" s="1407">
        <v>1092000</v>
      </c>
      <c r="E490" s="1409">
        <v>1092000</v>
      </c>
      <c r="F490" s="1410">
        <v>3971</v>
      </c>
      <c r="G490" s="1407">
        <v>5.7390999999999996</v>
      </c>
      <c r="H490" s="1409">
        <v>0.18462200000000001</v>
      </c>
      <c r="I490" s="1409">
        <v>8.61E-4</v>
      </c>
      <c r="J490" s="1410">
        <v>11.5648</v>
      </c>
    </row>
    <row r="491" spans="2:10" x14ac:dyDescent="0.25">
      <c r="B491" s="1407" t="s">
        <v>1085</v>
      </c>
      <c r="C491" s="1408">
        <v>2095</v>
      </c>
      <c r="D491" s="1407">
        <v>1092000</v>
      </c>
      <c r="E491" s="1409">
        <v>1092000</v>
      </c>
      <c r="F491" s="1410">
        <v>3971</v>
      </c>
      <c r="G491" s="1407">
        <v>5.7390999999999996</v>
      </c>
      <c r="H491" s="1409">
        <v>0.18462200000000001</v>
      </c>
      <c r="I491" s="1409">
        <v>8.61E-4</v>
      </c>
      <c r="J491" s="1410">
        <v>11.5648</v>
      </c>
    </row>
    <row r="492" spans="2:10" x14ac:dyDescent="0.25">
      <c r="B492" s="1407" t="s">
        <v>681</v>
      </c>
      <c r="C492" s="1408">
        <v>2095</v>
      </c>
      <c r="D492" s="1407">
        <v>1092000</v>
      </c>
      <c r="E492" s="1409">
        <v>1092000</v>
      </c>
      <c r="F492" s="1410">
        <v>3971</v>
      </c>
      <c r="G492" s="1407">
        <v>5.7390999999999996</v>
      </c>
      <c r="H492" s="1409">
        <v>0.18462200000000001</v>
      </c>
      <c r="I492" s="1409">
        <v>8.61E-4</v>
      </c>
      <c r="J492" s="1410">
        <v>11.5648</v>
      </c>
    </row>
    <row r="493" spans="2:10" x14ac:dyDescent="0.25">
      <c r="B493" s="1407" t="s">
        <v>682</v>
      </c>
      <c r="C493" s="1408">
        <v>2095</v>
      </c>
      <c r="D493" s="1407">
        <v>-1185000</v>
      </c>
      <c r="E493" s="1409">
        <v>0</v>
      </c>
      <c r="F493" s="1410">
        <v>0</v>
      </c>
      <c r="G493" s="1407">
        <v>-85.800000000000011</v>
      </c>
      <c r="H493" s="1409">
        <v>0.54700000000000004</v>
      </c>
      <c r="I493" s="1409">
        <v>-1.8286999999999999E-3</v>
      </c>
      <c r="J493" s="1410">
        <v>-70.08</v>
      </c>
    </row>
    <row r="494" spans="2:10" x14ac:dyDescent="0.25">
      <c r="B494" s="1407" t="s">
        <v>683</v>
      </c>
      <c r="C494" s="1408">
        <v>2095</v>
      </c>
      <c r="D494" s="1407">
        <v>1721000</v>
      </c>
      <c r="E494" s="1409">
        <v>1293000</v>
      </c>
      <c r="F494" s="1410">
        <v>15050</v>
      </c>
      <c r="G494" s="1407">
        <v>125.08</v>
      </c>
      <c r="H494" s="1409">
        <v>0.20477100000000001</v>
      </c>
      <c r="I494" s="1409">
        <v>1.7827000000000001E-3</v>
      </c>
      <c r="J494" s="1410">
        <v>129.82</v>
      </c>
    </row>
    <row r="495" spans="2:10" x14ac:dyDescent="0.25">
      <c r="B495" s="1407" t="s">
        <v>698</v>
      </c>
      <c r="C495" s="1408">
        <v>2095</v>
      </c>
      <c r="D495" s="1407">
        <v>1721000</v>
      </c>
      <c r="E495" s="1409">
        <v>1293000</v>
      </c>
      <c r="F495" s="1410">
        <v>15050</v>
      </c>
      <c r="G495" s="1407">
        <v>125.08</v>
      </c>
      <c r="H495" s="1409">
        <v>0.20477100000000001</v>
      </c>
      <c r="I495" s="1409">
        <v>1.7827000000000001E-3</v>
      </c>
      <c r="J495" s="1410">
        <v>129.82</v>
      </c>
    </row>
    <row r="496" spans="2:10" x14ac:dyDescent="0.25">
      <c r="B496" s="1407" t="s">
        <v>684</v>
      </c>
      <c r="C496" s="1408">
        <v>2095</v>
      </c>
      <c r="D496" s="1407">
        <v>1721000</v>
      </c>
      <c r="E496" s="1409">
        <v>1293000</v>
      </c>
      <c r="F496" s="1410">
        <v>15050</v>
      </c>
      <c r="G496" s="1407">
        <v>125.08</v>
      </c>
      <c r="H496" s="1409">
        <v>0.20477100000000001</v>
      </c>
      <c r="I496" s="1409">
        <v>1.7827000000000001E-3</v>
      </c>
      <c r="J496" s="1410">
        <v>129.82</v>
      </c>
    </row>
    <row r="497" spans="2:10" x14ac:dyDescent="0.25">
      <c r="B497" s="1407" t="s">
        <v>1086</v>
      </c>
      <c r="C497" s="1408">
        <v>2095</v>
      </c>
      <c r="D497" s="1407">
        <v>1022000</v>
      </c>
      <c r="E497" s="1409">
        <v>1021000</v>
      </c>
      <c r="F497" s="1410">
        <v>15510</v>
      </c>
      <c r="G497" s="1407">
        <v>1.6964999999999999</v>
      </c>
      <c r="H497" s="1409">
        <v>0.14096238999999999</v>
      </c>
      <c r="I497" s="1409">
        <v>3.2765999999999998E-5</v>
      </c>
      <c r="J497" s="1410">
        <v>5.9536999999999995</v>
      </c>
    </row>
    <row r="498" spans="2:10" x14ac:dyDescent="0.25">
      <c r="B498" s="1407" t="s">
        <v>716</v>
      </c>
      <c r="C498" s="1408">
        <v>2095</v>
      </c>
      <c r="D498" s="1407">
        <v>1022000</v>
      </c>
      <c r="E498" s="1409">
        <v>1021000</v>
      </c>
      <c r="F498" s="1410">
        <v>15510</v>
      </c>
      <c r="G498" s="1407">
        <v>1.6964999999999999</v>
      </c>
      <c r="H498" s="1409">
        <v>0.14096238999999999</v>
      </c>
      <c r="I498" s="1409">
        <v>3.2765999999999998E-5</v>
      </c>
      <c r="J498" s="1410">
        <v>5.9536999999999995</v>
      </c>
    </row>
    <row r="499" spans="2:10" x14ac:dyDescent="0.25">
      <c r="B499" s="1407" t="s">
        <v>717</v>
      </c>
      <c r="C499" s="1408">
        <v>2095</v>
      </c>
      <c r="D499" s="1407">
        <v>1022000</v>
      </c>
      <c r="E499" s="1409">
        <v>1021000</v>
      </c>
      <c r="F499" s="1410">
        <v>15510</v>
      </c>
      <c r="G499" s="1407">
        <v>1.6964999999999999</v>
      </c>
      <c r="H499" s="1409">
        <v>0.14096238999999999</v>
      </c>
      <c r="I499" s="1409">
        <v>3.2765999999999998E-5</v>
      </c>
      <c r="J499" s="1410">
        <v>5.9536999999999995</v>
      </c>
    </row>
    <row r="500" spans="2:10" x14ac:dyDescent="0.25">
      <c r="B500" s="1407" t="s">
        <v>911</v>
      </c>
      <c r="C500" s="1408">
        <v>2095</v>
      </c>
      <c r="D500" s="1407">
        <v>1209000</v>
      </c>
      <c r="E500" s="1409">
        <v>1202000</v>
      </c>
      <c r="F500" s="1410">
        <v>1052000</v>
      </c>
      <c r="G500" s="1407">
        <v>17.969000000000001</v>
      </c>
      <c r="H500" s="1409">
        <v>0.164128</v>
      </c>
      <c r="I500" s="1409">
        <v>2.9025999999999998E-4</v>
      </c>
      <c r="J500" s="1410">
        <v>22.988</v>
      </c>
    </row>
    <row r="501" spans="2:10" x14ac:dyDescent="0.25">
      <c r="B501" s="1407" t="s">
        <v>909</v>
      </c>
      <c r="C501" s="1408">
        <v>2095</v>
      </c>
      <c r="D501" s="1407">
        <v>1585000</v>
      </c>
      <c r="E501" s="1409">
        <v>696300</v>
      </c>
      <c r="F501" s="1410">
        <v>286000</v>
      </c>
      <c r="G501" s="1407">
        <v>38.049999999999997</v>
      </c>
      <c r="H501" s="1409">
        <v>0.1118</v>
      </c>
      <c r="I501" s="1409">
        <v>2.5350000000000001E-2</v>
      </c>
      <c r="J501" s="1410">
        <v>45.19</v>
      </c>
    </row>
    <row r="502" spans="2:10" x14ac:dyDescent="0.25">
      <c r="B502" s="1407" t="s">
        <v>912</v>
      </c>
      <c r="C502" s="1408">
        <v>2095</v>
      </c>
      <c r="D502" s="1407">
        <v>1249000</v>
      </c>
      <c r="E502" s="1409">
        <v>1242000</v>
      </c>
      <c r="F502" s="1410">
        <v>1078000</v>
      </c>
      <c r="G502" s="1407">
        <v>23.84</v>
      </c>
      <c r="H502" s="1409">
        <v>0.16985799999999998</v>
      </c>
      <c r="I502" s="1409">
        <v>3.7813000000000001E-4</v>
      </c>
      <c r="J502" s="1410">
        <v>29.157000000000004</v>
      </c>
    </row>
    <row r="503" spans="2:10" x14ac:dyDescent="0.25">
      <c r="B503" s="1407" t="s">
        <v>1080</v>
      </c>
      <c r="C503" s="1408">
        <v>2095</v>
      </c>
      <c r="D503" s="1407">
        <v>1190000</v>
      </c>
      <c r="E503" s="1409">
        <v>51590</v>
      </c>
      <c r="F503" s="1410">
        <v>29220</v>
      </c>
      <c r="G503" s="1407">
        <v>3.7582</v>
      </c>
      <c r="H503" s="1409">
        <v>8.4366999999999984E-3</v>
      </c>
      <c r="I503" s="1409">
        <v>-3.8261190000000002E-3</v>
      </c>
      <c r="J503" s="1410">
        <v>3.0054000000000003</v>
      </c>
    </row>
    <row r="504" spans="2:10" x14ac:dyDescent="0.25">
      <c r="B504" s="1407" t="s">
        <v>815</v>
      </c>
      <c r="C504" s="1408">
        <v>2095</v>
      </c>
      <c r="D504" s="1407">
        <v>1190000</v>
      </c>
      <c r="E504" s="1409">
        <v>51590</v>
      </c>
      <c r="F504" s="1410">
        <v>29220</v>
      </c>
      <c r="G504" s="1407">
        <v>3.7582</v>
      </c>
      <c r="H504" s="1409">
        <v>8.4366999999999984E-3</v>
      </c>
      <c r="I504" s="1409">
        <v>-3.8261190000000002E-3</v>
      </c>
      <c r="J504" s="1410">
        <v>3.0054000000000003</v>
      </c>
    </row>
    <row r="505" spans="2:10" x14ac:dyDescent="0.25">
      <c r="B505" s="1407" t="s">
        <v>824</v>
      </c>
      <c r="C505" s="1408">
        <v>2095</v>
      </c>
      <c r="D505" s="1407">
        <v>1190000</v>
      </c>
      <c r="E505" s="1409">
        <v>51590</v>
      </c>
      <c r="F505" s="1410">
        <v>29220</v>
      </c>
      <c r="G505" s="1407">
        <v>3.7582</v>
      </c>
      <c r="H505" s="1409">
        <v>8.4366999999999984E-3</v>
      </c>
      <c r="I505" s="1409">
        <v>-3.8261190000000002E-3</v>
      </c>
      <c r="J505" s="1410">
        <v>3.0054000000000003</v>
      </c>
    </row>
    <row r="506" spans="2:10" ht="13" thickBot="1" x14ac:dyDescent="0.3">
      <c r="B506" s="1411" t="s">
        <v>1087</v>
      </c>
      <c r="C506" s="1412">
        <v>2095</v>
      </c>
      <c r="D506" s="1411">
        <v>1384000</v>
      </c>
      <c r="E506" s="1413">
        <v>1383000</v>
      </c>
      <c r="F506" s="1414">
        <v>5034</v>
      </c>
      <c r="G506" s="1411">
        <v>78.571100000000001</v>
      </c>
      <c r="H506" s="1413">
        <v>0.27494000000000002</v>
      </c>
      <c r="I506" s="1413">
        <v>2.3304000000000003E-3</v>
      </c>
      <c r="J506" s="1414">
        <v>87.594300000000004</v>
      </c>
    </row>
    <row r="507" spans="2:10" x14ac:dyDescent="0.25">
      <c r="B507" s="1403" t="s">
        <v>1084</v>
      </c>
      <c r="C507" s="1404">
        <v>2100</v>
      </c>
      <c r="D507" s="1403">
        <v>1092000</v>
      </c>
      <c r="E507" s="1405">
        <v>1092000</v>
      </c>
      <c r="F507" s="1406">
        <v>3971</v>
      </c>
      <c r="G507" s="1403">
        <v>5.7390999999999996</v>
      </c>
      <c r="H507" s="1405">
        <v>0.18462200000000001</v>
      </c>
      <c r="I507" s="1405">
        <v>8.61E-4</v>
      </c>
      <c r="J507" s="1406">
        <v>11.5648</v>
      </c>
    </row>
    <row r="508" spans="2:10" x14ac:dyDescent="0.25">
      <c r="B508" s="1407" t="s">
        <v>283</v>
      </c>
      <c r="C508" s="1408">
        <v>2100</v>
      </c>
      <c r="D508" s="1407">
        <v>1092000</v>
      </c>
      <c r="E508" s="1409">
        <v>1092000</v>
      </c>
      <c r="F508" s="1410">
        <v>3971</v>
      </c>
      <c r="G508" s="1407">
        <v>5.7390999999999996</v>
      </c>
      <c r="H508" s="1409">
        <v>0.18462200000000001</v>
      </c>
      <c r="I508" s="1409">
        <v>8.61E-4</v>
      </c>
      <c r="J508" s="1410">
        <v>11.5648</v>
      </c>
    </row>
    <row r="509" spans="2:10" x14ac:dyDescent="0.25">
      <c r="B509" s="1407" t="s">
        <v>1085</v>
      </c>
      <c r="C509" s="1408">
        <v>2100</v>
      </c>
      <c r="D509" s="1407">
        <v>1092000</v>
      </c>
      <c r="E509" s="1409">
        <v>1092000</v>
      </c>
      <c r="F509" s="1410">
        <v>3971</v>
      </c>
      <c r="G509" s="1407">
        <v>5.7390999999999996</v>
      </c>
      <c r="H509" s="1409">
        <v>0.18462200000000001</v>
      </c>
      <c r="I509" s="1409">
        <v>8.61E-4</v>
      </c>
      <c r="J509" s="1410">
        <v>11.5648</v>
      </c>
    </row>
    <row r="510" spans="2:10" x14ac:dyDescent="0.25">
      <c r="B510" s="1407" t="s">
        <v>681</v>
      </c>
      <c r="C510" s="1408">
        <v>2100</v>
      </c>
      <c r="D510" s="1407">
        <v>1092000</v>
      </c>
      <c r="E510" s="1409">
        <v>1092000</v>
      </c>
      <c r="F510" s="1410">
        <v>3971</v>
      </c>
      <c r="G510" s="1407">
        <v>5.7390999999999996</v>
      </c>
      <c r="H510" s="1409">
        <v>0.18462200000000001</v>
      </c>
      <c r="I510" s="1409">
        <v>8.61E-4</v>
      </c>
      <c r="J510" s="1410">
        <v>11.5648</v>
      </c>
    </row>
    <row r="511" spans="2:10" x14ac:dyDescent="0.25">
      <c r="B511" s="1407" t="s">
        <v>682</v>
      </c>
      <c r="C511" s="1408">
        <v>2100</v>
      </c>
      <c r="D511" s="1407">
        <v>-1185000</v>
      </c>
      <c r="E511" s="1409">
        <v>0</v>
      </c>
      <c r="F511" s="1410">
        <v>0</v>
      </c>
      <c r="G511" s="1407">
        <v>-85.800000000000011</v>
      </c>
      <c r="H511" s="1409">
        <v>0.54700000000000004</v>
      </c>
      <c r="I511" s="1409">
        <v>-1.8286999999999999E-3</v>
      </c>
      <c r="J511" s="1410">
        <v>-70.08</v>
      </c>
    </row>
    <row r="512" spans="2:10" x14ac:dyDescent="0.25">
      <c r="B512" s="1407" t="s">
        <v>683</v>
      </c>
      <c r="C512" s="1408">
        <v>2100</v>
      </c>
      <c r="D512" s="1407">
        <v>1721000</v>
      </c>
      <c r="E512" s="1409">
        <v>1293000</v>
      </c>
      <c r="F512" s="1410">
        <v>15050</v>
      </c>
      <c r="G512" s="1407">
        <v>125.08</v>
      </c>
      <c r="H512" s="1409">
        <v>0.20477100000000001</v>
      </c>
      <c r="I512" s="1409">
        <v>1.7827000000000001E-3</v>
      </c>
      <c r="J512" s="1410">
        <v>129.82</v>
      </c>
    </row>
    <row r="513" spans="2:10" x14ac:dyDescent="0.25">
      <c r="B513" s="1407" t="s">
        <v>698</v>
      </c>
      <c r="C513" s="1408">
        <v>2100</v>
      </c>
      <c r="D513" s="1407">
        <v>1721000</v>
      </c>
      <c r="E513" s="1409">
        <v>1293000</v>
      </c>
      <c r="F513" s="1410">
        <v>15050</v>
      </c>
      <c r="G513" s="1407">
        <v>125.08</v>
      </c>
      <c r="H513" s="1409">
        <v>0.20477100000000001</v>
      </c>
      <c r="I513" s="1409">
        <v>1.7827000000000001E-3</v>
      </c>
      <c r="J513" s="1410">
        <v>129.82</v>
      </c>
    </row>
    <row r="514" spans="2:10" x14ac:dyDescent="0.25">
      <c r="B514" s="1407" t="s">
        <v>684</v>
      </c>
      <c r="C514" s="1408">
        <v>2100</v>
      </c>
      <c r="D514" s="1407">
        <v>1721000</v>
      </c>
      <c r="E514" s="1409">
        <v>1293000</v>
      </c>
      <c r="F514" s="1410">
        <v>15050</v>
      </c>
      <c r="G514" s="1407">
        <v>125.08</v>
      </c>
      <c r="H514" s="1409">
        <v>0.20477100000000001</v>
      </c>
      <c r="I514" s="1409">
        <v>1.7827000000000001E-3</v>
      </c>
      <c r="J514" s="1410">
        <v>129.82</v>
      </c>
    </row>
    <row r="515" spans="2:10" x14ac:dyDescent="0.25">
      <c r="B515" s="1407" t="s">
        <v>1086</v>
      </c>
      <c r="C515" s="1408">
        <v>2100</v>
      </c>
      <c r="D515" s="1407">
        <v>1022000</v>
      </c>
      <c r="E515" s="1409">
        <v>1021000</v>
      </c>
      <c r="F515" s="1410">
        <v>15510</v>
      </c>
      <c r="G515" s="1407">
        <v>1.6964999999999999</v>
      </c>
      <c r="H515" s="1409">
        <v>0.14096238999999999</v>
      </c>
      <c r="I515" s="1409">
        <v>3.2765999999999998E-5</v>
      </c>
      <c r="J515" s="1410">
        <v>5.9536999999999995</v>
      </c>
    </row>
    <row r="516" spans="2:10" x14ac:dyDescent="0.25">
      <c r="B516" s="1407" t="s">
        <v>716</v>
      </c>
      <c r="C516" s="1408">
        <v>2100</v>
      </c>
      <c r="D516" s="1407">
        <v>1022000</v>
      </c>
      <c r="E516" s="1409">
        <v>1021000</v>
      </c>
      <c r="F516" s="1410">
        <v>15510</v>
      </c>
      <c r="G516" s="1407">
        <v>1.6964999999999999</v>
      </c>
      <c r="H516" s="1409">
        <v>0.14096238999999999</v>
      </c>
      <c r="I516" s="1409">
        <v>3.2765999999999998E-5</v>
      </c>
      <c r="J516" s="1410">
        <v>5.9536999999999995</v>
      </c>
    </row>
    <row r="517" spans="2:10" x14ac:dyDescent="0.25">
      <c r="B517" s="1407" t="s">
        <v>717</v>
      </c>
      <c r="C517" s="1408">
        <v>2100</v>
      </c>
      <c r="D517" s="1407">
        <v>1022000</v>
      </c>
      <c r="E517" s="1409">
        <v>1021000</v>
      </c>
      <c r="F517" s="1410">
        <v>15510</v>
      </c>
      <c r="G517" s="1407">
        <v>1.6964999999999999</v>
      </c>
      <c r="H517" s="1409">
        <v>0.14096238999999999</v>
      </c>
      <c r="I517" s="1409">
        <v>3.2765999999999998E-5</v>
      </c>
      <c r="J517" s="1410">
        <v>5.9536999999999995</v>
      </c>
    </row>
    <row r="518" spans="2:10" x14ac:dyDescent="0.25">
      <c r="B518" s="1407" t="s">
        <v>911</v>
      </c>
      <c r="C518" s="1408">
        <v>2100</v>
      </c>
      <c r="D518" s="1407">
        <v>1209000</v>
      </c>
      <c r="E518" s="1409">
        <v>1202000</v>
      </c>
      <c r="F518" s="1410">
        <v>1052000</v>
      </c>
      <c r="G518" s="1407">
        <v>17.969000000000001</v>
      </c>
      <c r="H518" s="1409">
        <v>0.164128</v>
      </c>
      <c r="I518" s="1409">
        <v>2.9025999999999998E-4</v>
      </c>
      <c r="J518" s="1410">
        <v>22.988</v>
      </c>
    </row>
    <row r="519" spans="2:10" x14ac:dyDescent="0.25">
      <c r="B519" s="1407" t="s">
        <v>909</v>
      </c>
      <c r="C519" s="1408">
        <v>2100</v>
      </c>
      <c r="D519" s="1407">
        <v>1585000</v>
      </c>
      <c r="E519" s="1409">
        <v>696300</v>
      </c>
      <c r="F519" s="1410">
        <v>286000</v>
      </c>
      <c r="G519" s="1407">
        <v>38.049999999999997</v>
      </c>
      <c r="H519" s="1409">
        <v>0.1118</v>
      </c>
      <c r="I519" s="1409">
        <v>2.5350000000000001E-2</v>
      </c>
      <c r="J519" s="1410">
        <v>45.19</v>
      </c>
    </row>
    <row r="520" spans="2:10" x14ac:dyDescent="0.25">
      <c r="B520" s="1407" t="s">
        <v>912</v>
      </c>
      <c r="C520" s="1408">
        <v>2100</v>
      </c>
      <c r="D520" s="1407">
        <v>1249000</v>
      </c>
      <c r="E520" s="1409">
        <v>1242000</v>
      </c>
      <c r="F520" s="1410">
        <v>1078000</v>
      </c>
      <c r="G520" s="1407">
        <v>23.84</v>
      </c>
      <c r="H520" s="1409">
        <v>0.16985799999999998</v>
      </c>
      <c r="I520" s="1409">
        <v>3.7813000000000001E-4</v>
      </c>
      <c r="J520" s="1410">
        <v>29.157000000000004</v>
      </c>
    </row>
    <row r="521" spans="2:10" x14ac:dyDescent="0.25">
      <c r="B521" s="1407" t="s">
        <v>1080</v>
      </c>
      <c r="C521" s="1408">
        <v>2100</v>
      </c>
      <c r="D521" s="1407">
        <v>1190000</v>
      </c>
      <c r="E521" s="1409">
        <v>51590</v>
      </c>
      <c r="F521" s="1410">
        <v>29220</v>
      </c>
      <c r="G521" s="1407">
        <v>3.7582</v>
      </c>
      <c r="H521" s="1409">
        <v>8.4366999999999984E-3</v>
      </c>
      <c r="I521" s="1409">
        <v>-3.8261190000000002E-3</v>
      </c>
      <c r="J521" s="1410">
        <v>3.0054000000000003</v>
      </c>
    </row>
    <row r="522" spans="2:10" x14ac:dyDescent="0.25">
      <c r="B522" s="1407" t="s">
        <v>815</v>
      </c>
      <c r="C522" s="1408">
        <v>2100</v>
      </c>
      <c r="D522" s="1407">
        <v>1190000</v>
      </c>
      <c r="E522" s="1409">
        <v>51590</v>
      </c>
      <c r="F522" s="1410">
        <v>29220</v>
      </c>
      <c r="G522" s="1407">
        <v>3.7582</v>
      </c>
      <c r="H522" s="1409">
        <v>8.4366999999999984E-3</v>
      </c>
      <c r="I522" s="1409">
        <v>-3.8261190000000002E-3</v>
      </c>
      <c r="J522" s="1410">
        <v>3.0054000000000003</v>
      </c>
    </row>
    <row r="523" spans="2:10" x14ac:dyDescent="0.25">
      <c r="B523" s="1407" t="s">
        <v>824</v>
      </c>
      <c r="C523" s="1408">
        <v>2100</v>
      </c>
      <c r="D523" s="1407">
        <v>1190000</v>
      </c>
      <c r="E523" s="1409">
        <v>51590</v>
      </c>
      <c r="F523" s="1410">
        <v>29220</v>
      </c>
      <c r="G523" s="1407">
        <v>3.7582</v>
      </c>
      <c r="H523" s="1409">
        <v>8.4366999999999984E-3</v>
      </c>
      <c r="I523" s="1409">
        <v>-3.8261190000000002E-3</v>
      </c>
      <c r="J523" s="1410">
        <v>3.0054000000000003</v>
      </c>
    </row>
    <row r="524" spans="2:10" ht="13" thickBot="1" x14ac:dyDescent="0.3">
      <c r="B524" s="1411" t="s">
        <v>1087</v>
      </c>
      <c r="C524" s="1412">
        <v>2100</v>
      </c>
      <c r="D524" s="1411">
        <v>1384000</v>
      </c>
      <c r="E524" s="1413">
        <v>1383000</v>
      </c>
      <c r="F524" s="1414">
        <v>5034</v>
      </c>
      <c r="G524" s="1411">
        <v>78.571100000000001</v>
      </c>
      <c r="H524" s="1413">
        <v>0.27494000000000002</v>
      </c>
      <c r="I524" s="1413">
        <v>2.3304000000000003E-3</v>
      </c>
      <c r="J524" s="1414">
        <v>87.594300000000004</v>
      </c>
    </row>
  </sheetData>
  <mergeCells count="23">
    <mergeCell ref="A52:K52"/>
    <mergeCell ref="A51:K51"/>
    <mergeCell ref="D91:E91"/>
    <mergeCell ref="A59:K59"/>
    <mergeCell ref="A2:K2"/>
    <mergeCell ref="A3:K3"/>
    <mergeCell ref="C4:E4"/>
    <mergeCell ref="G4:I4"/>
    <mergeCell ref="A56:K56"/>
    <mergeCell ref="A57:K57"/>
    <mergeCell ref="K92:L92"/>
    <mergeCell ref="A91:B91"/>
    <mergeCell ref="A58:K58"/>
    <mergeCell ref="A53:K53"/>
    <mergeCell ref="C134:E134"/>
    <mergeCell ref="F134:H134"/>
    <mergeCell ref="A54:K54"/>
    <mergeCell ref="G91:H91"/>
    <mergeCell ref="D92:E92"/>
    <mergeCell ref="A55:K55"/>
    <mergeCell ref="A61:K61"/>
    <mergeCell ref="A62:K62"/>
    <mergeCell ref="K91:L91"/>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election activeCell="C16" sqref="C16"/>
    </sheetView>
  </sheetViews>
  <sheetFormatPr defaultColWidth="9.1796875" defaultRowHeight="12.5" x14ac:dyDescent="0.25"/>
  <cols>
    <col min="1" max="1" width="19" style="38" customWidth="1"/>
    <col min="2" max="2" width="16" style="38" customWidth="1"/>
    <col min="3" max="3" width="17.1796875" style="38" customWidth="1"/>
    <col min="4" max="4" width="17.81640625" style="38" customWidth="1"/>
    <col min="5" max="5" width="14.1796875" style="38" customWidth="1"/>
    <col min="6" max="6" width="20.81640625" style="38" customWidth="1"/>
    <col min="7" max="7" width="22.453125" style="38" customWidth="1"/>
    <col min="8" max="16384" width="9.1796875" style="38"/>
  </cols>
  <sheetData>
    <row r="1" spans="1:12" ht="30.75" customHeight="1" x14ac:dyDescent="0.4">
      <c r="A1" s="37" t="s">
        <v>32</v>
      </c>
    </row>
    <row r="2" spans="1:12" ht="15" customHeight="1" x14ac:dyDescent="0.25">
      <c r="A2"/>
      <c r="B2"/>
      <c r="C2"/>
      <c r="D2"/>
      <c r="E2"/>
      <c r="G2" s="39"/>
      <c r="K2" s="40"/>
      <c r="L2" s="41"/>
    </row>
    <row r="3" spans="1:12" ht="15" customHeight="1" x14ac:dyDescent="0.25">
      <c r="A3"/>
      <c r="B3"/>
      <c r="C3"/>
      <c r="D3"/>
      <c r="E3"/>
      <c r="F3" s="44"/>
      <c r="G3" s="44"/>
      <c r="H3" s="39"/>
      <c r="K3" s="40"/>
      <c r="L3" s="41"/>
    </row>
    <row r="4" spans="1:12" ht="15" customHeight="1" x14ac:dyDescent="0.25">
      <c r="A4"/>
      <c r="B4"/>
      <c r="C4"/>
      <c r="D4"/>
      <c r="E4"/>
      <c r="F4" s="44"/>
      <c r="G4" s="44"/>
      <c r="H4" s="39"/>
      <c r="K4" s="40"/>
      <c r="L4" s="41"/>
    </row>
    <row r="5" spans="1:12" ht="15" customHeight="1" x14ac:dyDescent="0.25">
      <c r="A5"/>
      <c r="B5"/>
      <c r="C5"/>
      <c r="D5"/>
      <c r="E5"/>
      <c r="G5" s="39"/>
      <c r="K5" s="45"/>
      <c r="L5" s="41"/>
    </row>
    <row r="6" spans="1:12" ht="15" customHeight="1" x14ac:dyDescent="0.25">
      <c r="A6"/>
      <c r="B6"/>
      <c r="C6"/>
      <c r="D6"/>
      <c r="E6"/>
      <c r="G6" s="39"/>
      <c r="K6" s="45"/>
      <c r="L6" s="41"/>
    </row>
    <row r="7" spans="1:12" ht="15" customHeight="1" x14ac:dyDescent="0.25">
      <c r="A7"/>
      <c r="B7"/>
      <c r="C7"/>
      <c r="D7"/>
      <c r="E7"/>
      <c r="G7" s="39"/>
      <c r="K7" s="45"/>
      <c r="L7" s="41"/>
    </row>
    <row r="8" spans="1:12" x14ac:dyDescent="0.25">
      <c r="A8"/>
      <c r="B8"/>
      <c r="C8"/>
      <c r="D8"/>
      <c r="E8"/>
    </row>
    <row r="9" spans="1:12" x14ac:dyDescent="0.25">
      <c r="A9"/>
      <c r="B9"/>
      <c r="C9"/>
      <c r="D9"/>
      <c r="E9"/>
    </row>
    <row r="10" spans="1:12" ht="13" thickBot="1" x14ac:dyDescent="0.3"/>
    <row r="11" spans="1:12" s="53" customFormat="1" ht="24.75" customHeight="1" thickTop="1" thickBot="1" x14ac:dyDescent="0.4">
      <c r="A11" s="49" t="s">
        <v>39</v>
      </c>
      <c r="B11" s="50"/>
      <c r="C11" s="51"/>
      <c r="D11" s="51"/>
      <c r="E11" s="51"/>
      <c r="F11" s="51"/>
      <c r="G11" s="52"/>
    </row>
    <row r="12" spans="1:12" s="53" customFormat="1" ht="24.75" customHeight="1" thickTop="1" thickBot="1" x14ac:dyDescent="0.4">
      <c r="A12" s="1543"/>
      <c r="B12" s="1742"/>
      <c r="C12" s="1743"/>
      <c r="D12" s="1743"/>
      <c r="E12" s="1743"/>
      <c r="F12" s="1743"/>
      <c r="G12" s="1743"/>
    </row>
    <row r="13" spans="1:12" s="53" customFormat="1" ht="21" customHeight="1" thickTop="1" x14ac:dyDescent="0.3">
      <c r="A13" s="54" t="s">
        <v>40</v>
      </c>
      <c r="B13" s="55" t="s">
        <v>41</v>
      </c>
      <c r="C13" s="56" t="s">
        <v>42</v>
      </c>
      <c r="D13" s="56" t="s">
        <v>43</v>
      </c>
      <c r="E13" s="56" t="s">
        <v>44</v>
      </c>
      <c r="F13" s="56" t="s">
        <v>45</v>
      </c>
      <c r="G13" s="57" t="s">
        <v>46</v>
      </c>
    </row>
    <row r="14" spans="1:12" s="53" customFormat="1" ht="15" customHeight="1" x14ac:dyDescent="0.25">
      <c r="A14" s="1087">
        <f>'Cash Flow Analysis'!B65</f>
        <v>1</v>
      </c>
      <c r="B14" s="1545">
        <f>IF(B13="","",IF('Cash Flow Analysis'!$B$31=0,"N/A",IF(A14=1,1,IF(A13=debt_period,"",B13+1))))</f>
        <v>1</v>
      </c>
      <c r="C14" s="1090">
        <f ca="1">IF(OR(A14="",B14="",B14="N/A"),"",IF(B14=1,-'Cash Flow Analysis'!G65,IF(B14="N/A",0,G13)))</f>
        <v>95667334.213185206</v>
      </c>
      <c r="D14" s="1090">
        <f ca="1">IF(debt_period=0,
E14+F14,
IF(OR(A14="",B14="",B14="N/A"),"",IF(B14=1,((debt_interest*(1+debt_interest)^debt_period)/((1+debt_interest)^debt_period-1))*(-'Cash Flow Analysis'!G65),IF(G13=0,"",D13))))</f>
        <v>3539691.3658878524</v>
      </c>
      <c r="E14" s="1090">
        <f t="shared" ref="E14:E57" ca="1" si="0">IF(OR(A14="",B14="",B14="N/A"),"",C14*debt_interest)</f>
        <v>3539691.3658878524</v>
      </c>
      <c r="F14" s="1090">
        <f>IF(debt_period=0,
IF(B14=(anal_period+construct),0,0),
IF(OR(A14="",B14="",B14="N/A"),"",D14-E14))</f>
        <v>0</v>
      </c>
      <c r="G14" s="1546">
        <f t="shared" ref="G14:G57" ca="1" si="1">IF(OR(A14="",B14="",B14="N/A"),"",C14-F14)</f>
        <v>95667334.213185206</v>
      </c>
    </row>
    <row r="15" spans="1:12" s="53" customFormat="1" ht="15" customHeight="1" x14ac:dyDescent="0.25">
      <c r="A15" s="1087">
        <f>'Cash Flow Analysis'!B66</f>
        <v>2</v>
      </c>
      <c r="B15" s="1545">
        <f>IF(B14="","",IF('Cash Flow Analysis'!$B$31=0,"N/A",IF(A15=1,1,IF(A14=debt_period,"",B14+1))))</f>
        <v>2</v>
      </c>
      <c r="C15" s="1090">
        <f ca="1">IF(OR(A15="",B15="",B15="N/A"),"",IF(B15=1,-'Cash Flow Analysis'!G66,IF(B15="N/A",0,G14)))</f>
        <v>95667334.213185206</v>
      </c>
      <c r="D15" s="1090">
        <f ca="1">IF(debt_period=0,
E15+F15,
IF(OR(A15="",B15="",B15="N/A"),"",IF(B15=1,((debt_interest*(1+debt_interest)^debt_period)/((1+debt_interest)^debt_period-1))*(-'Cash Flow Analysis'!G66),IF(G14=0,"",D14))))</f>
        <v>3539691.3658878524</v>
      </c>
      <c r="E15" s="1090">
        <f t="shared" ca="1" si="0"/>
        <v>3539691.3658878524</v>
      </c>
      <c r="F15" s="1090">
        <f>IF(debt_period=0,
IF(B15=(anal_period+construct),C14,0),
IF(OR(A15="",B15="",B15="N/A"),"",D15-E15))</f>
        <v>0</v>
      </c>
      <c r="G15" s="1546">
        <f t="shared" ca="1" si="1"/>
        <v>95667334.213185206</v>
      </c>
    </row>
    <row r="16" spans="1:12" s="53" customFormat="1" ht="15" customHeight="1" x14ac:dyDescent="0.25">
      <c r="A16" s="1087">
        <f>'Cash Flow Analysis'!B67</f>
        <v>3</v>
      </c>
      <c r="B16" s="1545">
        <f>IF(B15="","",IF('Cash Flow Analysis'!$B$31=0,"N/A",IF(A16=1,1,IF(A15=debt_period,"",B15+1))))</f>
        <v>3</v>
      </c>
      <c r="C16" s="1090">
        <f ca="1">IF(OR(A16="",B16="",B16="N/A"),"",IF(B16=1,-'Cash Flow Analysis'!G67,IF(B16="N/A",0,G15)))</f>
        <v>95667334.213185206</v>
      </c>
      <c r="D16" s="1090">
        <f ca="1">IF(debt_period=0,
E16+F16,
IF(OR(A16="",B16="",B16="N/A"),"",IF(B16=1,((debt_interest*(1+debt_interest)^debt_period)/((1+debt_interest)^debt_period-1))*(-'Cash Flow Analysis'!G67),IF(G15=0,"",D15))))</f>
        <v>3539691.3658878524</v>
      </c>
      <c r="E16" s="1090">
        <f t="shared" ca="1" si="0"/>
        <v>3539691.3658878524</v>
      </c>
      <c r="F16" s="1090">
        <f t="shared" ref="F16:F57" si="2">IF(debt_period=0,
IF(B16=(anal_period+construct),C16,0),
IF(OR(A16="",B16="",B16="N/A"),"",D16-E16))</f>
        <v>0</v>
      </c>
      <c r="G16" s="1546">
        <f t="shared" ca="1" si="1"/>
        <v>95667334.213185206</v>
      </c>
    </row>
    <row r="17" spans="1:7" s="53" customFormat="1" ht="15" customHeight="1" x14ac:dyDescent="0.25">
      <c r="A17" s="1087">
        <f>'Cash Flow Analysis'!B68</f>
        <v>4</v>
      </c>
      <c r="B17" s="1545">
        <f>IF(B16="","",IF('Cash Flow Analysis'!$B$31=0,"N/A",IF(A17=1,1,IF(A16=debt_period,"",B16+1))))</f>
        <v>4</v>
      </c>
      <c r="C17" s="1090">
        <f ca="1">IF(OR(A17="",B17="",B17="N/A"),"",IF(B17=1,-'Cash Flow Analysis'!G68,IF(B17="N/A",0,G16)))</f>
        <v>95667334.213185206</v>
      </c>
      <c r="D17" s="1090">
        <f ca="1">IF(debt_period=0,
E17+F17,
IF(OR(A17="",B17="",B17="N/A"),"",IF(B17=1,((debt_interest*(1+debt_interest)^debt_period)/((1+debt_interest)^debt_period-1))*(-'Cash Flow Analysis'!G68),IF(G16=0,"",D16))))</f>
        <v>3539691.3658878524</v>
      </c>
      <c r="E17" s="1090">
        <f t="shared" ca="1" si="0"/>
        <v>3539691.3658878524</v>
      </c>
      <c r="F17" s="1090">
        <f t="shared" si="2"/>
        <v>0</v>
      </c>
      <c r="G17" s="1546">
        <f t="shared" ca="1" si="1"/>
        <v>95667334.213185206</v>
      </c>
    </row>
    <row r="18" spans="1:7" s="53" customFormat="1" ht="15" customHeight="1" x14ac:dyDescent="0.25">
      <c r="A18" s="1087">
        <f>'Cash Flow Analysis'!B69</f>
        <v>5</v>
      </c>
      <c r="B18" s="1545">
        <f>IF(B17="","",IF('Cash Flow Analysis'!$B$31=0,"N/A",IF(A18=1,1,IF(A17=debt_period,"",B17+1))))</f>
        <v>5</v>
      </c>
      <c r="C18" s="1090">
        <f ca="1">IF(OR(A18="",B18="",B18="N/A"),"",IF(B18=1,-'Cash Flow Analysis'!G69,IF(B18="N/A",0,G17)))</f>
        <v>95667334.213185206</v>
      </c>
      <c r="D18" s="1090">
        <f ca="1">IF(debt_period=0,
E18+F18,
IF(OR(A18="",B18="",B18="N/A"),"",IF(B18=1,((debt_interest*(1+debt_interest)^debt_period)/((1+debt_interest)^debt_period-1))*(-'Cash Flow Analysis'!G69),IF(G17=0,"",D17))))</f>
        <v>3539691.3658878524</v>
      </c>
      <c r="E18" s="1090">
        <f t="shared" ca="1" si="0"/>
        <v>3539691.3658878524</v>
      </c>
      <c r="F18" s="1090">
        <f t="shared" si="2"/>
        <v>0</v>
      </c>
      <c r="G18" s="1546">
        <f t="shared" ca="1" si="1"/>
        <v>95667334.213185206</v>
      </c>
    </row>
    <row r="19" spans="1:7" s="53" customFormat="1" ht="15" customHeight="1" x14ac:dyDescent="0.25">
      <c r="A19" s="1087">
        <f>'Cash Flow Analysis'!B70</f>
        <v>6</v>
      </c>
      <c r="B19" s="1545">
        <f>IF(B18="","",IF('Cash Flow Analysis'!$B$31=0,"N/A",IF(A19=1,1,IF(A18=debt_period,"",B18+1))))</f>
        <v>6</v>
      </c>
      <c r="C19" s="1090">
        <f ca="1">IF(OR(A19="",B19="",B19="N/A"),"",IF(B19=1,-'Cash Flow Analysis'!G70,IF(B19="N/A",0,G18)))</f>
        <v>95667334.213185206</v>
      </c>
      <c r="D19" s="1090">
        <f ca="1">IF(debt_period=0,
E19+F19,
IF(OR(A19="",B19="",B19="N/A"),"",IF(B19=1,((debt_interest*(1+debt_interest)^debt_period)/((1+debt_interest)^debt_period-1))*(-'Cash Flow Analysis'!G70),IF(G18=0,"",D18))))</f>
        <v>3539691.3658878524</v>
      </c>
      <c r="E19" s="1090">
        <f t="shared" ca="1" si="0"/>
        <v>3539691.3658878524</v>
      </c>
      <c r="F19" s="1090">
        <f t="shared" si="2"/>
        <v>0</v>
      </c>
      <c r="G19" s="1546">
        <f t="shared" ca="1" si="1"/>
        <v>95667334.213185206</v>
      </c>
    </row>
    <row r="20" spans="1:7" s="53" customFormat="1" ht="15" customHeight="1" x14ac:dyDescent="0.25">
      <c r="A20" s="1087">
        <f>'Cash Flow Analysis'!B71</f>
        <v>7</v>
      </c>
      <c r="B20" s="1545">
        <f>IF(B19="","",IF('Cash Flow Analysis'!$B$31=0,"N/A",IF(A20=1,1,IF(A19=debt_period,"",B19+1))))</f>
        <v>7</v>
      </c>
      <c r="C20" s="1090">
        <f ca="1">IF(OR(A20="",B20="",B20="N/A"),"",IF(B20=1,-'Cash Flow Analysis'!G71,IF(B20="N/A",0,G19)))</f>
        <v>95667334.213185206</v>
      </c>
      <c r="D20" s="1090">
        <f ca="1">IF(debt_period=0,
E20+F20,
IF(OR(A20="",B20="",B20="N/A"),"",IF(B20=1,((debt_interest*(1+debt_interest)^debt_period)/((1+debt_interest)^debt_period-1))*(-'Cash Flow Analysis'!G71),IF(G19=0,"",D19))))</f>
        <v>3539691.3658878524</v>
      </c>
      <c r="E20" s="1090">
        <f t="shared" ca="1" si="0"/>
        <v>3539691.3658878524</v>
      </c>
      <c r="F20" s="1090">
        <f t="shared" si="2"/>
        <v>0</v>
      </c>
      <c r="G20" s="1546">
        <f t="shared" ca="1" si="1"/>
        <v>95667334.213185206</v>
      </c>
    </row>
    <row r="21" spans="1:7" s="53" customFormat="1" ht="15" customHeight="1" x14ac:dyDescent="0.25">
      <c r="A21" s="1087">
        <f>'Cash Flow Analysis'!B72</f>
        <v>8</v>
      </c>
      <c r="B21" s="1545">
        <f>IF(B20="","",IF('Cash Flow Analysis'!$B$31=0,"N/A",IF(A21=1,1,IF(A20=debt_period,"",B20+1))))</f>
        <v>8</v>
      </c>
      <c r="C21" s="1090">
        <f ca="1">IF(OR(A21="",B21="",B21="N/A"),"",IF(B21=1,-'Cash Flow Analysis'!G72,IF(B21="N/A",0,G20)))</f>
        <v>95667334.213185206</v>
      </c>
      <c r="D21" s="1090">
        <f ca="1">IF(debt_period=0,
E21+F21,
IF(OR(A21="",B21="",B21="N/A"),"",IF(B21=1,((debt_interest*(1+debt_interest)^debt_period)/((1+debt_interest)^debt_period-1))*(-'Cash Flow Analysis'!G72),IF(G20=0,"",D20))))</f>
        <v>3539691.3658878524</v>
      </c>
      <c r="E21" s="1090">
        <f t="shared" ca="1" si="0"/>
        <v>3539691.3658878524</v>
      </c>
      <c r="F21" s="1090">
        <f t="shared" si="2"/>
        <v>0</v>
      </c>
      <c r="G21" s="1546">
        <f t="shared" ca="1" si="1"/>
        <v>95667334.213185206</v>
      </c>
    </row>
    <row r="22" spans="1:7" s="53" customFormat="1" ht="15" customHeight="1" x14ac:dyDescent="0.25">
      <c r="A22" s="1087">
        <f>'Cash Flow Analysis'!B73</f>
        <v>9</v>
      </c>
      <c r="B22" s="1545">
        <f>IF(B21="","",IF('Cash Flow Analysis'!$B$31=0,"N/A",IF(A22=1,1,IF(A21=debt_period,"",B21+1))))</f>
        <v>9</v>
      </c>
      <c r="C22" s="1090">
        <f ca="1">IF(OR(A22="",B22="",B22="N/A"),"",IF(B22=1,-'Cash Flow Analysis'!G73,IF(B22="N/A",0,G21)))</f>
        <v>95667334.213185206</v>
      </c>
      <c r="D22" s="1090">
        <f ca="1">IF(debt_period=0,
E22+F22,
IF(OR(A22="",B22="",B22="N/A"),"",IF(B22=1,((debt_interest*(1+debt_interest)^debt_period)/((1+debt_interest)^debt_period-1))*(-'Cash Flow Analysis'!G73),IF(G21=0,"",D21))))</f>
        <v>3539691.3658878524</v>
      </c>
      <c r="E22" s="1090">
        <f t="shared" ca="1" si="0"/>
        <v>3539691.3658878524</v>
      </c>
      <c r="F22" s="1090">
        <f t="shared" si="2"/>
        <v>0</v>
      </c>
      <c r="G22" s="1546">
        <f t="shared" ca="1" si="1"/>
        <v>95667334.213185206</v>
      </c>
    </row>
    <row r="23" spans="1:7" s="53" customFormat="1" ht="15" customHeight="1" x14ac:dyDescent="0.25">
      <c r="A23" s="1087">
        <f>'Cash Flow Analysis'!B74</f>
        <v>10</v>
      </c>
      <c r="B23" s="1545">
        <f>IF(B22="","",IF('Cash Flow Analysis'!$B$31=0,"N/A",IF(A23=1,1,IF(A22=debt_period,"",B22+1))))</f>
        <v>10</v>
      </c>
      <c r="C23" s="1090">
        <f ca="1">IF(OR(A23="",B23="",B23="N/A"),"",IF(B23=1,-'Cash Flow Analysis'!G74,IF(B23="N/A",0,G22)))</f>
        <v>95667334.213185206</v>
      </c>
      <c r="D23" s="1090">
        <f ca="1">IF(debt_period=0,
E23+F23,
IF(OR(A23="",B23="",B23="N/A"),"",IF(B23=1,((debt_interest*(1+debt_interest)^debt_period)/((1+debt_interest)^debt_period-1))*(-'Cash Flow Analysis'!G74),IF(G22=0,"",D22))))</f>
        <v>3539691.3658878524</v>
      </c>
      <c r="E23" s="1090">
        <f t="shared" ca="1" si="0"/>
        <v>3539691.3658878524</v>
      </c>
      <c r="F23" s="1090">
        <f t="shared" si="2"/>
        <v>0</v>
      </c>
      <c r="G23" s="1546">
        <f t="shared" ca="1" si="1"/>
        <v>95667334.213185206</v>
      </c>
    </row>
    <row r="24" spans="1:7" s="53" customFormat="1" ht="15" customHeight="1" x14ac:dyDescent="0.25">
      <c r="A24" s="1087">
        <f>'Cash Flow Analysis'!B75</f>
        <v>11</v>
      </c>
      <c r="B24" s="1545">
        <f>IF(B23="","",IF('Cash Flow Analysis'!$B$31=0,"N/A",IF(A24=1,1,IF(A23=debt_period,"",B23+1))))</f>
        <v>11</v>
      </c>
      <c r="C24" s="1090">
        <f ca="1">IF(OR(A24="",B24="",B24="N/A"),"",IF(B24=1,-'Cash Flow Analysis'!G75,IF(B24="N/A",0,G23)))</f>
        <v>95667334.213185206</v>
      </c>
      <c r="D24" s="1090">
        <f ca="1">IF(debt_period=0,
E24+F24,
IF(OR(A24="",B24="",B24="N/A"),"",IF(B24=1,((debt_interest*(1+debt_interest)^debt_period)/((1+debt_interest)^debt_period-1))*(-'Cash Flow Analysis'!G75),IF(G23=0,"",D23))))</f>
        <v>3539691.3658878524</v>
      </c>
      <c r="E24" s="1090">
        <f t="shared" ca="1" si="0"/>
        <v>3539691.3658878524</v>
      </c>
      <c r="F24" s="1090">
        <f t="shared" si="2"/>
        <v>0</v>
      </c>
      <c r="G24" s="1546">
        <f t="shared" ca="1" si="1"/>
        <v>95667334.213185206</v>
      </c>
    </row>
    <row r="25" spans="1:7" s="53" customFormat="1" ht="15" customHeight="1" x14ac:dyDescent="0.25">
      <c r="A25" s="1087">
        <f>'Cash Flow Analysis'!B76</f>
        <v>12</v>
      </c>
      <c r="B25" s="1545">
        <f>IF(B24="","",IF('Cash Flow Analysis'!$B$31=0,"N/A",IF(A25=1,1,IF(A24=debt_period,"",B24+1))))</f>
        <v>12</v>
      </c>
      <c r="C25" s="1090">
        <f ca="1">IF(OR(A25="",B25="",B25="N/A"),"",IF(B25=1,-'Cash Flow Analysis'!G76,IF(B25="N/A",0,G24)))</f>
        <v>95667334.213185206</v>
      </c>
      <c r="D25" s="1090">
        <f ca="1">IF(debt_period=0,
E25+F25,
IF(OR(A25="",B25="",B25="N/A"),"",IF(B25=1,((debt_interest*(1+debt_interest)^debt_period)/((1+debt_interest)^debt_period-1))*(-'Cash Flow Analysis'!G76),IF(G24=0,"",D24))))</f>
        <v>3539691.3658878524</v>
      </c>
      <c r="E25" s="1090">
        <f t="shared" ca="1" si="0"/>
        <v>3539691.3658878524</v>
      </c>
      <c r="F25" s="1090">
        <f t="shared" si="2"/>
        <v>0</v>
      </c>
      <c r="G25" s="1546">
        <f t="shared" ca="1" si="1"/>
        <v>95667334.213185206</v>
      </c>
    </row>
    <row r="26" spans="1:7" s="53" customFormat="1" ht="15" customHeight="1" x14ac:dyDescent="0.25">
      <c r="A26" s="1087">
        <f>'Cash Flow Analysis'!B77</f>
        <v>13</v>
      </c>
      <c r="B26" s="1545">
        <f>IF(B25="","",IF('Cash Flow Analysis'!$B$31=0,"N/A",IF(A26=1,1,IF(A25=debt_period,"",B25+1))))</f>
        <v>13</v>
      </c>
      <c r="C26" s="1090">
        <f ca="1">IF(OR(A26="",B26="",B26="N/A"),"",IF(B26=1,-'Cash Flow Analysis'!G77,IF(B26="N/A",0,G25)))</f>
        <v>95667334.213185206</v>
      </c>
      <c r="D26" s="1090">
        <f ca="1">IF(debt_period=0,
E26+F26,
IF(OR(A26="",B26="",B26="N/A"),"",IF(B26=1,((debt_interest*(1+debt_interest)^debt_period)/((1+debt_interest)^debt_period-1))*(-'Cash Flow Analysis'!G77),IF(G25=0,"",D25))))</f>
        <v>3539691.3658878524</v>
      </c>
      <c r="E26" s="1090">
        <f t="shared" ca="1" si="0"/>
        <v>3539691.3658878524</v>
      </c>
      <c r="F26" s="1090">
        <f t="shared" si="2"/>
        <v>0</v>
      </c>
      <c r="G26" s="1546">
        <f t="shared" ca="1" si="1"/>
        <v>95667334.213185206</v>
      </c>
    </row>
    <row r="27" spans="1:7" s="53" customFormat="1" ht="15" customHeight="1" x14ac:dyDescent="0.25">
      <c r="A27" s="1087">
        <f>'Cash Flow Analysis'!B78</f>
        <v>14</v>
      </c>
      <c r="B27" s="1545">
        <f>IF(B26="","",IF('Cash Flow Analysis'!$B$31=0,"N/A",IF(A27=1,1,IF(A26=debt_period,"",B26+1))))</f>
        <v>14</v>
      </c>
      <c r="C27" s="1090">
        <f ca="1">IF(OR(A27="",B27="",B27="N/A"),"",IF(B27=1,-'Cash Flow Analysis'!G78,IF(B27="N/A",0,G26)))</f>
        <v>95667334.213185206</v>
      </c>
      <c r="D27" s="1090">
        <f ca="1">IF(debt_period=0,
E27+F27,
IF(OR(A27="",B27="",B27="N/A"),"",IF(B27=1,((debt_interest*(1+debt_interest)^debt_period)/((1+debt_interest)^debt_period-1))*(-'Cash Flow Analysis'!G78),IF(G26=0,"",D26))))</f>
        <v>3539691.3658878524</v>
      </c>
      <c r="E27" s="1090">
        <f t="shared" ca="1" si="0"/>
        <v>3539691.3658878524</v>
      </c>
      <c r="F27" s="1090">
        <f t="shared" si="2"/>
        <v>0</v>
      </c>
      <c r="G27" s="1546">
        <f t="shared" ca="1" si="1"/>
        <v>95667334.213185206</v>
      </c>
    </row>
    <row r="28" spans="1:7" s="53" customFormat="1" ht="15" customHeight="1" x14ac:dyDescent="0.25">
      <c r="A28" s="1087">
        <f>'Cash Flow Analysis'!B79</f>
        <v>15</v>
      </c>
      <c r="B28" s="1545">
        <f>IF(B27="","",IF('Cash Flow Analysis'!$B$31=0,"N/A",IF(A28=1,1,IF(A27=debt_period,"",B27+1))))</f>
        <v>15</v>
      </c>
      <c r="C28" s="1090">
        <f ca="1">IF(OR(A28="",B28="",B28="N/A"),"",IF(B28=1,-'Cash Flow Analysis'!G79,IF(B28="N/A",0,G27)))</f>
        <v>95667334.213185206</v>
      </c>
      <c r="D28" s="1090">
        <f ca="1">IF(debt_period=0,
E28+F28,
IF(OR(A28="",B28="",B28="N/A"),"",IF(B28=1,((debt_interest*(1+debt_interest)^debt_period)/((1+debt_interest)^debt_period-1))*(-'Cash Flow Analysis'!G79),IF(G27=0,"",D27))))</f>
        <v>3539691.3658878524</v>
      </c>
      <c r="E28" s="1090">
        <f t="shared" ca="1" si="0"/>
        <v>3539691.3658878524</v>
      </c>
      <c r="F28" s="1090">
        <f t="shared" si="2"/>
        <v>0</v>
      </c>
      <c r="G28" s="1546">
        <f t="shared" ca="1" si="1"/>
        <v>95667334.213185206</v>
      </c>
    </row>
    <row r="29" spans="1:7" s="53" customFormat="1" ht="15" customHeight="1" x14ac:dyDescent="0.25">
      <c r="A29" s="1087">
        <f>'Cash Flow Analysis'!B80</f>
        <v>16</v>
      </c>
      <c r="B29" s="1545">
        <f>IF(B28="","",IF('Cash Flow Analysis'!$B$31=0,"N/A",IF(A29=1,1,IF(A28=debt_period,"",B28+1))))</f>
        <v>16</v>
      </c>
      <c r="C29" s="1090">
        <f ca="1">IF(OR(A29="",B29="",B29="N/A"),"",IF(B29=1,-'Cash Flow Analysis'!G80,IF(B29="N/A",0,G28)))</f>
        <v>95667334.213185206</v>
      </c>
      <c r="D29" s="1090">
        <f ca="1">IF(debt_period=0,
E29+F29,
IF(OR(A29="",B29="",B29="N/A"),"",IF(B29=1,((debt_interest*(1+debt_interest)^debt_period)/((1+debt_interest)^debt_period-1))*(-'Cash Flow Analysis'!G80),IF(G28=0,"",D28))))</f>
        <v>3539691.3658878524</v>
      </c>
      <c r="E29" s="1090">
        <f t="shared" ca="1" si="0"/>
        <v>3539691.3658878524</v>
      </c>
      <c r="F29" s="1090">
        <f t="shared" si="2"/>
        <v>0</v>
      </c>
      <c r="G29" s="1546">
        <f t="shared" ca="1" si="1"/>
        <v>95667334.213185206</v>
      </c>
    </row>
    <row r="30" spans="1:7" s="53" customFormat="1" ht="15" customHeight="1" x14ac:dyDescent="0.25">
      <c r="A30" s="1087">
        <f>'Cash Flow Analysis'!B81</f>
        <v>17</v>
      </c>
      <c r="B30" s="1545">
        <f>IF(B29="","",IF('Cash Flow Analysis'!$B$31=0,"N/A",IF(A30=1,1,IF(A29=debt_period,"",B29+1))))</f>
        <v>17</v>
      </c>
      <c r="C30" s="1090">
        <f ca="1">IF(OR(A30="",B30="",B30="N/A"),"",IF(B30=1,-'Cash Flow Analysis'!G81,IF(B30="N/A",0,G29)))</f>
        <v>95667334.213185206</v>
      </c>
      <c r="D30" s="1090">
        <f ca="1">IF(debt_period=0,
E30+F30,
IF(OR(A30="",B30="",B30="N/A"),"",IF(B30=1,((debt_interest*(1+debt_interest)^debt_period)/((1+debt_interest)^debt_period-1))*(-'Cash Flow Analysis'!G81),IF(G29=0,"",D29))))</f>
        <v>3539691.3658878524</v>
      </c>
      <c r="E30" s="1090">
        <f t="shared" ca="1" si="0"/>
        <v>3539691.3658878524</v>
      </c>
      <c r="F30" s="1090">
        <f t="shared" si="2"/>
        <v>0</v>
      </c>
      <c r="G30" s="1546">
        <f t="shared" ca="1" si="1"/>
        <v>95667334.213185206</v>
      </c>
    </row>
    <row r="31" spans="1:7" s="53" customFormat="1" ht="15" customHeight="1" x14ac:dyDescent="0.25">
      <c r="A31" s="1087">
        <f>'Cash Flow Analysis'!B82</f>
        <v>18</v>
      </c>
      <c r="B31" s="1545">
        <f>IF(B30="","",IF('Cash Flow Analysis'!$B$31=0,"N/A",IF(A31=1,1,IF(A30=debt_period,"",B30+1))))</f>
        <v>18</v>
      </c>
      <c r="C31" s="1090">
        <f ca="1">IF(OR(A31="",B31="",B31="N/A"),"",IF(B31=1,-'Cash Flow Analysis'!G82,IF(B31="N/A",0,G30)))</f>
        <v>95667334.213185206</v>
      </c>
      <c r="D31" s="1090">
        <f ca="1">IF(debt_period=0,
E31+F31,
IF(OR(A31="",B31="",B31="N/A"),"",IF(B31=1,((debt_interest*(1+debt_interest)^debt_period)/((1+debt_interest)^debt_period-1))*(-'Cash Flow Analysis'!G82),IF(G30=0,"",D30))))</f>
        <v>3539691.3658878524</v>
      </c>
      <c r="E31" s="1090">
        <f t="shared" ca="1" si="0"/>
        <v>3539691.3658878524</v>
      </c>
      <c r="F31" s="1090">
        <f t="shared" si="2"/>
        <v>0</v>
      </c>
      <c r="G31" s="1546">
        <f t="shared" ca="1" si="1"/>
        <v>95667334.213185206</v>
      </c>
    </row>
    <row r="32" spans="1:7" s="53" customFormat="1" ht="15" customHeight="1" x14ac:dyDescent="0.25">
      <c r="A32" s="1087">
        <f>'Cash Flow Analysis'!B83</f>
        <v>19</v>
      </c>
      <c r="B32" s="1545">
        <f>IF(B31="","",IF('Cash Flow Analysis'!$B$31=0,"N/A",IF(A32=1,1,IF(A31=debt_period,"",B31+1))))</f>
        <v>19</v>
      </c>
      <c r="C32" s="1090">
        <f ca="1">IF(OR(A32="",B32="",B32="N/A"),"",IF(B32=1,-'Cash Flow Analysis'!G83,IF(B32="N/A",0,G31)))</f>
        <v>95667334.213185206</v>
      </c>
      <c r="D32" s="1090">
        <f ca="1">IF(debt_period=0,
E32+F32,
IF(OR(A32="",B32="",B32="N/A"),"",IF(B32=1,((debt_interest*(1+debt_interest)^debt_period)/((1+debt_interest)^debt_period-1))*(-'Cash Flow Analysis'!G83),IF(G31=0,"",D31))))</f>
        <v>3539691.3658878524</v>
      </c>
      <c r="E32" s="1090">
        <f t="shared" ca="1" si="0"/>
        <v>3539691.3658878524</v>
      </c>
      <c r="F32" s="1090">
        <f t="shared" si="2"/>
        <v>0</v>
      </c>
      <c r="G32" s="1546">
        <f t="shared" ca="1" si="1"/>
        <v>95667334.213185206</v>
      </c>
    </row>
    <row r="33" spans="1:7" s="53" customFormat="1" ht="15" customHeight="1" x14ac:dyDescent="0.25">
      <c r="A33" s="1087">
        <f>'Cash Flow Analysis'!B84</f>
        <v>20</v>
      </c>
      <c r="B33" s="1545">
        <f>IF(B32="","",IF('Cash Flow Analysis'!$B$31=0,"N/A",IF(A33=1,1,IF(A32=debt_period,"",B32+1))))</f>
        <v>20</v>
      </c>
      <c r="C33" s="1090">
        <f ca="1">IF(OR(A33="",B33="",B33="N/A"),"",IF(B33=1,-'Cash Flow Analysis'!G84,IF(B33="N/A",0,G32)))</f>
        <v>95667334.213185206</v>
      </c>
      <c r="D33" s="1090">
        <f ca="1">IF(debt_period=0,
E33+F33,
IF(OR(A33="",B33="",B33="N/A"),"",IF(B33=1,((debt_interest*(1+debt_interest)^debt_period)/((1+debt_interest)^debt_period-1))*(-'Cash Flow Analysis'!G84),IF(G32=0,"",D32))))</f>
        <v>3539691.3658878524</v>
      </c>
      <c r="E33" s="1090">
        <f t="shared" ca="1" si="0"/>
        <v>3539691.3658878524</v>
      </c>
      <c r="F33" s="1090">
        <f t="shared" si="2"/>
        <v>0</v>
      </c>
      <c r="G33" s="1546">
        <f t="shared" ca="1" si="1"/>
        <v>95667334.213185206</v>
      </c>
    </row>
    <row r="34" spans="1:7" s="53" customFormat="1" ht="15" customHeight="1" x14ac:dyDescent="0.25">
      <c r="A34" s="1087">
        <f>'Cash Flow Analysis'!B85</f>
        <v>21</v>
      </c>
      <c r="B34" s="1545">
        <f>IF(B33="","",IF('Cash Flow Analysis'!$B$31=0,"N/A",IF(A34=1,1,IF(A33=debt_period,"",B33+1))))</f>
        <v>21</v>
      </c>
      <c r="C34" s="1090">
        <f ca="1">IF(OR(A34="",B34="",B34="N/A"),"",IF(B34=1,-'Cash Flow Analysis'!G85,IF(B34="N/A",0,G33)))</f>
        <v>95667334.213185206</v>
      </c>
      <c r="D34" s="1090">
        <f ca="1">IF(debt_period=0,
E34+F34,
IF(OR(A34="",B34="",B34="N/A"),"",IF(B34=1,((debt_interest*(1+debt_interest)^debt_period)/((1+debt_interest)^debt_period-1))*(-'Cash Flow Analysis'!G85),IF(G33=0,"",D33))))</f>
        <v>3539691.3658878524</v>
      </c>
      <c r="E34" s="1090">
        <f t="shared" ca="1" si="0"/>
        <v>3539691.3658878524</v>
      </c>
      <c r="F34" s="1090">
        <f t="shared" si="2"/>
        <v>0</v>
      </c>
      <c r="G34" s="1546">
        <f t="shared" ca="1" si="1"/>
        <v>95667334.213185206</v>
      </c>
    </row>
    <row r="35" spans="1:7" s="53" customFormat="1" ht="15" customHeight="1" x14ac:dyDescent="0.25">
      <c r="A35" s="1087">
        <f>'Cash Flow Analysis'!B86</f>
        <v>22</v>
      </c>
      <c r="B35" s="1545">
        <f>IF(B34="","",IF('Cash Flow Analysis'!$B$31=0,"N/A",IF(A35=1,1,IF(A34=debt_period,"",B34+1))))</f>
        <v>22</v>
      </c>
      <c r="C35" s="1090">
        <f ca="1">IF(OR(A35="",B35="",B35="N/A"),"",IF(B35=1,-'Cash Flow Analysis'!G86,IF(B35="N/A",0,G34)))</f>
        <v>95667334.213185206</v>
      </c>
      <c r="D35" s="1090">
        <f ca="1">IF(debt_period=0,
E35+F35,
IF(OR(A35="",B35="",B35="N/A"),"",IF(B35=1,((debt_interest*(1+debt_interest)^debt_period)/((1+debt_interest)^debt_period-1))*(-'Cash Flow Analysis'!G86),IF(G34=0,"",D34))))</f>
        <v>3539691.3658878524</v>
      </c>
      <c r="E35" s="1090">
        <f t="shared" ca="1" si="0"/>
        <v>3539691.3658878524</v>
      </c>
      <c r="F35" s="1090">
        <f t="shared" si="2"/>
        <v>0</v>
      </c>
      <c r="G35" s="1546">
        <f t="shared" ca="1" si="1"/>
        <v>95667334.213185206</v>
      </c>
    </row>
    <row r="36" spans="1:7" s="53" customFormat="1" ht="15" customHeight="1" x14ac:dyDescent="0.25">
      <c r="A36" s="1087">
        <f>'Cash Flow Analysis'!B87</f>
        <v>23</v>
      </c>
      <c r="B36" s="1545">
        <f>IF(B35="","",IF('Cash Flow Analysis'!$B$31=0,"N/A",IF(A36=1,1,IF(A35=debt_period,"",B35+1))))</f>
        <v>23</v>
      </c>
      <c r="C36" s="1090">
        <f ca="1">IF(OR(A36="",B36="",B36="N/A"),"",IF(B36=1,-'Cash Flow Analysis'!G87,IF(B36="N/A",0,G35)))</f>
        <v>95667334.213185206</v>
      </c>
      <c r="D36" s="1090">
        <f ca="1">IF(debt_period=0,
E36+F36,
IF(OR(A36="",B36="",B36="N/A"),"",IF(B36=1,((debt_interest*(1+debt_interest)^debt_period)/((1+debt_interest)^debt_period-1))*(-'Cash Flow Analysis'!G87),IF(G35=0,"",D35))))</f>
        <v>3539691.3658878524</v>
      </c>
      <c r="E36" s="1090">
        <f t="shared" ca="1" si="0"/>
        <v>3539691.3658878524</v>
      </c>
      <c r="F36" s="1090">
        <f t="shared" si="2"/>
        <v>0</v>
      </c>
      <c r="G36" s="1546">
        <f t="shared" ca="1" si="1"/>
        <v>95667334.213185206</v>
      </c>
    </row>
    <row r="37" spans="1:7" s="53" customFormat="1" ht="15" customHeight="1" x14ac:dyDescent="0.25">
      <c r="A37" s="1087">
        <f>'Cash Flow Analysis'!B88</f>
        <v>24</v>
      </c>
      <c r="B37" s="1545">
        <f>IF(B36="","",IF('Cash Flow Analysis'!$B$31=0,"N/A",IF(A37=1,1,IF(A36=debt_period,"",B36+1))))</f>
        <v>24</v>
      </c>
      <c r="C37" s="1090">
        <f ca="1">IF(OR(A37="",B37="",B37="N/A"),"",IF(B37=1,-'Cash Flow Analysis'!G88,IF(B37="N/A",0,G36)))</f>
        <v>95667334.213185206</v>
      </c>
      <c r="D37" s="1090">
        <f ca="1">IF(debt_period=0,
E37+F37,
IF(OR(A37="",B37="",B37="N/A"),"",IF(B37=1,((debt_interest*(1+debt_interest)^debt_period)/((1+debt_interest)^debt_period-1))*(-'Cash Flow Analysis'!G88),IF(G36=0,"",D36))))</f>
        <v>3539691.3658878524</v>
      </c>
      <c r="E37" s="1090">
        <f t="shared" ca="1" si="0"/>
        <v>3539691.3658878524</v>
      </c>
      <c r="F37" s="1090">
        <f t="shared" si="2"/>
        <v>0</v>
      </c>
      <c r="G37" s="1546">
        <f t="shared" ca="1" si="1"/>
        <v>95667334.213185206</v>
      </c>
    </row>
    <row r="38" spans="1:7" s="53" customFormat="1" ht="15" customHeight="1" x14ac:dyDescent="0.25">
      <c r="A38" s="1087">
        <f>'Cash Flow Analysis'!B89</f>
        <v>25</v>
      </c>
      <c r="B38" s="1545">
        <f>IF(B37="","",IF('Cash Flow Analysis'!$B$31=0,"N/A",IF(A38=1,1,IF(A37=debt_period,"",B37+1))))</f>
        <v>25</v>
      </c>
      <c r="C38" s="1090">
        <f ca="1">IF(OR(A38="",B38="",B38="N/A"),"",IF(B38=1,-'Cash Flow Analysis'!G89,IF(B38="N/A",0,G37)))</f>
        <v>95667334.213185206</v>
      </c>
      <c r="D38" s="1090">
        <f ca="1">IF(debt_period=0,
E38+F38,
IF(OR(A38="",B38="",B38="N/A"),"",IF(B38=1,((debt_interest*(1+debt_interest)^debt_period)/((1+debt_interest)^debt_period-1))*(-'Cash Flow Analysis'!G89),IF(G37=0,"",D37))))</f>
        <v>3539691.3658878524</v>
      </c>
      <c r="E38" s="1090">
        <f t="shared" ca="1" si="0"/>
        <v>3539691.3658878524</v>
      </c>
      <c r="F38" s="1090">
        <f t="shared" si="2"/>
        <v>0</v>
      </c>
      <c r="G38" s="1546">
        <f t="shared" ca="1" si="1"/>
        <v>95667334.213185206</v>
      </c>
    </row>
    <row r="39" spans="1:7" s="53" customFormat="1" ht="15" customHeight="1" x14ac:dyDescent="0.25">
      <c r="A39" s="1087">
        <f>'Cash Flow Analysis'!B90</f>
        <v>26</v>
      </c>
      <c r="B39" s="1545">
        <f>IF(B38="","",IF('Cash Flow Analysis'!$B$31=0,"N/A",IF(A39=1,1,IF(A38=debt_period,"",B38+1))))</f>
        <v>26</v>
      </c>
      <c r="C39" s="1090">
        <f ca="1">IF(OR(A39="",B39="",B39="N/A"),"",IF(B39=1,-'Cash Flow Analysis'!G90,IF(B39="N/A",0,G38)))</f>
        <v>95667334.213185206</v>
      </c>
      <c r="D39" s="1090">
        <f ca="1">IF(debt_period=0,
E39+F39,
IF(OR(A39="",B39="",B39="N/A"),"",IF(B39=1,((debt_interest*(1+debt_interest)^debt_period)/((1+debt_interest)^debt_period-1))*(-'Cash Flow Analysis'!G90),IF(G38=0,"",D38))))</f>
        <v>3539691.3658878524</v>
      </c>
      <c r="E39" s="1090">
        <f t="shared" ca="1" si="0"/>
        <v>3539691.3658878524</v>
      </c>
      <c r="F39" s="1090">
        <f t="shared" si="2"/>
        <v>0</v>
      </c>
      <c r="G39" s="1546">
        <f t="shared" ca="1" si="1"/>
        <v>95667334.213185206</v>
      </c>
    </row>
    <row r="40" spans="1:7" s="53" customFormat="1" ht="15" customHeight="1" x14ac:dyDescent="0.25">
      <c r="A40" s="1087">
        <f>'Cash Flow Analysis'!B91</f>
        <v>27</v>
      </c>
      <c r="B40" s="1545">
        <f>IF(B39="","",IF('Cash Flow Analysis'!$B$31=0,"N/A",IF(A40=1,1,IF(A39=debt_period,"",B39+1))))</f>
        <v>27</v>
      </c>
      <c r="C40" s="1090">
        <f ca="1">IF(OR(A40="",B40="",B40="N/A"),"",IF(B40=1,-'Cash Flow Analysis'!G91,IF(B40="N/A",0,G39)))</f>
        <v>95667334.213185206</v>
      </c>
      <c r="D40" s="1090">
        <f ca="1">IF(debt_period=0,
E40+F40,
IF(OR(A40="",B40="",B40="N/A"),"",IF(B40=1,((debt_interest*(1+debt_interest)^debt_period)/((1+debt_interest)^debt_period-1))*(-'Cash Flow Analysis'!G91),IF(G39=0,"",D39))))</f>
        <v>3539691.3658878524</v>
      </c>
      <c r="E40" s="1090">
        <f t="shared" ca="1" si="0"/>
        <v>3539691.3658878524</v>
      </c>
      <c r="F40" s="1090">
        <f t="shared" si="2"/>
        <v>0</v>
      </c>
      <c r="G40" s="1546">
        <f t="shared" ca="1" si="1"/>
        <v>95667334.213185206</v>
      </c>
    </row>
    <row r="41" spans="1:7" s="53" customFormat="1" ht="15" customHeight="1" x14ac:dyDescent="0.25">
      <c r="A41" s="1087">
        <f>'Cash Flow Analysis'!B92</f>
        <v>28</v>
      </c>
      <c r="B41" s="1545">
        <f>IF(B40="","",IF('Cash Flow Analysis'!$B$31=0,"N/A",IF(A41=1,1,IF(A40=debt_period,"",B40+1))))</f>
        <v>28</v>
      </c>
      <c r="C41" s="1090">
        <f ca="1">IF(OR(A41="",B41="",B41="N/A"),"",IF(B41=1,-'Cash Flow Analysis'!G92,IF(B41="N/A",0,G40)))</f>
        <v>95667334.213185206</v>
      </c>
      <c r="D41" s="1090">
        <f ca="1">IF(debt_period=0,
E41+F41,
IF(OR(A41="",B41="",B41="N/A"),"",IF(B41=1,((debt_interest*(1+debt_interest)^debt_period)/((1+debt_interest)^debt_period-1))*(-'Cash Flow Analysis'!G92),IF(G40=0,"",D40))))</f>
        <v>3539691.3658878524</v>
      </c>
      <c r="E41" s="1090">
        <f t="shared" ca="1" si="0"/>
        <v>3539691.3658878524</v>
      </c>
      <c r="F41" s="1090">
        <f t="shared" si="2"/>
        <v>0</v>
      </c>
      <c r="G41" s="1546">
        <f t="shared" ca="1" si="1"/>
        <v>95667334.213185206</v>
      </c>
    </row>
    <row r="42" spans="1:7" s="53" customFormat="1" ht="15" customHeight="1" x14ac:dyDescent="0.25">
      <c r="A42" s="1087">
        <f>'Cash Flow Analysis'!B93</f>
        <v>29</v>
      </c>
      <c r="B42" s="1545">
        <f>IF(B41="","",IF('Cash Flow Analysis'!$B$31=0,"N/A",IF(A42=1,1,IF(A41=debt_period,"",B41+1))))</f>
        <v>29</v>
      </c>
      <c r="C42" s="1090">
        <f ca="1">IF(OR(A42="",B42="",B42="N/A"),"",IF(B42=1,-'Cash Flow Analysis'!G93,IF(B42="N/A",0,G41)))</f>
        <v>95667334.213185206</v>
      </c>
      <c r="D42" s="1090">
        <f ca="1">IF(debt_period=0,
E42+F42,
IF(OR(A42="",B42="",B42="N/A"),"",IF(B42=1,((debt_interest*(1+debt_interest)^debt_period)/((1+debt_interest)^debt_period-1))*(-'Cash Flow Analysis'!G93),IF(G41=0,"",D41))))</f>
        <v>3539691.3658878524</v>
      </c>
      <c r="E42" s="1090">
        <f t="shared" ca="1" si="0"/>
        <v>3539691.3658878524</v>
      </c>
      <c r="F42" s="1090">
        <f t="shared" si="2"/>
        <v>0</v>
      </c>
      <c r="G42" s="1546">
        <f t="shared" ca="1" si="1"/>
        <v>95667334.213185206</v>
      </c>
    </row>
    <row r="43" spans="1:7" s="53" customFormat="1" ht="15" customHeight="1" x14ac:dyDescent="0.25">
      <c r="A43" s="1087">
        <f>'Cash Flow Analysis'!B94</f>
        <v>30</v>
      </c>
      <c r="B43" s="1545">
        <f>IF(B42="","",IF('Cash Flow Analysis'!$B$31=0,"N/A",IF(A43=1,1,IF(A42=debt_period,"",B42+1))))</f>
        <v>30</v>
      </c>
      <c r="C43" s="1090">
        <f ca="1">IF(OR(A43="",B43="",B43="N/A"),"",IF(B43=1,-'Cash Flow Analysis'!G94,IF(B43="N/A",0,G42)))</f>
        <v>95667334.213185206</v>
      </c>
      <c r="D43" s="1090">
        <f ca="1">IF(debt_period=0,
E43+F43,
IF(OR(A43="",B43="",B43="N/A"),"",IF(B43=1,((debt_interest*(1+debt_interest)^debt_period)/((1+debt_interest)^debt_period-1))*(-'Cash Flow Analysis'!G94),IF(G42=0,"",D42))))</f>
        <v>3539691.3658878524</v>
      </c>
      <c r="E43" s="1090">
        <f t="shared" ca="1" si="0"/>
        <v>3539691.3658878524</v>
      </c>
      <c r="F43" s="1090">
        <f t="shared" si="2"/>
        <v>0</v>
      </c>
      <c r="G43" s="1546">
        <f t="shared" ca="1" si="1"/>
        <v>95667334.213185206</v>
      </c>
    </row>
    <row r="44" spans="1:7" s="53" customFormat="1" ht="15" customHeight="1" x14ac:dyDescent="0.25">
      <c r="A44" s="1087">
        <f>'Cash Flow Analysis'!B95</f>
        <v>31</v>
      </c>
      <c r="B44" s="1545">
        <f>IF(B43="","",IF('Cash Flow Analysis'!$B$31=0,"N/A",IF(A44=1,1,IF(A43=debt_period,"",B43+1))))</f>
        <v>31</v>
      </c>
      <c r="C44" s="1090">
        <f ca="1">IF(OR(A44="",B44="",B44="N/A"),"",IF(B44=1,-'Cash Flow Analysis'!G95,IF(B44="N/A",0,G43)))</f>
        <v>95667334.213185206</v>
      </c>
      <c r="D44" s="1090">
        <f ca="1">IF(debt_period=0,
E44+F44,
IF(OR(A44="",B44="",B44="N/A"),"",IF(B44=1,((debt_interest*(1+debt_interest)^debt_period)/((1+debt_interest)^debt_period-1))*(-'Cash Flow Analysis'!G95),IF(G43=0,"",D43))))</f>
        <v>3539691.3658878524</v>
      </c>
      <c r="E44" s="1090">
        <f t="shared" ca="1" si="0"/>
        <v>3539691.3658878524</v>
      </c>
      <c r="F44" s="1090">
        <f t="shared" si="2"/>
        <v>0</v>
      </c>
      <c r="G44" s="1546">
        <f t="shared" ca="1" si="1"/>
        <v>95667334.213185206</v>
      </c>
    </row>
    <row r="45" spans="1:7" s="53" customFormat="1" ht="15" customHeight="1" x14ac:dyDescent="0.25">
      <c r="A45" s="1087">
        <f>'Cash Flow Analysis'!B96</f>
        <v>32</v>
      </c>
      <c r="B45" s="1545">
        <f>IF(B44="","",IF('Cash Flow Analysis'!$B$31=0,"N/A",IF(A45=1,1,IF(A44=debt_period,"",B44+1))))</f>
        <v>32</v>
      </c>
      <c r="C45" s="1090">
        <f ca="1">IF(OR(A45="",B45="",B45="N/A"),"",IF(B45=1,-'Cash Flow Analysis'!G96,IF(B45="N/A",0,G44)))</f>
        <v>95667334.213185206</v>
      </c>
      <c r="D45" s="1090">
        <f ca="1">IF(debt_period=0,
E45+F45,
IF(OR(A45="",B45="",B45="N/A"),"",IF(B45=1,((debt_interest*(1+debt_interest)^debt_period)/((1+debt_interest)^debt_period-1))*(-'Cash Flow Analysis'!G96),IF(G44=0,"",D44))))</f>
        <v>3539691.3658878524</v>
      </c>
      <c r="E45" s="1090">
        <f t="shared" ca="1" si="0"/>
        <v>3539691.3658878524</v>
      </c>
      <c r="F45" s="1090">
        <f t="shared" si="2"/>
        <v>0</v>
      </c>
      <c r="G45" s="1546">
        <f t="shared" ca="1" si="1"/>
        <v>95667334.213185206</v>
      </c>
    </row>
    <row r="46" spans="1:7" s="53" customFormat="1" ht="15" customHeight="1" x14ac:dyDescent="0.25">
      <c r="A46" s="1087">
        <f>'Cash Flow Analysis'!B97</f>
        <v>33</v>
      </c>
      <c r="B46" s="1545">
        <f>IF(B45="","",IF('Cash Flow Analysis'!$B$31=0,"N/A",IF(A46=1,1,IF(A45=debt_period,"",B45+1))))</f>
        <v>33</v>
      </c>
      <c r="C46" s="1090">
        <f ca="1">IF(OR(A46="",B46="",B46="N/A"),"",IF(B46=1,-'Cash Flow Analysis'!G97,IF(B46="N/A",0,G45)))</f>
        <v>95667334.213185206</v>
      </c>
      <c r="D46" s="1090">
        <f ca="1">IF(debt_period=0,
E46+F46,
IF(OR(A46="",B46="",B46="N/A"),"",IF(B46=1,((debt_interest*(1+debt_interest)^debt_period)/((1+debt_interest)^debt_period-1))*(-'Cash Flow Analysis'!G97),IF(G45=0,"",D45))))</f>
        <v>3539691.3658878524</v>
      </c>
      <c r="E46" s="1090">
        <f t="shared" ca="1" si="0"/>
        <v>3539691.3658878524</v>
      </c>
      <c r="F46" s="1090">
        <f t="shared" si="2"/>
        <v>0</v>
      </c>
      <c r="G46" s="1546">
        <f t="shared" ca="1" si="1"/>
        <v>95667334.213185206</v>
      </c>
    </row>
    <row r="47" spans="1:7" s="53" customFormat="1" ht="15" customHeight="1" x14ac:dyDescent="0.25">
      <c r="A47" s="1087">
        <f>'Cash Flow Analysis'!B98</f>
        <v>34</v>
      </c>
      <c r="B47" s="1545">
        <f>IF(B46="","",IF('Cash Flow Analysis'!$B$31=0,"N/A",IF(A47=1,1,IF(A46=debt_period,"",B46+1))))</f>
        <v>34</v>
      </c>
      <c r="C47" s="1090">
        <f ca="1">IF(OR(A47="",B47="",B47="N/A"),"",IF(B47=1,-'Cash Flow Analysis'!G98,IF(B47="N/A",0,G46)))</f>
        <v>95667334.213185206</v>
      </c>
      <c r="D47" s="1090">
        <f ca="1">IF(debt_period=0,
E47+F47,
IF(OR(A47="",B47="",B47="N/A"),"",IF(B47=1,((debt_interest*(1+debt_interest)^debt_period)/((1+debt_interest)^debt_period-1))*(-'Cash Flow Analysis'!G98),IF(G46=0,"",D46))))</f>
        <v>3539691.3658878524</v>
      </c>
      <c r="E47" s="1090">
        <f t="shared" ca="1" si="0"/>
        <v>3539691.3658878524</v>
      </c>
      <c r="F47" s="1090">
        <f t="shared" si="2"/>
        <v>0</v>
      </c>
      <c r="G47" s="1546">
        <f t="shared" ca="1" si="1"/>
        <v>95667334.213185206</v>
      </c>
    </row>
    <row r="48" spans="1:7" s="53" customFormat="1" ht="15" customHeight="1" x14ac:dyDescent="0.25">
      <c r="A48" s="1087">
        <f>'Cash Flow Analysis'!B99</f>
        <v>35</v>
      </c>
      <c r="B48" s="1545">
        <f>IF(B47="","",IF('Cash Flow Analysis'!$B$31=0,"N/A",IF(A48=1,1,IF(A47=debt_period,"",B47+1))))</f>
        <v>35</v>
      </c>
      <c r="C48" s="1090">
        <f ca="1">IF(OR(A48="",B48="",B48="N/A"),"",IF(B48=1,-'Cash Flow Analysis'!G99,IF(B48="N/A",0,G47)))</f>
        <v>95667334.213185206</v>
      </c>
      <c r="D48" s="1090">
        <f ca="1">IF(debt_period=0,
E48+F48,
IF(OR(A48="",B48="",B48="N/A"),"",IF(B48=1,((debt_interest*(1+debt_interest)^debt_period)/((1+debt_interest)^debt_period-1))*(-'Cash Flow Analysis'!G99),IF(G47=0,"",D47))))</f>
        <v>3539691.3658878524</v>
      </c>
      <c r="E48" s="1090">
        <f t="shared" ca="1" si="0"/>
        <v>3539691.3658878524</v>
      </c>
      <c r="F48" s="1090">
        <f t="shared" si="2"/>
        <v>0</v>
      </c>
      <c r="G48" s="1546">
        <f t="shared" ca="1" si="1"/>
        <v>95667334.213185206</v>
      </c>
    </row>
    <row r="49" spans="1:7" s="53" customFormat="1" ht="15" customHeight="1" x14ac:dyDescent="0.25">
      <c r="A49" s="1087">
        <f>'Cash Flow Analysis'!B100</f>
        <v>36</v>
      </c>
      <c r="B49" s="1545">
        <f>IF(B48="","",IF('Cash Flow Analysis'!$B$31=0,"N/A",IF(A49=1,1,IF(A48=debt_period,"",B48+1))))</f>
        <v>36</v>
      </c>
      <c r="C49" s="1090">
        <f ca="1">IF(OR(A49="",B49="",B49="N/A"),"",IF(B49=1,-'Cash Flow Analysis'!G100,IF(B49="N/A",0,G48)))</f>
        <v>95667334.213185206</v>
      </c>
      <c r="D49" s="1090">
        <f ca="1">IF(debt_period=0,
E49+F49,
IF(OR(A49="",B49="",B49="N/A"),"",IF(B49=1,((debt_interest*(1+debt_interest)^debt_period)/((1+debt_interest)^debt_period-1))*(-'Cash Flow Analysis'!G100),IF(G48=0,"",D48))))</f>
        <v>3539691.3658878524</v>
      </c>
      <c r="E49" s="1090">
        <f t="shared" ca="1" si="0"/>
        <v>3539691.3658878524</v>
      </c>
      <c r="F49" s="1090">
        <f t="shared" si="2"/>
        <v>0</v>
      </c>
      <c r="G49" s="1546">
        <f t="shared" ca="1" si="1"/>
        <v>95667334.213185206</v>
      </c>
    </row>
    <row r="50" spans="1:7" s="53" customFormat="1" ht="15" customHeight="1" x14ac:dyDescent="0.25">
      <c r="A50" s="1087">
        <f>'Cash Flow Analysis'!B101</f>
        <v>37</v>
      </c>
      <c r="B50" s="1545">
        <f>IF(B49="","",IF('Cash Flow Analysis'!$B$31=0,"N/A",IF(A50=1,1,IF(A49=debt_period,"",B49+1))))</f>
        <v>37</v>
      </c>
      <c r="C50" s="1090">
        <f ca="1">IF(OR(A50="",B50="",B50="N/A"),"",IF(B50=1,-'Cash Flow Analysis'!G101,IF(B50="N/A",0,G49)))</f>
        <v>95667334.213185206</v>
      </c>
      <c r="D50" s="1090">
        <f ca="1">IF(debt_period=0,
E50+F50,
IF(OR(A50="",B50="",B50="N/A"),"",IF(B50=1,((debt_interest*(1+debt_interest)^debt_period)/((1+debt_interest)^debt_period-1))*(-'Cash Flow Analysis'!G101),IF(G49=0,"",D49))))</f>
        <v>3539691.3658878524</v>
      </c>
      <c r="E50" s="1090">
        <f t="shared" ca="1" si="0"/>
        <v>3539691.3658878524</v>
      </c>
      <c r="F50" s="1090">
        <f t="shared" si="2"/>
        <v>0</v>
      </c>
      <c r="G50" s="1546">
        <f t="shared" ca="1" si="1"/>
        <v>95667334.213185206</v>
      </c>
    </row>
    <row r="51" spans="1:7" s="53" customFormat="1" ht="15" customHeight="1" x14ac:dyDescent="0.25">
      <c r="A51" s="1087">
        <f>'Cash Flow Analysis'!B102</f>
        <v>38</v>
      </c>
      <c r="B51" s="1545">
        <f>IF(B50="","",IF('Cash Flow Analysis'!$B$31=0,"N/A",IF(A51=1,1,IF(A50=debt_period,"",B50+1))))</f>
        <v>38</v>
      </c>
      <c r="C51" s="1090">
        <f ca="1">IF(OR(A51="",B51="",B51="N/A"),"",IF(B51=1,-'Cash Flow Analysis'!G102,IF(B51="N/A",0,G50)))</f>
        <v>95667334.213185206</v>
      </c>
      <c r="D51" s="1090">
        <f ca="1">IF(debt_period=0,
E51+F51,
IF(OR(A51="",B51="",B51="N/A"),"",IF(B51=1,((debt_interest*(1+debt_interest)^debt_period)/((1+debt_interest)^debt_period-1))*(-'Cash Flow Analysis'!G102),IF(G50=0,"",D50))))</f>
        <v>3539691.3658878524</v>
      </c>
      <c r="E51" s="1090">
        <f t="shared" ca="1" si="0"/>
        <v>3539691.3658878524</v>
      </c>
      <c r="F51" s="1090">
        <f t="shared" si="2"/>
        <v>0</v>
      </c>
      <c r="G51" s="1546">
        <f t="shared" ca="1" si="1"/>
        <v>95667334.213185206</v>
      </c>
    </row>
    <row r="52" spans="1:7" s="53" customFormat="1" ht="15" customHeight="1" x14ac:dyDescent="0.25">
      <c r="A52" s="1087">
        <f>'Cash Flow Analysis'!B103</f>
        <v>39</v>
      </c>
      <c r="B52" s="1545">
        <f>IF(B51="","",IF('Cash Flow Analysis'!$B$31=0,"N/A",IF(A52=1,1,IF(A51=debt_period,"",B51+1))))</f>
        <v>39</v>
      </c>
      <c r="C52" s="1090">
        <f ca="1">IF(OR(A52="",B52="",B52="N/A"),"",IF(B52=1,-'Cash Flow Analysis'!G103,IF(B52="N/A",0,G51)))</f>
        <v>95667334.213185206</v>
      </c>
      <c r="D52" s="1090">
        <f ca="1">IF(debt_period=0,
E52+F52,
IF(OR(A52="",B52="",B52="N/A"),"",IF(B52=1,((debt_interest*(1+debt_interest)^debt_period)/((1+debt_interest)^debt_period-1))*(-'Cash Flow Analysis'!G103),IF(G51=0,"",D51))))</f>
        <v>3539691.3658878524</v>
      </c>
      <c r="E52" s="1090">
        <f t="shared" ca="1" si="0"/>
        <v>3539691.3658878524</v>
      </c>
      <c r="F52" s="1090">
        <f t="shared" si="2"/>
        <v>0</v>
      </c>
      <c r="G52" s="1546">
        <f t="shared" ca="1" si="1"/>
        <v>95667334.213185206</v>
      </c>
    </row>
    <row r="53" spans="1:7" s="53" customFormat="1" ht="15" customHeight="1" x14ac:dyDescent="0.25">
      <c r="A53" s="1087">
        <f>'Cash Flow Analysis'!B104</f>
        <v>40</v>
      </c>
      <c r="B53" s="1545">
        <f>IF(B52="","",IF('Cash Flow Analysis'!$B$31=0,"N/A",IF(A53=1,1,IF(A52=debt_period,"",B52+1))))</f>
        <v>40</v>
      </c>
      <c r="C53" s="1090">
        <f ca="1">IF(OR(A53="",B53="",B53="N/A"),"",IF(B53=1,-'Cash Flow Analysis'!G104,IF(B53="N/A",0,G52)))</f>
        <v>95667334.213185206</v>
      </c>
      <c r="D53" s="1090">
        <f ca="1">IF(debt_period=0,
E53+F53,
IF(OR(A53="",B53="",B53="N/A"),"",IF(B53=1,((debt_interest*(1+debt_interest)^debt_period)/((1+debt_interest)^debt_period-1))*(-'Cash Flow Analysis'!G104),IF(G52=0,"",D52))))</f>
        <v>3539691.3658878524</v>
      </c>
      <c r="E53" s="1090">
        <f t="shared" ca="1" si="0"/>
        <v>3539691.3658878524</v>
      </c>
      <c r="F53" s="1090">
        <f t="shared" si="2"/>
        <v>0</v>
      </c>
      <c r="G53" s="1546">
        <f t="shared" ca="1" si="1"/>
        <v>95667334.213185206</v>
      </c>
    </row>
    <row r="54" spans="1:7" s="53" customFormat="1" ht="15" customHeight="1" x14ac:dyDescent="0.25">
      <c r="A54" s="1087">
        <f>'Cash Flow Analysis'!B105</f>
        <v>41</v>
      </c>
      <c r="B54" s="1545">
        <f>IF(B53="","",IF('Cash Flow Analysis'!$B$31=0,"N/A",IF(A54=1,1,IF(A53=debt_period,"",B53+1))))</f>
        <v>41</v>
      </c>
      <c r="C54" s="1090">
        <f ca="1">IF(OR(A54="",B54="",B54="N/A"),"",IF(B54=1,-'Cash Flow Analysis'!G105,IF(B54="N/A",0,G53)))</f>
        <v>95667334.213185206</v>
      </c>
      <c r="D54" s="1090">
        <f ca="1">IF(debt_period=0,
E54+F54,
IF(OR(A54="",B54="",B54="N/A"),"",IF(B54=1,((debt_interest*(1+debt_interest)^debt_period)/((1+debt_interest)^debt_period-1))*(-'Cash Flow Analysis'!G105),IF(G53=0,"",D53))))</f>
        <v>99207025.579073057</v>
      </c>
      <c r="E54" s="1090">
        <f t="shared" ca="1" si="0"/>
        <v>3539691.3658878524</v>
      </c>
      <c r="F54" s="1090">
        <f t="shared" ca="1" si="2"/>
        <v>95667334.213185206</v>
      </c>
      <c r="G54" s="1546">
        <f t="shared" ca="1" si="1"/>
        <v>0</v>
      </c>
    </row>
    <row r="55" spans="1:7" s="53" customFormat="1" ht="15" customHeight="1" x14ac:dyDescent="0.25">
      <c r="A55" s="1087" t="str">
        <f>'Cash Flow Analysis'!B106</f>
        <v/>
      </c>
      <c r="B55" s="1545">
        <f>IF(B54="","",IF('Cash Flow Analysis'!$B$31=0,"N/A",IF(A55=1,1,IF(A54=debt_period,"",B54+1))))</f>
        <v>42</v>
      </c>
      <c r="C55" s="1090" t="str">
        <f>IF(OR(A55="",B55="",B55="N/A"),"",IF(B55=1,-'Cash Flow Analysis'!G106,IF(B55="N/A",0,G54)))</f>
        <v/>
      </c>
      <c r="D55" s="1090" t="e">
        <f>IF(debt_period=0,
E55+F55,
IF(OR(A55="",B55="",B55="N/A"),"",IF(B55=1,((debt_interest*(1+debt_interest)^debt_period)/((1+debt_interest)^debt_period-1))*(-'Cash Flow Analysis'!G106),IF(G54=0,"",D54))))</f>
        <v>#VALUE!</v>
      </c>
      <c r="E55" s="1090" t="str">
        <f t="shared" si="0"/>
        <v/>
      </c>
      <c r="F55" s="1090">
        <f t="shared" si="2"/>
        <v>0</v>
      </c>
      <c r="G55" s="1546" t="str">
        <f t="shared" si="1"/>
        <v/>
      </c>
    </row>
    <row r="56" spans="1:7" s="53" customFormat="1" ht="15" customHeight="1" x14ac:dyDescent="0.25">
      <c r="A56" s="1087" t="str">
        <f>'Cash Flow Analysis'!B107</f>
        <v/>
      </c>
      <c r="B56" s="1545">
        <f>IF(B55="","",IF('Cash Flow Analysis'!$B$31=0,"N/A",IF(A56=1,1,IF(A55=debt_period,"",B55+1))))</f>
        <v>43</v>
      </c>
      <c r="C56" s="1090" t="str">
        <f>IF(OR(A56="",B56="",B56="N/A"),"",IF(B56=1,-'Cash Flow Analysis'!G107,IF(B56="N/A",0,G55)))</f>
        <v/>
      </c>
      <c r="D56" s="1090" t="e">
        <f>IF(debt_period=0,
E56+F56,
IF(OR(A56="",B56="",B56="N/A"),"",IF(B56=1,((debt_interest*(1+debt_interest)^debt_period)/((1+debt_interest)^debt_period-1))*(-'Cash Flow Analysis'!G107),IF(G55=0,"",D55))))</f>
        <v>#VALUE!</v>
      </c>
      <c r="E56" s="1090" t="str">
        <f t="shared" si="0"/>
        <v/>
      </c>
      <c r="F56" s="1090">
        <f t="shared" si="2"/>
        <v>0</v>
      </c>
      <c r="G56" s="1546" t="str">
        <f t="shared" si="1"/>
        <v/>
      </c>
    </row>
    <row r="57" spans="1:7" s="53" customFormat="1" ht="15" customHeight="1" thickBot="1" x14ac:dyDescent="0.3">
      <c r="A57" s="1547" t="str">
        <f>'Cash Flow Analysis'!B108</f>
        <v/>
      </c>
      <c r="B57" s="1548">
        <f>IF(B56="","",IF('Cash Flow Analysis'!$B$31=0,"N/A",IF(A57=1,1,IF(A56=debt_period,"",B56+1))))</f>
        <v>44</v>
      </c>
      <c r="C57" s="1549" t="str">
        <f>IF(OR(A57="",B57="",B57="N/A"),"",IF(B57=1,-'Cash Flow Analysis'!G108,IF(B57="N/A",0,G56)))</f>
        <v/>
      </c>
      <c r="D57" s="1549" t="str">
        <f>IF(F57=0,E57,
IF(OR(A57="",B57="",B57="N/A"),"",IF(B57=1,((debt_interest*(1+debt_interest)^debt_period)/((1+debt_interest)^debt_period-1))*(-'Cash Flow Analysis'!G108),IF(G56=0,"",D56))))</f>
        <v/>
      </c>
      <c r="E57" s="1549" t="str">
        <f t="shared" si="0"/>
        <v/>
      </c>
      <c r="F57" s="1549">
        <f t="shared" si="2"/>
        <v>0</v>
      </c>
      <c r="G57" s="1550" t="str">
        <f t="shared" si="1"/>
        <v/>
      </c>
    </row>
    <row r="58" spans="1:7" ht="13" thickTop="1" x14ac:dyDescent="0.25"/>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796875" defaultRowHeight="12.5" x14ac:dyDescent="0.25"/>
  <cols>
    <col min="1" max="1" width="31.1796875" style="38" customWidth="1"/>
    <col min="2" max="2" width="23.54296875" style="38" customWidth="1"/>
    <col min="3" max="3" width="19" style="38" customWidth="1"/>
    <col min="4" max="4" width="11.26953125" style="38" customWidth="1"/>
    <col min="5" max="5" width="12.81640625" style="38" customWidth="1"/>
    <col min="6" max="6" width="10.81640625" style="38" customWidth="1"/>
    <col min="7" max="7" width="13.1796875" style="38" customWidth="1"/>
    <col min="8" max="8" width="13.81640625" style="38" customWidth="1"/>
    <col min="9" max="9" width="11" style="38" customWidth="1"/>
    <col min="10" max="25" width="17.1796875" style="38" customWidth="1"/>
    <col min="26" max="16384" width="9.1796875" style="38"/>
  </cols>
  <sheetData>
    <row r="1" spans="1:8" ht="30.75" customHeight="1" x14ac:dyDescent="0.4">
      <c r="A1" s="37" t="s">
        <v>47</v>
      </c>
    </row>
    <row r="2" spans="1:8" ht="15" customHeight="1" x14ac:dyDescent="0.25">
      <c r="G2" s="39"/>
    </row>
    <row r="3" spans="1:8" ht="15" customHeight="1" x14ac:dyDescent="0.35">
      <c r="A3" s="42" t="s">
        <v>33</v>
      </c>
      <c r="B3" s="43"/>
      <c r="C3" s="43"/>
      <c r="D3" s="43"/>
      <c r="E3" s="44"/>
      <c r="F3" s="44"/>
      <c r="G3" s="44"/>
      <c r="H3" s="39"/>
    </row>
    <row r="4" spans="1:8" ht="15" customHeight="1" x14ac:dyDescent="0.35">
      <c r="A4" s="42" t="s">
        <v>34</v>
      </c>
      <c r="B4" s="43"/>
      <c r="C4" s="43"/>
      <c r="D4" s="43"/>
      <c r="E4" s="44"/>
      <c r="F4" s="44"/>
      <c r="G4" s="44"/>
      <c r="H4" s="39"/>
    </row>
    <row r="5" spans="1:8" ht="15" customHeight="1" x14ac:dyDescent="0.25">
      <c r="G5" s="39"/>
    </row>
    <row r="6" spans="1:8" ht="15" customHeight="1" x14ac:dyDescent="0.25">
      <c r="A6" s="36"/>
      <c r="B6" s="41" t="s">
        <v>35</v>
      </c>
    </row>
    <row r="7" spans="1:8" ht="15" customHeight="1" x14ac:dyDescent="0.25">
      <c r="A7" s="46"/>
      <c r="B7" s="41" t="s">
        <v>36</v>
      </c>
    </row>
    <row r="8" spans="1:8" ht="15" customHeight="1" x14ac:dyDescent="0.25">
      <c r="A8" s="47"/>
      <c r="B8" s="41" t="s">
        <v>37</v>
      </c>
    </row>
    <row r="9" spans="1:8" ht="15" customHeight="1" x14ac:dyDescent="0.25">
      <c r="A9" s="48"/>
      <c r="B9" s="41" t="s">
        <v>38</v>
      </c>
    </row>
    <row r="10" spans="1:8" ht="15" customHeight="1" x14ac:dyDescent="0.25"/>
    <row r="11" spans="1:8" ht="15" customHeight="1" thickBot="1" x14ac:dyDescent="0.3"/>
    <row r="12" spans="1:8" ht="29.25" customHeight="1" thickTop="1" thickBot="1" x14ac:dyDescent="0.4">
      <c r="B12" s="63" t="s">
        <v>48</v>
      </c>
      <c r="C12" s="64"/>
      <c r="D12" s="64"/>
      <c r="E12" s="64"/>
      <c r="F12" s="64"/>
      <c r="G12" s="64"/>
      <c r="H12" s="65"/>
    </row>
    <row r="13" spans="1:8" ht="15" customHeight="1" thickTop="1" thickBot="1" x14ac:dyDescent="0.3">
      <c r="B13" s="66"/>
      <c r="C13" s="1744" t="s">
        <v>49</v>
      </c>
      <c r="D13" s="1744"/>
      <c r="E13" s="1744"/>
      <c r="F13" s="1744"/>
      <c r="G13" s="1744"/>
      <c r="H13" s="1745"/>
    </row>
    <row r="14" spans="1:8" ht="15" customHeight="1" thickTop="1" thickBot="1" x14ac:dyDescent="0.3">
      <c r="B14" s="69" t="s">
        <v>49</v>
      </c>
      <c r="C14" s="70">
        <v>3</v>
      </c>
      <c r="D14" s="67">
        <v>5</v>
      </c>
      <c r="E14" s="67">
        <v>7</v>
      </c>
      <c r="F14" s="67">
        <v>10</v>
      </c>
      <c r="G14" s="67">
        <v>15</v>
      </c>
      <c r="H14" s="68">
        <v>20</v>
      </c>
    </row>
    <row r="15" spans="1:8" ht="15" customHeight="1" thickTop="1" x14ac:dyDescent="0.25">
      <c r="B15" s="71">
        <v>1</v>
      </c>
      <c r="C15" s="72">
        <v>0.33329999999999999</v>
      </c>
      <c r="D15" s="73">
        <v>0.2</v>
      </c>
      <c r="E15" s="73">
        <v>0.1429</v>
      </c>
      <c r="F15" s="73">
        <v>0.1</v>
      </c>
      <c r="G15" s="73">
        <v>0.05</v>
      </c>
      <c r="H15" s="74">
        <v>3.7499999999999999E-2</v>
      </c>
    </row>
    <row r="16" spans="1:8" ht="15" customHeight="1" x14ac:dyDescent="0.25">
      <c r="B16" s="75">
        <v>2</v>
      </c>
      <c r="C16" s="76">
        <v>0.44450000000000001</v>
      </c>
      <c r="D16" s="77">
        <v>0.32</v>
      </c>
      <c r="E16" s="77">
        <v>0.24490000000000001</v>
      </c>
      <c r="F16" s="77">
        <v>0.18</v>
      </c>
      <c r="G16" s="77">
        <v>9.5000000000000001E-2</v>
      </c>
      <c r="H16" s="78">
        <v>7.2190000000000004E-2</v>
      </c>
    </row>
    <row r="17" spans="2:8" ht="15" customHeight="1" x14ac:dyDescent="0.25">
      <c r="B17" s="75">
        <v>3</v>
      </c>
      <c r="C17" s="76">
        <v>0.14810000000000001</v>
      </c>
      <c r="D17" s="77">
        <v>0.192</v>
      </c>
      <c r="E17" s="77">
        <v>0.1749</v>
      </c>
      <c r="F17" s="77">
        <v>0.14399999999999999</v>
      </c>
      <c r="G17" s="77">
        <v>8.5500000000000007E-2</v>
      </c>
      <c r="H17" s="78">
        <v>6.6769999999999996E-2</v>
      </c>
    </row>
    <row r="18" spans="2:8" ht="15" customHeight="1" x14ac:dyDescent="0.25">
      <c r="B18" s="75">
        <v>4</v>
      </c>
      <c r="C18" s="76">
        <v>7.4099999999999999E-2</v>
      </c>
      <c r="D18" s="77">
        <v>0.1152</v>
      </c>
      <c r="E18" s="77">
        <v>0.1249</v>
      </c>
      <c r="F18" s="77">
        <v>0.1152</v>
      </c>
      <c r="G18" s="77">
        <v>7.6999999999999999E-2</v>
      </c>
      <c r="H18" s="78">
        <v>6.1769999999999999E-2</v>
      </c>
    </row>
    <row r="19" spans="2:8" ht="15" customHeight="1" x14ac:dyDescent="0.25">
      <c r="B19" s="75">
        <v>5</v>
      </c>
      <c r="C19" s="76"/>
      <c r="D19" s="77">
        <v>0.1152</v>
      </c>
      <c r="E19" s="77">
        <v>8.9300000000000004E-2</v>
      </c>
      <c r="F19" s="77">
        <v>9.2200000000000004E-2</v>
      </c>
      <c r="G19" s="77">
        <v>6.93E-2</v>
      </c>
      <c r="H19" s="78">
        <v>5.713E-2</v>
      </c>
    </row>
    <row r="20" spans="2:8" ht="15" customHeight="1" x14ac:dyDescent="0.25">
      <c r="B20" s="75">
        <v>6</v>
      </c>
      <c r="C20" s="76"/>
      <c r="D20" s="77">
        <v>5.7599999999999998E-2</v>
      </c>
      <c r="E20" s="77">
        <v>8.9200000000000002E-2</v>
      </c>
      <c r="F20" s="77">
        <v>7.3700000000000002E-2</v>
      </c>
      <c r="G20" s="77">
        <v>6.2300000000000001E-2</v>
      </c>
      <c r="H20" s="78">
        <v>5.2850000000000001E-2</v>
      </c>
    </row>
    <row r="21" spans="2:8" ht="15" customHeight="1" x14ac:dyDescent="0.25">
      <c r="B21" s="75">
        <v>7</v>
      </c>
      <c r="C21" s="76"/>
      <c r="D21" s="77"/>
      <c r="E21" s="77">
        <v>8.9300000000000004E-2</v>
      </c>
      <c r="F21" s="77">
        <v>6.5500000000000003E-2</v>
      </c>
      <c r="G21" s="77">
        <v>5.8999999999999997E-2</v>
      </c>
      <c r="H21" s="78">
        <v>4.888E-2</v>
      </c>
    </row>
    <row r="22" spans="2:8" ht="15" customHeight="1" x14ac:dyDescent="0.25">
      <c r="B22" s="75">
        <v>8</v>
      </c>
      <c r="C22" s="76"/>
      <c r="D22" s="77"/>
      <c r="E22" s="77">
        <v>4.4600000000000001E-2</v>
      </c>
      <c r="F22" s="77">
        <v>6.5500000000000003E-2</v>
      </c>
      <c r="G22" s="77">
        <v>5.8999999999999997E-2</v>
      </c>
      <c r="H22" s="78">
        <v>4.5220000000000003E-2</v>
      </c>
    </row>
    <row r="23" spans="2:8" ht="15" customHeight="1" x14ac:dyDescent="0.25">
      <c r="B23" s="75">
        <v>9</v>
      </c>
      <c r="C23" s="76"/>
      <c r="D23" s="77"/>
      <c r="E23" s="77"/>
      <c r="F23" s="77">
        <v>6.5600000000000006E-2</v>
      </c>
      <c r="G23" s="77">
        <v>5.91E-2</v>
      </c>
      <c r="H23" s="78">
        <v>4.462E-2</v>
      </c>
    </row>
    <row r="24" spans="2:8" ht="15" customHeight="1" x14ac:dyDescent="0.25">
      <c r="B24" s="75">
        <v>10</v>
      </c>
      <c r="C24" s="76"/>
      <c r="D24" s="77"/>
      <c r="E24" s="77"/>
      <c r="F24" s="77">
        <v>6.5500000000000003E-2</v>
      </c>
      <c r="G24" s="77">
        <v>5.8999999999999997E-2</v>
      </c>
      <c r="H24" s="78">
        <v>4.4609999999999997E-2</v>
      </c>
    </row>
    <row r="25" spans="2:8" ht="15" customHeight="1" x14ac:dyDescent="0.25">
      <c r="B25" s="75">
        <v>11</v>
      </c>
      <c r="C25" s="76"/>
      <c r="D25" s="77"/>
      <c r="E25" s="77"/>
      <c r="F25" s="77">
        <v>3.2800000000000003E-2</v>
      </c>
      <c r="G25" s="77">
        <v>5.91E-2</v>
      </c>
      <c r="H25" s="78">
        <v>4.462E-2</v>
      </c>
    </row>
    <row r="26" spans="2:8" ht="15" customHeight="1" x14ac:dyDescent="0.25">
      <c r="B26" s="75">
        <v>12</v>
      </c>
      <c r="C26" s="76"/>
      <c r="D26" s="77"/>
      <c r="E26" s="77"/>
      <c r="F26" s="77"/>
      <c r="G26" s="77">
        <v>5.8999999999999997E-2</v>
      </c>
      <c r="H26" s="78">
        <v>4.4609999999999997E-2</v>
      </c>
    </row>
    <row r="27" spans="2:8" ht="15" customHeight="1" x14ac:dyDescent="0.25">
      <c r="B27" s="75">
        <v>13</v>
      </c>
      <c r="C27" s="76"/>
      <c r="D27" s="77"/>
      <c r="E27" s="77"/>
      <c r="F27" s="77"/>
      <c r="G27" s="77">
        <v>5.91E-2</v>
      </c>
      <c r="H27" s="78">
        <v>4.462E-2</v>
      </c>
    </row>
    <row r="28" spans="2:8" ht="15" customHeight="1" x14ac:dyDescent="0.25">
      <c r="B28" s="75">
        <v>14</v>
      </c>
      <c r="C28" s="76"/>
      <c r="D28" s="77"/>
      <c r="E28" s="77"/>
      <c r="F28" s="77"/>
      <c r="G28" s="77">
        <v>5.8999999999999997E-2</v>
      </c>
      <c r="H28" s="78">
        <v>4.4609999999999997E-2</v>
      </c>
    </row>
    <row r="29" spans="2:8" ht="15" customHeight="1" x14ac:dyDescent="0.25">
      <c r="B29" s="75">
        <v>15</v>
      </c>
      <c r="C29" s="76"/>
      <c r="D29" s="77"/>
      <c r="E29" s="77"/>
      <c r="F29" s="77"/>
      <c r="G29" s="77">
        <v>5.91E-2</v>
      </c>
      <c r="H29" s="78">
        <v>4.462E-2</v>
      </c>
    </row>
    <row r="30" spans="2:8" ht="15" customHeight="1" x14ac:dyDescent="0.25">
      <c r="B30" s="75">
        <v>16</v>
      </c>
      <c r="C30" s="76"/>
      <c r="D30" s="77"/>
      <c r="E30" s="77"/>
      <c r="F30" s="77"/>
      <c r="G30" s="77">
        <v>2.9499999999999998E-2</v>
      </c>
      <c r="H30" s="78">
        <v>4.4609999999999997E-2</v>
      </c>
    </row>
    <row r="31" spans="2:8" ht="15" customHeight="1" x14ac:dyDescent="0.25">
      <c r="B31" s="75">
        <v>17</v>
      </c>
      <c r="C31" s="76"/>
      <c r="D31" s="77"/>
      <c r="E31" s="77"/>
      <c r="F31" s="77"/>
      <c r="G31" s="77"/>
      <c r="H31" s="78">
        <v>4.462E-2</v>
      </c>
    </row>
    <row r="32" spans="2:8" ht="15" customHeight="1" x14ac:dyDescent="0.25">
      <c r="B32" s="75">
        <v>18</v>
      </c>
      <c r="C32" s="76"/>
      <c r="D32" s="77"/>
      <c r="E32" s="77"/>
      <c r="F32" s="77"/>
      <c r="G32" s="77"/>
      <c r="H32" s="78">
        <v>4.4609999999999997E-2</v>
      </c>
    </row>
    <row r="33" spans="1:24" ht="15" customHeight="1" x14ac:dyDescent="0.25">
      <c r="B33" s="75">
        <v>19</v>
      </c>
      <c r="C33" s="76"/>
      <c r="D33" s="77"/>
      <c r="E33" s="77"/>
      <c r="F33" s="77"/>
      <c r="G33" s="77"/>
      <c r="H33" s="78">
        <v>4.462E-2</v>
      </c>
    </row>
    <row r="34" spans="1:24" ht="15" customHeight="1" x14ac:dyDescent="0.25">
      <c r="B34" s="75">
        <v>20</v>
      </c>
      <c r="C34" s="76"/>
      <c r="D34" s="77"/>
      <c r="E34" s="77"/>
      <c r="F34" s="77"/>
      <c r="G34" s="77"/>
      <c r="H34" s="78">
        <v>4.4609999999999997E-2</v>
      </c>
    </row>
    <row r="35" spans="1:24" ht="15" customHeight="1" thickBot="1" x14ac:dyDescent="0.3">
      <c r="B35" s="79">
        <v>21</v>
      </c>
      <c r="C35" s="80"/>
      <c r="D35" s="81"/>
      <c r="E35" s="81"/>
      <c r="F35" s="81"/>
      <c r="G35" s="81"/>
      <c r="H35" s="82">
        <v>2.231E-2</v>
      </c>
    </row>
    <row r="36" spans="1:24" ht="15" customHeight="1" thickTop="1" x14ac:dyDescent="0.25">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3">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5"/>
    <row r="39" spans="1:24" ht="15" customHeight="1" x14ac:dyDescent="0.25"/>
    <row r="40" spans="1:24" ht="15" customHeight="1" thickBot="1" x14ac:dyDescent="0.3"/>
    <row r="41" spans="1:24" ht="29.25" customHeight="1" thickTop="1" thickBot="1" x14ac:dyDescent="0.4">
      <c r="A41" s="90" t="s">
        <v>52</v>
      </c>
      <c r="B41" s="91"/>
    </row>
    <row r="42" spans="1:24" ht="15" customHeight="1" thickTop="1" x14ac:dyDescent="0.25">
      <c r="A42" s="92" t="s">
        <v>389</v>
      </c>
      <c r="B42" s="93" t="str">
        <f>depr_type</f>
        <v>MACRS</v>
      </c>
    </row>
    <row r="43" spans="1:24" ht="15" customHeight="1" x14ac:dyDescent="0.25">
      <c r="A43" s="94" t="s">
        <v>53</v>
      </c>
      <c r="B43" s="95">
        <f>depr_length</f>
        <v>20</v>
      </c>
    </row>
    <row r="44" spans="1:24" ht="15" customHeight="1" thickBot="1" x14ac:dyDescent="0.3">
      <c r="A44" s="96" t="s">
        <v>54</v>
      </c>
      <c r="B44" s="97">
        <f ca="1">-('Cash Flow Analysis'!G65+SUM('Cash Flow Analysis'!H65:H113))</f>
        <v>159445557.02197534</v>
      </c>
    </row>
    <row r="45" spans="1:24" ht="15" customHeight="1" thickTop="1" x14ac:dyDescent="0.25"/>
    <row r="46" spans="1:24" ht="15" customHeight="1" thickBot="1" x14ac:dyDescent="0.3"/>
    <row r="47" spans="1:24" ht="27" customHeight="1" thickTop="1" thickBot="1" x14ac:dyDescent="0.4">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3">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5">
      <c r="A49" s="83">
        <f>IF('Cash Flow Analysis'!C65="","",'Cash Flow Analysis'!C65)</f>
        <v>-1</v>
      </c>
      <c r="B49" s="1084">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5">
      <c r="A50" s="75">
        <f>IF('Cash Flow Analysis'!C66="","",'Cash Flow Analysis'!C66)</f>
        <v>1</v>
      </c>
      <c r="B50" s="1085">
        <f ca="1">IF(A50="","",IF(A50&lt;1,0,IF(A50=1,$B$44-'Cash Flow Analysis'!I66,-'Cash Flow Analysis'!I66)))</f>
        <v>160257932.13500232</v>
      </c>
      <c r="C50" s="108">
        <f t="shared" ref="C50:W50" ca="1" si="4">IF($B$50="","",IF(AND($B$42="Straight Line",C48&lt;=depr_length),$B$50/depr_length,IF(AND($B$42="MACRS",C48&lt;=depr_length+1),$B$50*INDEX(MACRS_Table,MATCH(C48,recovery_year,0),MATCH($B$43,recovery_period,0)),"")))</f>
        <v>6009672.4550625868</v>
      </c>
      <c r="D50" s="109">
        <f t="shared" ca="1" si="4"/>
        <v>11569020.120825818</v>
      </c>
      <c r="E50" s="109">
        <f t="shared" ca="1" si="4"/>
        <v>10700422.128654104</v>
      </c>
      <c r="F50" s="109">
        <f t="shared" ca="1" si="4"/>
        <v>9899132.4679790922</v>
      </c>
      <c r="G50" s="109">
        <f t="shared" ca="1" si="4"/>
        <v>9155535.6628726814</v>
      </c>
      <c r="H50" s="109">
        <f t="shared" ca="1" si="4"/>
        <v>8469631.7133348733</v>
      </c>
      <c r="I50" s="109">
        <f t="shared" ca="1" si="4"/>
        <v>7833407.7227589134</v>
      </c>
      <c r="J50" s="109">
        <f t="shared" ca="1" si="4"/>
        <v>7246863.6911448054</v>
      </c>
      <c r="K50" s="109">
        <f t="shared" ca="1" si="4"/>
        <v>7150708.9318638034</v>
      </c>
      <c r="L50" s="109">
        <f t="shared" ca="1" si="4"/>
        <v>7149106.3525424525</v>
      </c>
      <c r="M50" s="109">
        <f t="shared" ca="1" si="4"/>
        <v>7150708.9318638034</v>
      </c>
      <c r="N50" s="109">
        <f t="shared" ca="1" si="4"/>
        <v>7149106.3525424525</v>
      </c>
      <c r="O50" s="109">
        <f t="shared" ca="1" si="4"/>
        <v>7150708.9318638034</v>
      </c>
      <c r="P50" s="109">
        <f t="shared" ca="1" si="4"/>
        <v>7149106.3525424525</v>
      </c>
      <c r="Q50" s="109">
        <f t="shared" ca="1" si="4"/>
        <v>7150708.9318638034</v>
      </c>
      <c r="R50" s="109">
        <f t="shared" ca="1" si="4"/>
        <v>7149106.3525424525</v>
      </c>
      <c r="S50" s="109">
        <f t="shared" ca="1" si="4"/>
        <v>7150708.9318638034</v>
      </c>
      <c r="T50" s="109">
        <f t="shared" ca="1" si="4"/>
        <v>7149106.3525424525</v>
      </c>
      <c r="U50" s="109">
        <f t="shared" ca="1" si="4"/>
        <v>7150708.9318638034</v>
      </c>
      <c r="V50" s="109">
        <f t="shared" ca="1" si="4"/>
        <v>7149106.3525424525</v>
      </c>
      <c r="W50" s="110">
        <f t="shared" ca="1" si="4"/>
        <v>3575354.4659319017</v>
      </c>
      <c r="X50" s="107">
        <f t="shared" ca="1" si="3"/>
        <v>160257932.13500229</v>
      </c>
    </row>
    <row r="51" spans="1:24" ht="15" customHeight="1" x14ac:dyDescent="0.25">
      <c r="A51" s="75">
        <f>IF('Cash Flow Analysis'!C67="","",'Cash Flow Analysis'!C67)</f>
        <v>2</v>
      </c>
      <c r="B51" s="1085">
        <f ca="1">IF(A51="","",IF(A51&lt;1,0,IF(A51=1,$B$44-'Cash Flow Analysis'!I67,-'Cash Flow Analysis'!I67)))</f>
        <v>827810.24017447676</v>
      </c>
      <c r="C51" s="108">
        <f t="shared" ref="C51:W51" ca="1" si="5">IF($B$51="","",IF(AND($B$42="Straight Line",C48&lt;=depr_length),$B$51/depr_length,IF(AND($B$42="MACRS",C48&lt;=depr_length+1),$B$51*INDEX(MACRS_Table,MATCH(C48,recovery_year,0),MATCH($B$43,recovery_period,0)),"")))</f>
        <v>31042.884006542878</v>
      </c>
      <c r="D51" s="109">
        <f t="shared" ca="1" si="5"/>
        <v>59759.621238195483</v>
      </c>
      <c r="E51" s="109">
        <f t="shared" ca="1" si="5"/>
        <v>55272.889736449812</v>
      </c>
      <c r="F51" s="109">
        <f t="shared" ca="1" si="5"/>
        <v>51133.83853557743</v>
      </c>
      <c r="G51" s="109">
        <f t="shared" ca="1" si="5"/>
        <v>47292.799021167855</v>
      </c>
      <c r="H51" s="109">
        <f t="shared" ca="1" si="5"/>
        <v>43749.771193221095</v>
      </c>
      <c r="I51" s="109">
        <f t="shared" ca="1" si="5"/>
        <v>40463.364539728427</v>
      </c>
      <c r="J51" s="109">
        <f t="shared" ca="1" si="5"/>
        <v>37433.579060689844</v>
      </c>
      <c r="K51" s="109">
        <f t="shared" ca="1" si="5"/>
        <v>36936.892916585151</v>
      </c>
      <c r="L51" s="109">
        <f t="shared" ca="1" si="5"/>
        <v>36928.614814183406</v>
      </c>
      <c r="M51" s="109">
        <f t="shared" ca="1" si="5"/>
        <v>36936.892916585151</v>
      </c>
      <c r="N51" s="109">
        <f t="shared" ca="1" si="5"/>
        <v>36928.614814183406</v>
      </c>
      <c r="O51" s="109">
        <f t="shared" ca="1" si="5"/>
        <v>36936.892916585151</v>
      </c>
      <c r="P51" s="109">
        <f t="shared" ca="1" si="5"/>
        <v>36928.614814183406</v>
      </c>
      <c r="Q51" s="109">
        <f t="shared" ca="1" si="5"/>
        <v>36936.892916585151</v>
      </c>
      <c r="R51" s="109">
        <f t="shared" ca="1" si="5"/>
        <v>36928.614814183406</v>
      </c>
      <c r="S51" s="109">
        <f t="shared" ca="1" si="5"/>
        <v>36936.892916585151</v>
      </c>
      <c r="T51" s="109">
        <f t="shared" ca="1" si="5"/>
        <v>36928.614814183406</v>
      </c>
      <c r="U51" s="109">
        <f t="shared" ca="1" si="5"/>
        <v>36936.892916585151</v>
      </c>
      <c r="V51" s="109">
        <f t="shared" ca="1" si="5"/>
        <v>36928.614814183406</v>
      </c>
      <c r="W51" s="110">
        <f t="shared" ca="1" si="5"/>
        <v>18468.446458292576</v>
      </c>
      <c r="X51" s="107">
        <f t="shared" ca="1" si="3"/>
        <v>827810.24017447699</v>
      </c>
    </row>
    <row r="52" spans="1:24" ht="15" customHeight="1" x14ac:dyDescent="0.25">
      <c r="A52" s="75">
        <f>IF('Cash Flow Analysis'!C68="","",'Cash Flow Analysis'!C68)</f>
        <v>3</v>
      </c>
      <c r="B52" s="1085">
        <f ca="1">IF(A52="","",IF(A52&lt;1,0,IF(A52=1,$B$44-'Cash Flow Analysis'!I68,-'Cash Flow Analysis'!I68)))</f>
        <v>843538.63473779173</v>
      </c>
      <c r="C52" s="108">
        <f t="shared" ref="C52:W52" ca="1" si="6">IF($B$52="","",IF(AND($B$42="Straight Line",C48&lt;=depr_length),$B$52/depr_length,IF(AND($B$42="MACRS",C48&lt;=depr_length+1),$B$52*INDEX(MACRS_Table,MATCH(C48,recovery_year,0),MATCH($B$43,recovery_period,0)),"")))</f>
        <v>31632.69880266719</v>
      </c>
      <c r="D52" s="109">
        <f t="shared" ca="1" si="6"/>
        <v>60895.054041721189</v>
      </c>
      <c r="E52" s="109">
        <f t="shared" ca="1" si="6"/>
        <v>56323.074641442348</v>
      </c>
      <c r="F52" s="109">
        <f t="shared" ca="1" si="6"/>
        <v>52105.381467753396</v>
      </c>
      <c r="G52" s="109">
        <f t="shared" ca="1" si="6"/>
        <v>48191.362202570039</v>
      </c>
      <c r="H52" s="109">
        <f t="shared" ca="1" si="6"/>
        <v>44581.016845892293</v>
      </c>
      <c r="I52" s="109">
        <f t="shared" ca="1" si="6"/>
        <v>41232.168465983261</v>
      </c>
      <c r="J52" s="109">
        <f t="shared" ca="1" si="6"/>
        <v>38144.817062842943</v>
      </c>
      <c r="K52" s="109">
        <f t="shared" ca="1" si="6"/>
        <v>37638.693882000269</v>
      </c>
      <c r="L52" s="109">
        <f t="shared" ca="1" si="6"/>
        <v>37630.258495652888</v>
      </c>
      <c r="M52" s="109">
        <f t="shared" ca="1" si="6"/>
        <v>37638.693882000269</v>
      </c>
      <c r="N52" s="109">
        <f t="shared" ca="1" si="6"/>
        <v>37630.258495652888</v>
      </c>
      <c r="O52" s="109">
        <f t="shared" ca="1" si="6"/>
        <v>37638.693882000269</v>
      </c>
      <c r="P52" s="109">
        <f t="shared" ca="1" si="6"/>
        <v>37630.258495652888</v>
      </c>
      <c r="Q52" s="109">
        <f t="shared" ca="1" si="6"/>
        <v>37638.693882000269</v>
      </c>
      <c r="R52" s="109">
        <f t="shared" ca="1" si="6"/>
        <v>37630.258495652888</v>
      </c>
      <c r="S52" s="109">
        <f t="shared" ca="1" si="6"/>
        <v>37638.693882000269</v>
      </c>
      <c r="T52" s="109">
        <f t="shared" ca="1" si="6"/>
        <v>37630.258495652888</v>
      </c>
      <c r="U52" s="109">
        <f t="shared" ca="1" si="6"/>
        <v>37638.693882000269</v>
      </c>
      <c r="V52" s="109">
        <f t="shared" ca="1" si="6"/>
        <v>37630.258495652888</v>
      </c>
      <c r="W52" s="110">
        <f t="shared" ca="1" si="6"/>
        <v>18819.346941000134</v>
      </c>
      <c r="X52" s="107">
        <f t="shared" ca="1" si="3"/>
        <v>843538.63473779184</v>
      </c>
    </row>
    <row r="53" spans="1:24" ht="15" customHeight="1" x14ac:dyDescent="0.25">
      <c r="A53" s="75">
        <f>IF('Cash Flow Analysis'!C69="","",'Cash Flow Analysis'!C69)</f>
        <v>4</v>
      </c>
      <c r="B53" s="1085">
        <f ca="1">IF(A53="","",IF(A53&lt;1,0,IF(A53=1,$B$44-'Cash Flow Analysis'!I69,-'Cash Flow Analysis'!I69)))</f>
        <v>859565.86879780982</v>
      </c>
      <c r="C53" s="108">
        <f t="shared" ref="C53:W53" ca="1" si="7">IF($B$53="","",IF(AND($B$42="Straight Line",C48&lt;=depr_length),$B$53/depr_length,IF(AND($B$42="MACRS",C48&lt;=depr_length+1),$B$53*INDEX(MACRS_Table,MATCH(C48,recovery_year,0),MATCH($B$43,recovery_period,0)),"")))</f>
        <v>32233.720079917868</v>
      </c>
      <c r="D53" s="109">
        <f t="shared" ca="1" si="7"/>
        <v>62052.060068513892</v>
      </c>
      <c r="E53" s="109">
        <f t="shared" ca="1" si="7"/>
        <v>57393.213059629757</v>
      </c>
      <c r="F53" s="109">
        <f t="shared" ca="1" si="7"/>
        <v>53095.38371564071</v>
      </c>
      <c r="G53" s="109">
        <f t="shared" ca="1" si="7"/>
        <v>49106.998084418876</v>
      </c>
      <c r="H53" s="109">
        <f t="shared" ca="1" si="7"/>
        <v>45428.056165964248</v>
      </c>
      <c r="I53" s="109">
        <f t="shared" ca="1" si="7"/>
        <v>42015.579666836944</v>
      </c>
      <c r="J53" s="109">
        <f t="shared" ca="1" si="7"/>
        <v>38869.568587036963</v>
      </c>
      <c r="K53" s="109">
        <f t="shared" ca="1" si="7"/>
        <v>38353.829065758277</v>
      </c>
      <c r="L53" s="109">
        <f t="shared" ca="1" si="7"/>
        <v>38345.233407070293</v>
      </c>
      <c r="M53" s="109">
        <f t="shared" ca="1" si="7"/>
        <v>38353.829065758277</v>
      </c>
      <c r="N53" s="109">
        <f t="shared" ca="1" si="7"/>
        <v>38345.233407070293</v>
      </c>
      <c r="O53" s="109">
        <f t="shared" ca="1" si="7"/>
        <v>38353.829065758277</v>
      </c>
      <c r="P53" s="109">
        <f t="shared" ca="1" si="7"/>
        <v>38345.233407070293</v>
      </c>
      <c r="Q53" s="109">
        <f t="shared" ca="1" si="7"/>
        <v>38353.829065758277</v>
      </c>
      <c r="R53" s="109">
        <f t="shared" ca="1" si="7"/>
        <v>38345.233407070293</v>
      </c>
      <c r="S53" s="109">
        <f t="shared" ca="1" si="7"/>
        <v>38353.829065758277</v>
      </c>
      <c r="T53" s="109">
        <f t="shared" ca="1" si="7"/>
        <v>38345.233407070293</v>
      </c>
      <c r="U53" s="109">
        <f t="shared" ca="1" si="7"/>
        <v>38353.829065758277</v>
      </c>
      <c r="V53" s="109">
        <f t="shared" ca="1" si="7"/>
        <v>38345.233407070293</v>
      </c>
      <c r="W53" s="110">
        <f t="shared" ca="1" si="7"/>
        <v>19176.914532879138</v>
      </c>
      <c r="X53" s="107">
        <f t="shared" ca="1" si="3"/>
        <v>859565.8687978097</v>
      </c>
    </row>
    <row r="54" spans="1:24" ht="15" customHeight="1" x14ac:dyDescent="0.25">
      <c r="A54" s="75">
        <f>IF('Cash Flow Analysis'!C70="","",'Cash Flow Analysis'!C70)</f>
        <v>5</v>
      </c>
      <c r="B54" s="1085">
        <f ca="1">IF(A54="","",IF(A54&lt;1,0,IF(A54=1,$B$44-'Cash Flow Analysis'!I70,-'Cash Flow Analysis'!I70)))</f>
        <v>875897.62030496821</v>
      </c>
      <c r="C54" s="108">
        <f t="shared" ref="C54:W54" ca="1" si="8">IF($B$54="","",IF(AND($B$42="Straight Line",C48&lt;=depr_length),$B$54/depr_length,IF(AND($B$42="MACRS",C48&lt;=depr_length+1),$B$54*INDEX(MACRS_Table,MATCH(C48,recovery_year,0),MATCH($B$43,recovery_period,0)),"")))</f>
        <v>32846.160761436309</v>
      </c>
      <c r="D54" s="109">
        <f t="shared" ca="1" si="8"/>
        <v>63231.049209815661</v>
      </c>
      <c r="E54" s="109">
        <f t="shared" ca="1" si="8"/>
        <v>58483.684107762725</v>
      </c>
      <c r="F54" s="109">
        <f t="shared" ca="1" si="8"/>
        <v>54104.196006237886</v>
      </c>
      <c r="G54" s="109">
        <f t="shared" ca="1" si="8"/>
        <v>50040.031048022836</v>
      </c>
      <c r="H54" s="109">
        <f t="shared" ca="1" si="8"/>
        <v>46291.18923311757</v>
      </c>
      <c r="I54" s="109">
        <f t="shared" ca="1" si="8"/>
        <v>42813.875680506848</v>
      </c>
      <c r="J54" s="109">
        <f t="shared" ca="1" si="8"/>
        <v>39608.090390190664</v>
      </c>
      <c r="K54" s="109">
        <f t="shared" ca="1" si="8"/>
        <v>39082.551818007683</v>
      </c>
      <c r="L54" s="109">
        <f t="shared" ca="1" si="8"/>
        <v>39073.792841804629</v>
      </c>
      <c r="M54" s="109">
        <f t="shared" ca="1" si="8"/>
        <v>39082.551818007683</v>
      </c>
      <c r="N54" s="109">
        <f t="shared" ca="1" si="8"/>
        <v>39073.792841804629</v>
      </c>
      <c r="O54" s="109">
        <f t="shared" ca="1" si="8"/>
        <v>39082.551818007683</v>
      </c>
      <c r="P54" s="109">
        <f t="shared" ca="1" si="8"/>
        <v>39073.792841804629</v>
      </c>
      <c r="Q54" s="109">
        <f t="shared" ca="1" si="8"/>
        <v>39082.551818007683</v>
      </c>
      <c r="R54" s="109">
        <f t="shared" ca="1" si="8"/>
        <v>39073.792841804629</v>
      </c>
      <c r="S54" s="109">
        <f t="shared" ca="1" si="8"/>
        <v>39082.551818007683</v>
      </c>
      <c r="T54" s="109">
        <f t="shared" ca="1" si="8"/>
        <v>39073.792841804629</v>
      </c>
      <c r="U54" s="109">
        <f t="shared" ca="1" si="8"/>
        <v>39082.551818007683</v>
      </c>
      <c r="V54" s="109">
        <f t="shared" ca="1" si="8"/>
        <v>39073.792841804629</v>
      </c>
      <c r="W54" s="110">
        <f t="shared" ca="1" si="8"/>
        <v>19541.275909003842</v>
      </c>
      <c r="X54" s="107">
        <f t="shared" ca="1" si="3"/>
        <v>875897.62030496844</v>
      </c>
    </row>
    <row r="55" spans="1:24" ht="15" customHeight="1" x14ac:dyDescent="0.25">
      <c r="A55" s="75">
        <f>IF('Cash Flow Analysis'!C71="","",'Cash Flow Analysis'!C71)</f>
        <v>6</v>
      </c>
      <c r="B55" s="1085">
        <f ca="1">IF(A55="","",IF(A55&lt;1,0,IF(A55=1,$B$44-'Cash Flow Analysis'!I71,-'Cash Flow Analysis'!I71)))</f>
        <v>892539.67509076244</v>
      </c>
      <c r="C55" s="108">
        <f t="shared" ref="C55:W55" ca="1" si="9">IF($B$55="","",IF(AND($B$42="Straight Line",C48&lt;=depr_length),$B$55/depr_length,IF(AND($B$42="MACRS",C48&lt;=depr_length+1),$B$55*INDEX(MACRS_Table,MATCH(C48,recovery_year,0),MATCH($B$43,recovery_period,0)),"")))</f>
        <v>33470.237815903587</v>
      </c>
      <c r="D55" s="109">
        <f t="shared" ca="1" si="9"/>
        <v>64432.439144802142</v>
      </c>
      <c r="E55" s="109">
        <f t="shared" ca="1" si="9"/>
        <v>59594.874105810202</v>
      </c>
      <c r="F55" s="109">
        <f t="shared" ca="1" si="9"/>
        <v>55132.175730356394</v>
      </c>
      <c r="G55" s="109">
        <f t="shared" ca="1" si="9"/>
        <v>50990.791637935261</v>
      </c>
      <c r="H55" s="109">
        <f t="shared" ca="1" si="9"/>
        <v>47170.721828546797</v>
      </c>
      <c r="I55" s="109">
        <f t="shared" ca="1" si="9"/>
        <v>43627.339318436469</v>
      </c>
      <c r="J55" s="109">
        <f t="shared" ca="1" si="9"/>
        <v>40360.644107604283</v>
      </c>
      <c r="K55" s="109">
        <f t="shared" ca="1" si="9"/>
        <v>39825.120302549818</v>
      </c>
      <c r="L55" s="109">
        <f t="shared" ca="1" si="9"/>
        <v>39816.194905798911</v>
      </c>
      <c r="M55" s="109">
        <f t="shared" ca="1" si="9"/>
        <v>39825.120302549818</v>
      </c>
      <c r="N55" s="109">
        <f t="shared" ca="1" si="9"/>
        <v>39816.194905798911</v>
      </c>
      <c r="O55" s="109">
        <f t="shared" ca="1" si="9"/>
        <v>39825.120302549818</v>
      </c>
      <c r="P55" s="109">
        <f t="shared" ca="1" si="9"/>
        <v>39816.194905798911</v>
      </c>
      <c r="Q55" s="109">
        <f t="shared" ca="1" si="9"/>
        <v>39825.120302549818</v>
      </c>
      <c r="R55" s="109">
        <f t="shared" ca="1" si="9"/>
        <v>39816.194905798911</v>
      </c>
      <c r="S55" s="109">
        <f t="shared" ca="1" si="9"/>
        <v>39825.120302549818</v>
      </c>
      <c r="T55" s="109">
        <f t="shared" ca="1" si="9"/>
        <v>39816.194905798911</v>
      </c>
      <c r="U55" s="109">
        <f t="shared" ca="1" si="9"/>
        <v>39825.120302549818</v>
      </c>
      <c r="V55" s="109">
        <f t="shared" ca="1" si="9"/>
        <v>39816.194905798911</v>
      </c>
      <c r="W55" s="110">
        <f t="shared" ca="1" si="9"/>
        <v>19912.560151274909</v>
      </c>
      <c r="X55" s="107">
        <f t="shared" ca="1" si="3"/>
        <v>892539.67509076209</v>
      </c>
    </row>
    <row r="56" spans="1:24" ht="15" customHeight="1" x14ac:dyDescent="0.25">
      <c r="A56" s="75">
        <f>IF('Cash Flow Analysis'!C72="","",'Cash Flow Analysis'!C72)</f>
        <v>7</v>
      </c>
      <c r="B56" s="1085">
        <f ca="1">IF(A56="","",IF(A56&lt;1,0,IF(A56=1,$B$44-'Cash Flow Analysis'!I72,-'Cash Flow Analysis'!I72)))</f>
        <v>909497.92891748704</v>
      </c>
      <c r="C56" s="108">
        <f t="shared" ref="C56:W56" ca="1" si="10">IF($B$56="","",IF(AND($B$42="Straight Line",C48&lt;=depr_length),$B$56/depr_length,IF(AND($B$42="MACRS",C48&lt;=depr_length+1),$B$56*INDEX(MACRS_Table,MATCH(C48,recovery_year,0),MATCH($B$43,recovery_period,0)),"")))</f>
        <v>34106.172334405761</v>
      </c>
      <c r="D56" s="109">
        <f t="shared" ca="1" si="10"/>
        <v>65656.655488553399</v>
      </c>
      <c r="E56" s="109">
        <f t="shared" ca="1" si="10"/>
        <v>60727.176713820605</v>
      </c>
      <c r="F56" s="109">
        <f t="shared" ca="1" si="10"/>
        <v>56179.687069233172</v>
      </c>
      <c r="G56" s="109">
        <f t="shared" ca="1" si="10"/>
        <v>51959.616679056031</v>
      </c>
      <c r="H56" s="109">
        <f t="shared" ca="1" si="10"/>
        <v>48066.965543289189</v>
      </c>
      <c r="I56" s="109">
        <f t="shared" ca="1" si="10"/>
        <v>44456.258765486768</v>
      </c>
      <c r="J56" s="109">
        <f t="shared" ca="1" si="10"/>
        <v>41127.496345648768</v>
      </c>
      <c r="K56" s="109">
        <f t="shared" ca="1" si="10"/>
        <v>40581.797588298272</v>
      </c>
      <c r="L56" s="109">
        <f t="shared" ca="1" si="10"/>
        <v>40572.702609009095</v>
      </c>
      <c r="M56" s="109">
        <f t="shared" ca="1" si="10"/>
        <v>40581.797588298272</v>
      </c>
      <c r="N56" s="109">
        <f t="shared" ca="1" si="10"/>
        <v>40572.702609009095</v>
      </c>
      <c r="O56" s="109">
        <f t="shared" ca="1" si="10"/>
        <v>40581.797588298272</v>
      </c>
      <c r="P56" s="109">
        <f t="shared" ca="1" si="10"/>
        <v>40572.702609009095</v>
      </c>
      <c r="Q56" s="109">
        <f t="shared" ca="1" si="10"/>
        <v>40581.797588298272</v>
      </c>
      <c r="R56" s="109">
        <f t="shared" ca="1" si="10"/>
        <v>40572.702609009095</v>
      </c>
      <c r="S56" s="109">
        <f t="shared" ca="1" si="10"/>
        <v>40581.797588298272</v>
      </c>
      <c r="T56" s="109">
        <f t="shared" ca="1" si="10"/>
        <v>40572.702609009095</v>
      </c>
      <c r="U56" s="109">
        <f t="shared" ca="1" si="10"/>
        <v>40581.797588298272</v>
      </c>
      <c r="V56" s="109">
        <f t="shared" ca="1" si="10"/>
        <v>40572.702609009095</v>
      </c>
      <c r="W56" s="110">
        <f t="shared" ca="1" si="10"/>
        <v>20290.898794149136</v>
      </c>
      <c r="X56" s="107">
        <f t="shared" ca="1" si="3"/>
        <v>909497.92891748727</v>
      </c>
    </row>
    <row r="57" spans="1:24" ht="15" customHeight="1" x14ac:dyDescent="0.25">
      <c r="A57" s="75">
        <f>IF('Cash Flow Analysis'!C73="","",'Cash Flow Analysis'!C73)</f>
        <v>8</v>
      </c>
      <c r="B57" s="1085">
        <f ca="1">IF(A57="","",IF(A57&lt;1,0,IF(A57=1,$B$44-'Cash Flow Analysis'!I73,-'Cash Flow Analysis'!I73)))</f>
        <v>20786315.308858048</v>
      </c>
      <c r="C57" s="108">
        <f t="shared" ref="C57:W57" ca="1" si="11">IF($B$57="","",IF(AND($B$42="Straight Line",C48&lt;=depr_length),$B$57/depr_length,IF(AND($B$42="MACRS",C48&lt;=depr_length+1),$B$57*INDEX(MACRS_Table,MATCH(C48,recovery_year,0),MATCH($B$43,recovery_period,0)),"")))</f>
        <v>779486.82408217678</v>
      </c>
      <c r="D57" s="109">
        <f t="shared" ca="1" si="11"/>
        <v>1500564.1021464625</v>
      </c>
      <c r="E57" s="109">
        <f t="shared" ca="1" si="11"/>
        <v>1387902.2731724519</v>
      </c>
      <c r="F57" s="109">
        <f t="shared" ca="1" si="11"/>
        <v>1283970.6966281617</v>
      </c>
      <c r="G57" s="109">
        <f t="shared" ca="1" si="11"/>
        <v>1187522.1935950604</v>
      </c>
      <c r="H57" s="109">
        <f t="shared" ca="1" si="11"/>
        <v>1098556.7640731479</v>
      </c>
      <c r="I57" s="109">
        <f t="shared" ca="1" si="11"/>
        <v>1016035.0922969814</v>
      </c>
      <c r="J57" s="109">
        <f t="shared" ca="1" si="11"/>
        <v>939957.17826656101</v>
      </c>
      <c r="K57" s="109">
        <f t="shared" ca="1" si="11"/>
        <v>927485.3890812461</v>
      </c>
      <c r="L57" s="109">
        <f t="shared" ca="1" si="11"/>
        <v>927277.5259281575</v>
      </c>
      <c r="M57" s="109">
        <f t="shared" ca="1" si="11"/>
        <v>927485.3890812461</v>
      </c>
      <c r="N57" s="109">
        <f t="shared" ca="1" si="11"/>
        <v>927277.5259281575</v>
      </c>
      <c r="O57" s="109">
        <f t="shared" ca="1" si="11"/>
        <v>927485.3890812461</v>
      </c>
      <c r="P57" s="109">
        <f t="shared" ca="1" si="11"/>
        <v>927277.5259281575</v>
      </c>
      <c r="Q57" s="109">
        <f t="shared" ca="1" si="11"/>
        <v>927485.3890812461</v>
      </c>
      <c r="R57" s="109">
        <f t="shared" ca="1" si="11"/>
        <v>927277.5259281575</v>
      </c>
      <c r="S57" s="109">
        <f t="shared" ca="1" si="11"/>
        <v>927485.3890812461</v>
      </c>
      <c r="T57" s="109">
        <f t="shared" ca="1" si="11"/>
        <v>927277.5259281575</v>
      </c>
      <c r="U57" s="109">
        <f t="shared" ca="1" si="11"/>
        <v>927485.3890812461</v>
      </c>
      <c r="V57" s="109">
        <f t="shared" ca="1" si="11"/>
        <v>927277.5259281575</v>
      </c>
      <c r="W57" s="110">
        <f t="shared" ca="1" si="11"/>
        <v>463742.69454062305</v>
      </c>
      <c r="X57" s="107">
        <f t="shared" ca="1" si="3"/>
        <v>20786315.308858052</v>
      </c>
    </row>
    <row r="58" spans="1:24" ht="15" customHeight="1" x14ac:dyDescent="0.25">
      <c r="A58" s="75">
        <f>IF('Cash Flow Analysis'!C74="","",'Cash Flow Analysis'!C74)</f>
        <v>9</v>
      </c>
      <c r="B58" s="1085">
        <f ca="1">IF(A58="","",IF(A58&lt;1,0,IF(A58=1,$B$44-'Cash Flow Analysis'!I74,-'Cash Flow Analysis'!I74)))</f>
        <v>944387.17896869057</v>
      </c>
      <c r="C58" s="108">
        <f t="shared" ref="C58:W58" ca="1" si="12">IF($B$58="","",IF(AND($B$42="Straight Line",C48&lt;=depr_length),$B$58/depr_length,IF(AND($B$42="MACRS",C48&lt;=depr_length+1),$B$58*INDEX(MACRS_Table,MATCH(C48,recovery_year,0),MATCH($B$43,recovery_period,0)),"")))</f>
        <v>35414.519211325896</v>
      </c>
      <c r="D58" s="109">
        <f t="shared" ca="1" si="12"/>
        <v>68175.31044974977</v>
      </c>
      <c r="E58" s="109">
        <f t="shared" ca="1" si="12"/>
        <v>63056.731939739468</v>
      </c>
      <c r="F58" s="109">
        <f t="shared" ca="1" si="12"/>
        <v>58334.796044896015</v>
      </c>
      <c r="G58" s="109">
        <f t="shared" ca="1" si="12"/>
        <v>53952.839534481289</v>
      </c>
      <c r="H58" s="109">
        <f t="shared" ca="1" si="12"/>
        <v>49910.862408495297</v>
      </c>
      <c r="I58" s="109">
        <f t="shared" ca="1" si="12"/>
        <v>46161.645307989595</v>
      </c>
      <c r="J58" s="109">
        <f t="shared" ca="1" si="12"/>
        <v>42705.188232964189</v>
      </c>
      <c r="K58" s="109">
        <f t="shared" ca="1" si="12"/>
        <v>42138.555925582972</v>
      </c>
      <c r="L58" s="109">
        <f t="shared" ca="1" si="12"/>
        <v>42129.11205379328</v>
      </c>
      <c r="M58" s="109">
        <f t="shared" ca="1" si="12"/>
        <v>42138.555925582972</v>
      </c>
      <c r="N58" s="109">
        <f t="shared" ca="1" si="12"/>
        <v>42129.11205379328</v>
      </c>
      <c r="O58" s="109">
        <f t="shared" ca="1" si="12"/>
        <v>42138.555925582972</v>
      </c>
      <c r="P58" s="109">
        <f t="shared" ca="1" si="12"/>
        <v>42129.11205379328</v>
      </c>
      <c r="Q58" s="109">
        <f t="shared" ca="1" si="12"/>
        <v>42138.555925582972</v>
      </c>
      <c r="R58" s="109">
        <f t="shared" ca="1" si="12"/>
        <v>42129.11205379328</v>
      </c>
      <c r="S58" s="109">
        <f t="shared" ca="1" si="12"/>
        <v>42138.555925582972</v>
      </c>
      <c r="T58" s="109">
        <f t="shared" ca="1" si="12"/>
        <v>42129.11205379328</v>
      </c>
      <c r="U58" s="109">
        <f t="shared" ca="1" si="12"/>
        <v>42138.555925582972</v>
      </c>
      <c r="V58" s="109">
        <f t="shared" ca="1" si="12"/>
        <v>42129.11205379328</v>
      </c>
      <c r="W58" s="110">
        <f t="shared" ca="1" si="12"/>
        <v>21069.277962791486</v>
      </c>
      <c r="X58" s="107">
        <f t="shared" ca="1" si="3"/>
        <v>944387.17896869068</v>
      </c>
    </row>
    <row r="59" spans="1:24" ht="15" customHeight="1" x14ac:dyDescent="0.25">
      <c r="A59" s="75">
        <f>IF('Cash Flow Analysis'!C75="","",'Cash Flow Analysis'!C75)</f>
        <v>10</v>
      </c>
      <c r="B59" s="1085">
        <f ca="1">IF(A59="","",IF(A59&lt;1,0,IF(A59=1,$B$44-'Cash Flow Analysis'!I75,-'Cash Flow Analysis'!I75)))</f>
        <v>962330.53536909563</v>
      </c>
      <c r="C59" s="108">
        <f t="shared" ref="C59:W59" ca="1" si="13">IF($B$59="","",IF(AND($B$42="Straight Line",C48&lt;=depr_length),$B$59/depr_length,IF(AND($B$42="MACRS",C48&lt;=depr_length+1),$B$59*INDEX(MACRS_Table,MATCH(C48,recovery_year,0),MATCH($B$43,recovery_period,0)),"")))</f>
        <v>36087.395076341083</v>
      </c>
      <c r="D59" s="109">
        <f t="shared" ca="1" si="13"/>
        <v>69470.641348295016</v>
      </c>
      <c r="E59" s="109">
        <f t="shared" ca="1" si="13"/>
        <v>64254.809846594508</v>
      </c>
      <c r="F59" s="109">
        <f t="shared" ca="1" si="13"/>
        <v>59443.157169749036</v>
      </c>
      <c r="G59" s="109">
        <f t="shared" ca="1" si="13"/>
        <v>54977.943485636431</v>
      </c>
      <c r="H59" s="109">
        <f t="shared" ca="1" si="13"/>
        <v>50859.168794256708</v>
      </c>
      <c r="I59" s="109">
        <f t="shared" ca="1" si="13"/>
        <v>47038.716568841395</v>
      </c>
      <c r="J59" s="109">
        <f t="shared" ca="1" si="13"/>
        <v>43516.586809390508</v>
      </c>
      <c r="K59" s="109">
        <f t="shared" ca="1" si="13"/>
        <v>42939.188488169049</v>
      </c>
      <c r="L59" s="109">
        <f t="shared" ca="1" si="13"/>
        <v>42929.56518281535</v>
      </c>
      <c r="M59" s="109">
        <f t="shared" ca="1" si="13"/>
        <v>42939.188488169049</v>
      </c>
      <c r="N59" s="109">
        <f t="shared" ca="1" si="13"/>
        <v>42929.56518281535</v>
      </c>
      <c r="O59" s="109">
        <f t="shared" ca="1" si="13"/>
        <v>42939.188488169049</v>
      </c>
      <c r="P59" s="109">
        <f t="shared" ca="1" si="13"/>
        <v>42929.56518281535</v>
      </c>
      <c r="Q59" s="109">
        <f t="shared" ca="1" si="13"/>
        <v>42939.188488169049</v>
      </c>
      <c r="R59" s="109">
        <f t="shared" ca="1" si="13"/>
        <v>42929.56518281535</v>
      </c>
      <c r="S59" s="109">
        <f t="shared" ca="1" si="13"/>
        <v>42939.188488169049</v>
      </c>
      <c r="T59" s="109">
        <f t="shared" ca="1" si="13"/>
        <v>42929.56518281535</v>
      </c>
      <c r="U59" s="109">
        <f t="shared" ca="1" si="13"/>
        <v>42939.188488169049</v>
      </c>
      <c r="V59" s="109">
        <f t="shared" ca="1" si="13"/>
        <v>42929.56518281535</v>
      </c>
      <c r="W59" s="110">
        <f t="shared" ca="1" si="13"/>
        <v>21469.594244084525</v>
      </c>
      <c r="X59" s="107">
        <f t="shared" ca="1" si="3"/>
        <v>962330.53536909563</v>
      </c>
    </row>
    <row r="60" spans="1:24" ht="15" customHeight="1" x14ac:dyDescent="0.25">
      <c r="A60" s="75">
        <f>IF('Cash Flow Analysis'!C76="","",'Cash Flow Analysis'!C76)</f>
        <v>11</v>
      </c>
      <c r="B60" s="1085">
        <f ca="1">IF(A60="","",IF(A60&lt;1,0,IF(A60=1,$B$44-'Cash Flow Analysis'!I76,-'Cash Flow Analysis'!I76)))</f>
        <v>980614.81554110837</v>
      </c>
      <c r="C60" s="108">
        <f t="shared" ref="C60:W60" ca="1" si="14">IF($B$60="","",IF(AND($B$42="Straight Line",C48&lt;=depr_length),$B$60/depr_length,IF(AND($B$42="MACRS",C48&lt;=depr_length+1),$B$60*INDEX(MACRS_Table,MATCH(C48,recovery_year,0),MATCH($B$43,recovery_period,0)),"")))</f>
        <v>36773.05558279156</v>
      </c>
      <c r="D60" s="109">
        <f t="shared" ca="1" si="14"/>
        <v>70790.583533912621</v>
      </c>
      <c r="E60" s="109">
        <f t="shared" ca="1" si="14"/>
        <v>65475.651233679804</v>
      </c>
      <c r="F60" s="109">
        <f t="shared" ca="1" si="14"/>
        <v>60572.577155974264</v>
      </c>
      <c r="G60" s="109">
        <f t="shared" ca="1" si="14"/>
        <v>56022.524411863524</v>
      </c>
      <c r="H60" s="109">
        <f t="shared" ca="1" si="14"/>
        <v>51825.493001347575</v>
      </c>
      <c r="I60" s="109">
        <f t="shared" ca="1" si="14"/>
        <v>47932.45218364938</v>
      </c>
      <c r="J60" s="109">
        <f t="shared" ca="1" si="14"/>
        <v>44343.401958768925</v>
      </c>
      <c r="K60" s="109">
        <f t="shared" ca="1" si="14"/>
        <v>43755.033069444253</v>
      </c>
      <c r="L60" s="109">
        <f t="shared" ca="1" si="14"/>
        <v>43745.226921288842</v>
      </c>
      <c r="M60" s="109">
        <f t="shared" ca="1" si="14"/>
        <v>43755.033069444253</v>
      </c>
      <c r="N60" s="109">
        <f t="shared" ca="1" si="14"/>
        <v>43745.226921288842</v>
      </c>
      <c r="O60" s="109">
        <f t="shared" ca="1" si="14"/>
        <v>43755.033069444253</v>
      </c>
      <c r="P60" s="109">
        <f t="shared" ca="1" si="14"/>
        <v>43745.226921288842</v>
      </c>
      <c r="Q60" s="109">
        <f t="shared" ca="1" si="14"/>
        <v>43755.033069444253</v>
      </c>
      <c r="R60" s="109">
        <f t="shared" ca="1" si="14"/>
        <v>43745.226921288842</v>
      </c>
      <c r="S60" s="109">
        <f t="shared" ca="1" si="14"/>
        <v>43755.033069444253</v>
      </c>
      <c r="T60" s="109">
        <f t="shared" ca="1" si="14"/>
        <v>43745.226921288842</v>
      </c>
      <c r="U60" s="109">
        <f t="shared" ca="1" si="14"/>
        <v>43755.033069444253</v>
      </c>
      <c r="V60" s="109">
        <f t="shared" ca="1" si="14"/>
        <v>43745.226921288842</v>
      </c>
      <c r="W60" s="110">
        <f t="shared" ca="1" si="14"/>
        <v>21877.516534722126</v>
      </c>
      <c r="X60" s="107">
        <f t="shared" ca="1" si="3"/>
        <v>980614.81554110849</v>
      </c>
    </row>
    <row r="61" spans="1:24" ht="15" customHeight="1" x14ac:dyDescent="0.25">
      <c r="A61" s="75">
        <f>IF('Cash Flow Analysis'!C77="","",'Cash Flow Analysis'!C77)</f>
        <v>12</v>
      </c>
      <c r="B61" s="1085">
        <f ca="1">IF(A61="","",IF(A61&lt;1,0,IF(A61=1,$B$44-'Cash Flow Analysis'!I77,-'Cash Flow Analysis'!I77)))</f>
        <v>999246.49703638954</v>
      </c>
      <c r="C61" s="108">
        <f t="shared" ref="C61:W61" ca="1" si="15">IF($B$61="","",IF(AND($B$42="Straight Line",C48&lt;=depr_length),$B$61/depr_length,IF(AND($B$42="MACRS",C48&lt;=depr_length+1),$B$61*INDEX(MACRS_Table,MATCH(C48,recovery_year,0),MATCH($B$43,recovery_period,0)),"")))</f>
        <v>37471.743638864609</v>
      </c>
      <c r="D61" s="109">
        <f t="shared" ca="1" si="15"/>
        <v>72135.604621056962</v>
      </c>
      <c r="E61" s="109">
        <f t="shared" ca="1" si="15"/>
        <v>66719.688607119722</v>
      </c>
      <c r="F61" s="109">
        <f t="shared" ca="1" si="15"/>
        <v>61723.456121937779</v>
      </c>
      <c r="G61" s="109">
        <f t="shared" ca="1" si="15"/>
        <v>57086.952375688932</v>
      </c>
      <c r="H61" s="109">
        <f t="shared" ca="1" si="15"/>
        <v>52810.177368373188</v>
      </c>
      <c r="I61" s="109">
        <f t="shared" ca="1" si="15"/>
        <v>48843.168775138722</v>
      </c>
      <c r="J61" s="109">
        <f t="shared" ca="1" si="15"/>
        <v>45185.92659598554</v>
      </c>
      <c r="K61" s="109">
        <f t="shared" ca="1" si="15"/>
        <v>44586.378697763699</v>
      </c>
      <c r="L61" s="109">
        <f t="shared" ca="1" si="15"/>
        <v>44576.386232793331</v>
      </c>
      <c r="M61" s="109">
        <f t="shared" ca="1" si="15"/>
        <v>44586.378697763699</v>
      </c>
      <c r="N61" s="109">
        <f t="shared" ca="1" si="15"/>
        <v>44576.386232793331</v>
      </c>
      <c r="O61" s="109">
        <f t="shared" ca="1" si="15"/>
        <v>44586.378697763699</v>
      </c>
      <c r="P61" s="109">
        <f t="shared" ca="1" si="15"/>
        <v>44576.386232793331</v>
      </c>
      <c r="Q61" s="109">
        <f t="shared" ca="1" si="15"/>
        <v>44586.378697763699</v>
      </c>
      <c r="R61" s="109">
        <f t="shared" ca="1" si="15"/>
        <v>44576.386232793331</v>
      </c>
      <c r="S61" s="109">
        <f t="shared" ca="1" si="15"/>
        <v>44586.378697763699</v>
      </c>
      <c r="T61" s="109">
        <f t="shared" ca="1" si="15"/>
        <v>44576.386232793331</v>
      </c>
      <c r="U61" s="109">
        <f t="shared" ca="1" si="15"/>
        <v>44586.378697763699</v>
      </c>
      <c r="V61" s="109">
        <f t="shared" ca="1" si="15"/>
        <v>44576.386232793331</v>
      </c>
      <c r="W61" s="110">
        <f t="shared" ca="1" si="15"/>
        <v>22293.18934888185</v>
      </c>
      <c r="X61" s="107">
        <f t="shared" ca="1" si="3"/>
        <v>999246.49703638931</v>
      </c>
    </row>
    <row r="62" spans="1:24" ht="15" customHeight="1" x14ac:dyDescent="0.25">
      <c r="A62" s="75">
        <f>IF('Cash Flow Analysis'!C78="","",'Cash Flow Analysis'!C78)</f>
        <v>13</v>
      </c>
      <c r="B62" s="1085">
        <f ca="1">IF(A62="","",IF(A62&lt;1,0,IF(A62=1,$B$44-'Cash Flow Analysis'!I78,-'Cash Flow Analysis'!I78)))</f>
        <v>1018232.1804800808</v>
      </c>
      <c r="C62" s="108">
        <f t="shared" ref="C62:W62" ca="1" si="16">IF($B$62="","",IF(AND($B$42="Straight Line",C48&lt;=depr_length),$B$62/depr_length,IF(AND($B$42="MACRS",C48&lt;=depr_length+1),$B$62*INDEX(MACRS_Table,MATCH(C48,recovery_year,0),MATCH($B$43,recovery_period,0)),"")))</f>
        <v>38183.70676800303</v>
      </c>
      <c r="D62" s="109">
        <f t="shared" ca="1" si="16"/>
        <v>73506.181108857039</v>
      </c>
      <c r="E62" s="109">
        <f t="shared" ca="1" si="16"/>
        <v>67987.362690654991</v>
      </c>
      <c r="F62" s="109">
        <f t="shared" ca="1" si="16"/>
        <v>62896.201788254584</v>
      </c>
      <c r="G62" s="109">
        <f t="shared" ca="1" si="16"/>
        <v>58171.604470827013</v>
      </c>
      <c r="H62" s="109">
        <f t="shared" ca="1" si="16"/>
        <v>53813.570738372269</v>
      </c>
      <c r="I62" s="109">
        <f t="shared" ca="1" si="16"/>
        <v>49771.188981866348</v>
      </c>
      <c r="J62" s="109">
        <f t="shared" ca="1" si="16"/>
        <v>46044.459201309255</v>
      </c>
      <c r="K62" s="109">
        <f t="shared" ca="1" si="16"/>
        <v>45433.519893021206</v>
      </c>
      <c r="L62" s="109">
        <f t="shared" ca="1" si="16"/>
        <v>45423.337571216398</v>
      </c>
      <c r="M62" s="109">
        <f t="shared" ca="1" si="16"/>
        <v>45433.519893021206</v>
      </c>
      <c r="N62" s="109">
        <f t="shared" ca="1" si="16"/>
        <v>45423.337571216398</v>
      </c>
      <c r="O62" s="109">
        <f t="shared" ca="1" si="16"/>
        <v>45433.519893021206</v>
      </c>
      <c r="P62" s="109">
        <f t="shared" ca="1" si="16"/>
        <v>45423.337571216398</v>
      </c>
      <c r="Q62" s="109">
        <f t="shared" ca="1" si="16"/>
        <v>45433.519893021206</v>
      </c>
      <c r="R62" s="109">
        <f t="shared" ca="1" si="16"/>
        <v>45423.337571216398</v>
      </c>
      <c r="S62" s="109">
        <f t="shared" ca="1" si="16"/>
        <v>45433.519893021206</v>
      </c>
      <c r="T62" s="109">
        <f t="shared" ca="1" si="16"/>
        <v>45423.337571216398</v>
      </c>
      <c r="U62" s="109">
        <f t="shared" ca="1" si="16"/>
        <v>45433.519893021206</v>
      </c>
      <c r="V62" s="109">
        <f t="shared" ca="1" si="16"/>
        <v>45423.337571216398</v>
      </c>
      <c r="W62" s="110">
        <f t="shared" ca="1" si="16"/>
        <v>22716.759946510603</v>
      </c>
      <c r="X62" s="107">
        <f t="shared" ca="1" si="3"/>
        <v>1018232.1804800809</v>
      </c>
    </row>
    <row r="63" spans="1:24" ht="15" customHeight="1" x14ac:dyDescent="0.25">
      <c r="A63" s="75">
        <f>IF('Cash Flow Analysis'!C79="","",'Cash Flow Analysis'!C79)</f>
        <v>14</v>
      </c>
      <c r="B63" s="1085">
        <f ca="1">IF(A63="","",IF(A63&lt;1,0,IF(A63=1,$B$44-'Cash Flow Analysis'!I79,-'Cash Flow Analysis'!I79)))</f>
        <v>1037578.591909202</v>
      </c>
      <c r="C63" s="108">
        <f t="shared" ref="C63:W63" ca="1" si="17">IF($B$63="","",IF(AND($B$42="Straight Line",C48&lt;=depr_length),$B$63/depr_length,IF(AND($B$42="MACRS",C48&lt;=depr_length+1),$B$63*INDEX(MACRS_Table,MATCH(C48,recovery_year,0),MATCH($B$43,recovery_period,0)),"")))</f>
        <v>38909.197196595072</v>
      </c>
      <c r="D63" s="109">
        <f t="shared" ca="1" si="17"/>
        <v>74902.798549925297</v>
      </c>
      <c r="E63" s="109">
        <f t="shared" ca="1" si="17"/>
        <v>69279.12258177741</v>
      </c>
      <c r="F63" s="109">
        <f t="shared" ca="1" si="17"/>
        <v>64091.229622231411</v>
      </c>
      <c r="G63" s="109">
        <f t="shared" ca="1" si="17"/>
        <v>59276.864955772711</v>
      </c>
      <c r="H63" s="109">
        <f t="shared" ca="1" si="17"/>
        <v>54836.028582401326</v>
      </c>
      <c r="I63" s="109">
        <f t="shared" ca="1" si="17"/>
        <v>50716.841572521793</v>
      </c>
      <c r="J63" s="109">
        <f t="shared" ca="1" si="17"/>
        <v>46919.303926134118</v>
      </c>
      <c r="K63" s="109">
        <f t="shared" ca="1" si="17"/>
        <v>46296.756770988599</v>
      </c>
      <c r="L63" s="109">
        <f t="shared" ca="1" si="17"/>
        <v>46286.380985069503</v>
      </c>
      <c r="M63" s="109">
        <f t="shared" ca="1" si="17"/>
        <v>46296.756770988599</v>
      </c>
      <c r="N63" s="109">
        <f t="shared" ca="1" si="17"/>
        <v>46286.380985069503</v>
      </c>
      <c r="O63" s="109">
        <f t="shared" ca="1" si="17"/>
        <v>46296.756770988599</v>
      </c>
      <c r="P63" s="109">
        <f t="shared" ca="1" si="17"/>
        <v>46286.380985069503</v>
      </c>
      <c r="Q63" s="109">
        <f t="shared" ca="1" si="17"/>
        <v>46296.756770988599</v>
      </c>
      <c r="R63" s="109">
        <f t="shared" ca="1" si="17"/>
        <v>46286.380985069503</v>
      </c>
      <c r="S63" s="109">
        <f t="shared" ca="1" si="17"/>
        <v>46296.756770988599</v>
      </c>
      <c r="T63" s="109">
        <f t="shared" ca="1" si="17"/>
        <v>46286.380985069503</v>
      </c>
      <c r="U63" s="109">
        <f t="shared" ca="1" si="17"/>
        <v>46296.756770988599</v>
      </c>
      <c r="V63" s="109">
        <f t="shared" ca="1" si="17"/>
        <v>46286.380985069503</v>
      </c>
      <c r="W63" s="110">
        <f t="shared" ca="1" si="17"/>
        <v>23148.378385494299</v>
      </c>
      <c r="X63" s="107">
        <f t="shared" ca="1" si="3"/>
        <v>1037578.5919092023</v>
      </c>
    </row>
    <row r="64" spans="1:24" ht="15" customHeight="1" x14ac:dyDescent="0.25">
      <c r="A64" s="75">
        <f>IF('Cash Flow Analysis'!C80="","",'Cash Flow Analysis'!C80)</f>
        <v>15</v>
      </c>
      <c r="B64" s="1085">
        <f ca="1">IF(A64="","",IF(A64&lt;1,0,IF(A64=1,$B$44-'Cash Flow Analysis'!I80,-'Cash Flow Analysis'!I80)))</f>
        <v>23713562.267058562</v>
      </c>
      <c r="C64" s="108">
        <f t="shared" ref="C64:W64" ca="1" si="18">IF($B$64="","",IF(AND($B$42="Straight Line",C48&lt;=depr_length),$B$64/depr_length,IF(AND($B$42="MACRS",C48&lt;=depr_length+1),$B$64*INDEX(MACRS_Table,MATCH(C48,recovery_year,0),MATCH($B$43,recovery_period,0)),"")))</f>
        <v>889258.58501469612</v>
      </c>
      <c r="D64" s="109">
        <f t="shared" ca="1" si="18"/>
        <v>1711882.0600589577</v>
      </c>
      <c r="E64" s="109">
        <f t="shared" ca="1" si="18"/>
        <v>1583354.5525715002</v>
      </c>
      <c r="F64" s="109">
        <f t="shared" ca="1" si="18"/>
        <v>1464786.7412362073</v>
      </c>
      <c r="G64" s="109">
        <f t="shared" ca="1" si="18"/>
        <v>1354755.8123170557</v>
      </c>
      <c r="H64" s="109">
        <f t="shared" ca="1" si="18"/>
        <v>1253261.765814045</v>
      </c>
      <c r="I64" s="109">
        <f t="shared" ca="1" si="18"/>
        <v>1159118.9236138226</v>
      </c>
      <c r="J64" s="109">
        <f t="shared" ca="1" si="18"/>
        <v>1072327.2857163884</v>
      </c>
      <c r="K64" s="109">
        <f t="shared" ca="1" si="18"/>
        <v>1058099.1483561532</v>
      </c>
      <c r="L64" s="109">
        <f t="shared" ca="1" si="18"/>
        <v>1057862.0127334823</v>
      </c>
      <c r="M64" s="109">
        <f t="shared" ca="1" si="18"/>
        <v>1058099.1483561532</v>
      </c>
      <c r="N64" s="109">
        <f t="shared" ca="1" si="18"/>
        <v>1057862.0127334823</v>
      </c>
      <c r="O64" s="109">
        <f t="shared" ca="1" si="18"/>
        <v>1058099.1483561532</v>
      </c>
      <c r="P64" s="109">
        <f t="shared" ca="1" si="18"/>
        <v>1057862.0127334823</v>
      </c>
      <c r="Q64" s="109">
        <f t="shared" ca="1" si="18"/>
        <v>1058099.1483561532</v>
      </c>
      <c r="R64" s="109">
        <f t="shared" ca="1" si="18"/>
        <v>1057862.0127334823</v>
      </c>
      <c r="S64" s="109">
        <f t="shared" ca="1" si="18"/>
        <v>1058099.1483561532</v>
      </c>
      <c r="T64" s="109">
        <f t="shared" ca="1" si="18"/>
        <v>1057862.0127334823</v>
      </c>
      <c r="U64" s="109">
        <f t="shared" ca="1" si="18"/>
        <v>1058099.1483561532</v>
      </c>
      <c r="V64" s="109">
        <f t="shared" ca="1" si="18"/>
        <v>1057862.0127334823</v>
      </c>
      <c r="W64" s="110">
        <f t="shared" ca="1" si="18"/>
        <v>529049.57417807658</v>
      </c>
      <c r="X64" s="107">
        <f t="shared" ca="1" si="3"/>
        <v>23713562.267058562</v>
      </c>
    </row>
    <row r="65" spans="1:24" ht="15" customHeight="1" x14ac:dyDescent="0.25">
      <c r="A65" s="75">
        <f>IF('Cash Flow Analysis'!C81="","",'Cash Flow Analysis'!C81)</f>
        <v>16</v>
      </c>
      <c r="B65" s="1085">
        <f ca="1">IF(A65="","",IF(A65&lt;1,0,IF(A65=1,$B$44-'Cash Flow Analysis'!I81,-'Cash Flow Analysis'!I81)))</f>
        <v>1077381.1442734313</v>
      </c>
      <c r="C65" s="108">
        <f t="shared" ref="C65:W65" ca="1" si="19">IF($B$65="","",IF(AND($B$42="Straight Line",C48&lt;=depr_length),$B$65/depr_length,IF(AND($B$42="MACRS",C48&lt;=depr_length+1),$B$65*INDEX(MACRS_Table,MATCH(C48,recovery_year,0),MATCH($B$43,recovery_period,0)),"")))</f>
        <v>40401.792910253673</v>
      </c>
      <c r="D65" s="109">
        <f t="shared" ca="1" si="19"/>
        <v>77776.144805099015</v>
      </c>
      <c r="E65" s="109">
        <f t="shared" ca="1" si="19"/>
        <v>71936.739003137001</v>
      </c>
      <c r="F65" s="109">
        <f t="shared" ca="1" si="19"/>
        <v>66549.833281769854</v>
      </c>
      <c r="G65" s="109">
        <f t="shared" ca="1" si="19"/>
        <v>61550.784772341132</v>
      </c>
      <c r="H65" s="109">
        <f t="shared" ca="1" si="19"/>
        <v>56939.593474850844</v>
      </c>
      <c r="I65" s="109">
        <f t="shared" ca="1" si="19"/>
        <v>52662.390332085321</v>
      </c>
      <c r="J65" s="109">
        <f t="shared" ca="1" si="19"/>
        <v>48719.175344044568</v>
      </c>
      <c r="K65" s="109">
        <f t="shared" ca="1" si="19"/>
        <v>48072.7466574805</v>
      </c>
      <c r="L65" s="109">
        <f t="shared" ca="1" si="19"/>
        <v>48061.972846037766</v>
      </c>
      <c r="M65" s="109">
        <f t="shared" ca="1" si="19"/>
        <v>48072.7466574805</v>
      </c>
      <c r="N65" s="109">
        <f t="shared" ca="1" si="19"/>
        <v>48061.972846037766</v>
      </c>
      <c r="O65" s="109">
        <f t="shared" ca="1" si="19"/>
        <v>48072.7466574805</v>
      </c>
      <c r="P65" s="109">
        <f t="shared" ca="1" si="19"/>
        <v>48061.972846037766</v>
      </c>
      <c r="Q65" s="109">
        <f t="shared" ca="1" si="19"/>
        <v>48072.7466574805</v>
      </c>
      <c r="R65" s="109">
        <f t="shared" ca="1" si="19"/>
        <v>48061.972846037766</v>
      </c>
      <c r="S65" s="109">
        <f t="shared" ca="1" si="19"/>
        <v>48072.7466574805</v>
      </c>
      <c r="T65" s="109">
        <f t="shared" ca="1" si="19"/>
        <v>48061.972846037766</v>
      </c>
      <c r="U65" s="109">
        <f t="shared" ca="1" si="19"/>
        <v>48072.7466574805</v>
      </c>
      <c r="V65" s="109">
        <f t="shared" ca="1" si="19"/>
        <v>48061.972846037766</v>
      </c>
      <c r="W65" s="110">
        <f t="shared" ca="1" si="19"/>
        <v>24036.37332874025</v>
      </c>
      <c r="X65" s="107">
        <f t="shared" ca="1" si="3"/>
        <v>1077381.1442734308</v>
      </c>
    </row>
    <row r="66" spans="1:24" ht="15" customHeight="1" x14ac:dyDescent="0.25">
      <c r="A66" s="75">
        <f>IF('Cash Flow Analysis'!C82="","",'Cash Flow Analysis'!C82)</f>
        <v>17</v>
      </c>
      <c r="B66" s="1085">
        <f ca="1">IF(A66="","",IF(A66&lt;1,0,IF(A66=1,$B$44-'Cash Flow Analysis'!I82,-'Cash Flow Analysis'!I82)))</f>
        <v>1097851.3860146264</v>
      </c>
      <c r="C66" s="108">
        <f t="shared" ref="C66:W66" ca="1" si="20">IF($B$66="","",IF(AND($B$42="Straight Line",C48&lt;=depr_length),$B$66/depr_length,IF(AND($B$42="MACRS",C48&lt;=depr_length+1),$B$66*INDEX(MACRS_Table,MATCH(C48,recovery_year,0),MATCH($B$43,recovery_period,0)),"")))</f>
        <v>41169.426975548486</v>
      </c>
      <c r="D66" s="109">
        <f t="shared" ca="1" si="20"/>
        <v>79253.891556395887</v>
      </c>
      <c r="E66" s="109">
        <f t="shared" ca="1" si="20"/>
        <v>73303.537044196593</v>
      </c>
      <c r="F66" s="109">
        <f t="shared" ca="1" si="20"/>
        <v>67814.280114123467</v>
      </c>
      <c r="G66" s="109">
        <f t="shared" ca="1" si="20"/>
        <v>62720.249683015601</v>
      </c>
      <c r="H66" s="109">
        <f t="shared" ca="1" si="20"/>
        <v>58021.445750873005</v>
      </c>
      <c r="I66" s="109">
        <f t="shared" ca="1" si="20"/>
        <v>53662.975748394936</v>
      </c>
      <c r="J66" s="109">
        <f t="shared" ca="1" si="20"/>
        <v>49644.83967558141</v>
      </c>
      <c r="K66" s="109">
        <f t="shared" ca="1" si="20"/>
        <v>48986.128843972627</v>
      </c>
      <c r="L66" s="109">
        <f t="shared" ca="1" si="20"/>
        <v>48975.150330112476</v>
      </c>
      <c r="M66" s="109">
        <f t="shared" ca="1" si="20"/>
        <v>48986.128843972627</v>
      </c>
      <c r="N66" s="109">
        <f t="shared" ca="1" si="20"/>
        <v>48975.150330112476</v>
      </c>
      <c r="O66" s="109">
        <f t="shared" ca="1" si="20"/>
        <v>48986.128843972627</v>
      </c>
      <c r="P66" s="109">
        <f t="shared" ca="1" si="20"/>
        <v>48975.150330112476</v>
      </c>
      <c r="Q66" s="109">
        <f t="shared" ca="1" si="20"/>
        <v>48986.128843972627</v>
      </c>
      <c r="R66" s="109">
        <f t="shared" ca="1" si="20"/>
        <v>48975.150330112476</v>
      </c>
      <c r="S66" s="109">
        <f t="shared" ca="1" si="20"/>
        <v>48986.128843972627</v>
      </c>
      <c r="T66" s="109">
        <f t="shared" ca="1" si="20"/>
        <v>48975.150330112476</v>
      </c>
      <c r="U66" s="109">
        <f t="shared" ca="1" si="20"/>
        <v>48986.128843972627</v>
      </c>
      <c r="V66" s="109">
        <f t="shared" ca="1" si="20"/>
        <v>48975.150330112476</v>
      </c>
      <c r="W66" s="110">
        <f t="shared" ca="1" si="20"/>
        <v>24493.064421986313</v>
      </c>
      <c r="X66" s="107">
        <f t="shared" ca="1" si="3"/>
        <v>1097851.3860146257</v>
      </c>
    </row>
    <row r="67" spans="1:24" ht="15" customHeight="1" x14ac:dyDescent="0.25">
      <c r="A67" s="75">
        <f>IF('Cash Flow Analysis'!C83="","",'Cash Flow Analysis'!C83)</f>
        <v>18</v>
      </c>
      <c r="B67" s="1085">
        <f ca="1">IF(A67="","",IF(A67&lt;1,0,IF(A67=1,$B$44-'Cash Flow Analysis'!I83,-'Cash Flow Analysis'!I83)))</f>
        <v>1118710.5623489041</v>
      </c>
      <c r="C67" s="108">
        <f t="shared" ref="C67:W67" ca="1" si="21">IF($B$67="","",IF(AND($B$42="Straight Line",C48&lt;=depr_length),$B$67/depr_length,IF(AND($B$42="MACRS",C48&lt;=depr_length+1),$B$67*INDEX(MACRS_Table,MATCH(C48,recovery_year,0),MATCH($B$43,recovery_period,0)),"")))</f>
        <v>41951.6460880839</v>
      </c>
      <c r="D67" s="109">
        <f t="shared" ca="1" si="21"/>
        <v>80759.715495967394</v>
      </c>
      <c r="E67" s="109">
        <f t="shared" ca="1" si="21"/>
        <v>74696.304248036322</v>
      </c>
      <c r="F67" s="109">
        <f t="shared" ca="1" si="21"/>
        <v>69102.751436291801</v>
      </c>
      <c r="G67" s="109">
        <f t="shared" ca="1" si="21"/>
        <v>63911.934426992892</v>
      </c>
      <c r="H67" s="109">
        <f t="shared" ca="1" si="21"/>
        <v>59123.853220139579</v>
      </c>
      <c r="I67" s="109">
        <f t="shared" ca="1" si="21"/>
        <v>54682.572287614428</v>
      </c>
      <c r="J67" s="109">
        <f t="shared" ca="1" si="21"/>
        <v>50588.091629417446</v>
      </c>
      <c r="K67" s="109">
        <f t="shared" ca="1" si="21"/>
        <v>49916.8652920081</v>
      </c>
      <c r="L67" s="109">
        <f t="shared" ca="1" si="21"/>
        <v>49905.678186384604</v>
      </c>
      <c r="M67" s="109">
        <f t="shared" ca="1" si="21"/>
        <v>49916.8652920081</v>
      </c>
      <c r="N67" s="109">
        <f t="shared" ca="1" si="21"/>
        <v>49905.678186384604</v>
      </c>
      <c r="O67" s="109">
        <f t="shared" ca="1" si="21"/>
        <v>49916.8652920081</v>
      </c>
      <c r="P67" s="109">
        <f t="shared" ca="1" si="21"/>
        <v>49905.678186384604</v>
      </c>
      <c r="Q67" s="109">
        <f t="shared" ca="1" si="21"/>
        <v>49916.8652920081</v>
      </c>
      <c r="R67" s="109">
        <f t="shared" ca="1" si="21"/>
        <v>49905.678186384604</v>
      </c>
      <c r="S67" s="109">
        <f t="shared" ca="1" si="21"/>
        <v>49916.8652920081</v>
      </c>
      <c r="T67" s="109">
        <f t="shared" ca="1" si="21"/>
        <v>49905.678186384604</v>
      </c>
      <c r="U67" s="109">
        <f t="shared" ca="1" si="21"/>
        <v>49916.8652920081</v>
      </c>
      <c r="V67" s="109">
        <f t="shared" ca="1" si="21"/>
        <v>49905.678186384604</v>
      </c>
      <c r="W67" s="110">
        <f t="shared" ca="1" si="21"/>
        <v>24958.43264600405</v>
      </c>
      <c r="X67" s="107">
        <f t="shared" ca="1" si="3"/>
        <v>1118710.5623489043</v>
      </c>
    </row>
    <row r="68" spans="1:24" ht="15" customHeight="1" x14ac:dyDescent="0.25">
      <c r="A68" s="75">
        <f>IF('Cash Flow Analysis'!C84="","",'Cash Flow Analysis'!C84)</f>
        <v>19</v>
      </c>
      <c r="B68" s="1085">
        <f ca="1">IF(A68="","",IF(A68&lt;1,0,IF(A68=1,$B$44-'Cash Flow Analysis'!I84,-'Cash Flow Analysis'!I84)))</f>
        <v>1139966.063033533</v>
      </c>
      <c r="C68" s="108">
        <f t="shared" ref="C68:W68" ca="1" si="22">IF($B$68="","",IF(AND($B$42="Straight Line",C48&lt;=depr_length),$B$68/depr_length,IF(AND($B$42="MACRS",C48&lt;=depr_length+1),$B$68*INDEX(MACRS_Table,MATCH(C48,recovery_year,0),MATCH($B$43,recovery_period,0)),"")))</f>
        <v>42748.727363757491</v>
      </c>
      <c r="D68" s="109">
        <f t="shared" ca="1" si="22"/>
        <v>82294.150090390758</v>
      </c>
      <c r="E68" s="109">
        <f t="shared" ca="1" si="22"/>
        <v>76115.534028748996</v>
      </c>
      <c r="F68" s="109">
        <f t="shared" ca="1" si="22"/>
        <v>70415.70371358133</v>
      </c>
      <c r="G68" s="109">
        <f t="shared" ca="1" si="22"/>
        <v>65126.261181105743</v>
      </c>
      <c r="H68" s="109">
        <f t="shared" ca="1" si="22"/>
        <v>60247.206431322222</v>
      </c>
      <c r="I68" s="109">
        <f t="shared" ca="1" si="22"/>
        <v>55721.541161079098</v>
      </c>
      <c r="J68" s="109">
        <f t="shared" ca="1" si="22"/>
        <v>51549.265370376372</v>
      </c>
      <c r="K68" s="109">
        <f t="shared" ca="1" si="22"/>
        <v>50865.285732556244</v>
      </c>
      <c r="L68" s="109">
        <f t="shared" ca="1" si="22"/>
        <v>50853.886071925903</v>
      </c>
      <c r="M68" s="109">
        <f t="shared" ca="1" si="22"/>
        <v>50865.285732556244</v>
      </c>
      <c r="N68" s="109">
        <f t="shared" ca="1" si="22"/>
        <v>50853.886071925903</v>
      </c>
      <c r="O68" s="109">
        <f t="shared" ca="1" si="22"/>
        <v>50865.285732556244</v>
      </c>
      <c r="P68" s="109">
        <f t="shared" ca="1" si="22"/>
        <v>50853.886071925903</v>
      </c>
      <c r="Q68" s="109">
        <f t="shared" ca="1" si="22"/>
        <v>50865.285732556244</v>
      </c>
      <c r="R68" s="109">
        <f t="shared" ca="1" si="22"/>
        <v>50853.886071925903</v>
      </c>
      <c r="S68" s="109">
        <f t="shared" ca="1" si="22"/>
        <v>50865.285732556244</v>
      </c>
      <c r="T68" s="109">
        <f t="shared" ca="1" si="22"/>
        <v>50853.886071925903</v>
      </c>
      <c r="U68" s="109">
        <f t="shared" ca="1" si="22"/>
        <v>50865.285732556244</v>
      </c>
      <c r="V68" s="109">
        <f t="shared" ca="1" si="22"/>
        <v>50853.886071925903</v>
      </c>
      <c r="W68" s="110">
        <f t="shared" ca="1" si="22"/>
        <v>25432.642866278122</v>
      </c>
      <c r="X68" s="107">
        <f t="shared" ca="1" si="3"/>
        <v>1139966.0630335328</v>
      </c>
    </row>
    <row r="69" spans="1:24" ht="15" customHeight="1" x14ac:dyDescent="0.25">
      <c r="A69" s="75">
        <f>IF('Cash Flow Analysis'!C85="","",'Cash Flow Analysis'!C85)</f>
        <v>20</v>
      </c>
      <c r="B69" s="1085">
        <f ca="1">IF(A69="","",IF(A69&lt;1,0,IF(A69=1,$B$44-'Cash Flow Analysis'!I85,-'Cash Flow Analysis'!I85)))</f>
        <v>1161625.4182311704</v>
      </c>
      <c r="C69" s="108">
        <f t="shared" ref="C69:W69" ca="1" si="23">IF($B$69="","",IF(AND($B$42="Straight Line",C48&lt;=depr_length),$B$69/depr_length,IF(AND($B$42="MACRS",C48&lt;=depr_length+1),$B$69*INDEX(MACRS_Table,MATCH(C48,recovery_year,0),MATCH($B$43,recovery_period,0)),"")))</f>
        <v>43560.953183668891</v>
      </c>
      <c r="D69" s="109">
        <f t="shared" ca="1" si="23"/>
        <v>83857.73894210819</v>
      </c>
      <c r="E69" s="109">
        <f t="shared" ca="1" si="23"/>
        <v>77561.729175295244</v>
      </c>
      <c r="F69" s="109">
        <f t="shared" ca="1" si="23"/>
        <v>71753.602084139391</v>
      </c>
      <c r="G69" s="109">
        <f t="shared" ca="1" si="23"/>
        <v>66363.66014354676</v>
      </c>
      <c r="H69" s="109">
        <f t="shared" ca="1" si="23"/>
        <v>61391.903353517358</v>
      </c>
      <c r="I69" s="109">
        <f t="shared" ca="1" si="23"/>
        <v>56780.250443139608</v>
      </c>
      <c r="J69" s="109">
        <f t="shared" ca="1" si="23"/>
        <v>52528.701412413531</v>
      </c>
      <c r="K69" s="109">
        <f t="shared" ca="1" si="23"/>
        <v>51831.72616147482</v>
      </c>
      <c r="L69" s="109">
        <f t="shared" ca="1" si="23"/>
        <v>51820.109907292506</v>
      </c>
      <c r="M69" s="109">
        <f t="shared" ca="1" si="23"/>
        <v>51831.72616147482</v>
      </c>
      <c r="N69" s="109">
        <f t="shared" ca="1" si="23"/>
        <v>51820.109907292506</v>
      </c>
      <c r="O69" s="109">
        <f t="shared" ca="1" si="23"/>
        <v>51831.72616147482</v>
      </c>
      <c r="P69" s="109">
        <f t="shared" ca="1" si="23"/>
        <v>51820.109907292506</v>
      </c>
      <c r="Q69" s="109">
        <f t="shared" ca="1" si="23"/>
        <v>51831.72616147482</v>
      </c>
      <c r="R69" s="109">
        <f t="shared" ca="1" si="23"/>
        <v>51820.109907292506</v>
      </c>
      <c r="S69" s="109">
        <f t="shared" ca="1" si="23"/>
        <v>51831.72616147482</v>
      </c>
      <c r="T69" s="109">
        <f t="shared" ca="1" si="23"/>
        <v>51820.109907292506</v>
      </c>
      <c r="U69" s="109">
        <f t="shared" ca="1" si="23"/>
        <v>51831.72616147482</v>
      </c>
      <c r="V69" s="109">
        <f t="shared" ca="1" si="23"/>
        <v>51820.109907292506</v>
      </c>
      <c r="W69" s="110">
        <f t="shared" ca="1" si="23"/>
        <v>25915.86308073741</v>
      </c>
      <c r="X69" s="107">
        <f t="shared" ca="1" si="3"/>
        <v>1161625.4182311704</v>
      </c>
    </row>
    <row r="70" spans="1:24" ht="15" customHeight="1" x14ac:dyDescent="0.25">
      <c r="A70" s="75">
        <f>IF('Cash Flow Analysis'!C86="","",'Cash Flow Analysis'!C86)</f>
        <v>21</v>
      </c>
      <c r="B70" s="1085">
        <f ca="1">IF(A70="","",IF(A70&lt;1,0,IF(A70=1,$B$44-'Cash Flow Analysis'!I86,-'Cash Flow Analysis'!I86)))</f>
        <v>1183696.3011775624</v>
      </c>
      <c r="C70" s="108">
        <f t="shared" ref="C70:W70" ca="1" si="24">IF($B$70="","",IF(AND($B$42="Straight Line",C48&lt;=depr_length),$B$70/depr_length,IF(AND($B$42="MACRS",C48&lt;=depr_length+1),$B$70*INDEX(MACRS_Table,MATCH(C48,recovery_year,0),MATCH($B$43,recovery_period,0)),"")))</f>
        <v>44388.611294158589</v>
      </c>
      <c r="D70" s="109">
        <f t="shared" ca="1" si="24"/>
        <v>85451.035982008238</v>
      </c>
      <c r="E70" s="109">
        <f t="shared" ca="1" si="24"/>
        <v>79035.402029625839</v>
      </c>
      <c r="F70" s="109">
        <f t="shared" ca="1" si="24"/>
        <v>73116.920523738037</v>
      </c>
      <c r="G70" s="109">
        <f t="shared" ca="1" si="24"/>
        <v>67624.569686274146</v>
      </c>
      <c r="H70" s="109">
        <f t="shared" ca="1" si="24"/>
        <v>62558.349517234179</v>
      </c>
      <c r="I70" s="109">
        <f t="shared" ca="1" si="24"/>
        <v>57859.075201559252</v>
      </c>
      <c r="J70" s="109">
        <f t="shared" ca="1" si="24"/>
        <v>53526.746739249378</v>
      </c>
      <c r="K70" s="109">
        <f t="shared" ca="1" si="24"/>
        <v>52816.528958542833</v>
      </c>
      <c r="L70" s="109">
        <f t="shared" ca="1" si="24"/>
        <v>52804.691995531059</v>
      </c>
      <c r="M70" s="109">
        <f t="shared" ca="1" si="24"/>
        <v>52816.528958542833</v>
      </c>
      <c r="N70" s="109">
        <f t="shared" ca="1" si="24"/>
        <v>52804.691995531059</v>
      </c>
      <c r="O70" s="109">
        <f t="shared" ca="1" si="24"/>
        <v>52816.528958542833</v>
      </c>
      <c r="P70" s="109">
        <f t="shared" ca="1" si="24"/>
        <v>52804.691995531059</v>
      </c>
      <c r="Q70" s="109">
        <f t="shared" ca="1" si="24"/>
        <v>52816.528958542833</v>
      </c>
      <c r="R70" s="109">
        <f t="shared" ca="1" si="24"/>
        <v>52804.691995531059</v>
      </c>
      <c r="S70" s="109">
        <f t="shared" ca="1" si="24"/>
        <v>52816.528958542833</v>
      </c>
      <c r="T70" s="109">
        <f t="shared" ca="1" si="24"/>
        <v>52804.691995531059</v>
      </c>
      <c r="U70" s="109">
        <f t="shared" ca="1" si="24"/>
        <v>52816.528958542833</v>
      </c>
      <c r="V70" s="109">
        <f t="shared" ca="1" si="24"/>
        <v>52804.691995531059</v>
      </c>
      <c r="W70" s="110">
        <f t="shared" ca="1" si="24"/>
        <v>26408.264479271416</v>
      </c>
      <c r="X70" s="107">
        <f t="shared" ca="1" si="3"/>
        <v>1183696.3011775624</v>
      </c>
    </row>
    <row r="71" spans="1:24" ht="15" customHeight="1" x14ac:dyDescent="0.25">
      <c r="A71" s="75">
        <f>IF('Cash Flow Analysis'!C87="","",'Cash Flow Analysis'!C87)</f>
        <v>22</v>
      </c>
      <c r="B71" s="1085">
        <f ca="1">IF(A71="","",IF(A71&lt;1,0,IF(A71=1,$B$44-'Cash Flow Analysis'!I87,-'Cash Flow Analysis'!I87)))</f>
        <v>27053040.764469996</v>
      </c>
      <c r="C71" s="108">
        <f t="shared" ref="C71:W71" ca="1" si="25">IF($B$71="","",IF(AND($B$42="Straight Line",C48&lt;=depr_length),$B$71/depr_length,IF(AND($B$42="MACRS",C48&lt;=depr_length+1),$B$71*INDEX(MACRS_Table,MATCH(C48,recovery_year,0),MATCH($B$43,recovery_period,0)),"")))</f>
        <v>1014489.0286676248</v>
      </c>
      <c r="D71" s="109">
        <f t="shared" ca="1" si="25"/>
        <v>1952959.0127870892</v>
      </c>
      <c r="E71" s="109">
        <f t="shared" ca="1" si="25"/>
        <v>1806331.5318436616</v>
      </c>
      <c r="F71" s="109">
        <f t="shared" ca="1" si="25"/>
        <v>1671066.3280213117</v>
      </c>
      <c r="G71" s="109">
        <f t="shared" ca="1" si="25"/>
        <v>1545540.2188741709</v>
      </c>
      <c r="H71" s="109">
        <f t="shared" ca="1" si="25"/>
        <v>1429753.2044022393</v>
      </c>
      <c r="I71" s="109">
        <f t="shared" ca="1" si="25"/>
        <v>1322352.6325672935</v>
      </c>
      <c r="J71" s="109">
        <f t="shared" ca="1" si="25"/>
        <v>1223338.5033693332</v>
      </c>
      <c r="K71" s="109">
        <f t="shared" ca="1" si="25"/>
        <v>1207106.6789106512</v>
      </c>
      <c r="L71" s="109">
        <f t="shared" ca="1" si="25"/>
        <v>1206836.1485030064</v>
      </c>
      <c r="M71" s="109">
        <f t="shared" ca="1" si="25"/>
        <v>1207106.6789106512</v>
      </c>
      <c r="N71" s="109">
        <f t="shared" ca="1" si="25"/>
        <v>1206836.1485030064</v>
      </c>
      <c r="O71" s="109">
        <f t="shared" ca="1" si="25"/>
        <v>1207106.6789106512</v>
      </c>
      <c r="P71" s="109">
        <f t="shared" ca="1" si="25"/>
        <v>1206836.1485030064</v>
      </c>
      <c r="Q71" s="109">
        <f t="shared" ca="1" si="25"/>
        <v>1207106.6789106512</v>
      </c>
      <c r="R71" s="109">
        <f t="shared" ca="1" si="25"/>
        <v>1206836.1485030064</v>
      </c>
      <c r="S71" s="109">
        <f t="shared" ca="1" si="25"/>
        <v>1207106.6789106512</v>
      </c>
      <c r="T71" s="109">
        <f t="shared" ca="1" si="25"/>
        <v>1206836.1485030064</v>
      </c>
      <c r="U71" s="109">
        <f t="shared" ca="1" si="25"/>
        <v>1207106.6789106512</v>
      </c>
      <c r="V71" s="109">
        <f t="shared" ca="1" si="25"/>
        <v>1206836.1485030064</v>
      </c>
      <c r="W71" s="110">
        <f t="shared" ca="1" si="25"/>
        <v>603553.33945532562</v>
      </c>
      <c r="X71" s="107">
        <f t="shared" ca="1" si="3"/>
        <v>27053040.764469985</v>
      </c>
    </row>
    <row r="72" spans="1:24" ht="15" customHeight="1" x14ac:dyDescent="0.25">
      <c r="A72" s="75">
        <f>IF('Cash Flow Analysis'!C88="","",'Cash Flow Analysis'!C88)</f>
        <v>23</v>
      </c>
      <c r="B72" s="1085">
        <f ca="1">IF(A72="","",IF(A72&lt;1,0,IF(A72=1,$B$44-'Cash Flow Analysis'!I88,-'Cash Flow Analysis'!I88)))</f>
        <v>1229104.074987035</v>
      </c>
      <c r="C72" s="108">
        <f t="shared" ref="C72:W72" ca="1" si="26">IF($B$72="","",IF(AND($B$42="Straight Line",C48&lt;=depr_length),$B$72/depr_length,IF(AND($B$42="MACRS",C48&lt;=depr_length+1),$B$72*INDEX(MACRS_Table,MATCH(C48,recovery_year,0),MATCH($B$43,recovery_period,0)),"")))</f>
        <v>46091.40281201381</v>
      </c>
      <c r="D72" s="109">
        <f t="shared" ca="1" si="26"/>
        <v>88729.023173314068</v>
      </c>
      <c r="E72" s="109">
        <f t="shared" ca="1" si="26"/>
        <v>82067.279086884329</v>
      </c>
      <c r="F72" s="109">
        <f t="shared" ca="1" si="26"/>
        <v>75921.758711949151</v>
      </c>
      <c r="G72" s="109">
        <f t="shared" ca="1" si="26"/>
        <v>70218.715804009305</v>
      </c>
      <c r="H72" s="109">
        <f t="shared" ca="1" si="26"/>
        <v>64958.1503630648</v>
      </c>
      <c r="I72" s="109">
        <f t="shared" ca="1" si="26"/>
        <v>60078.607185366272</v>
      </c>
      <c r="J72" s="109">
        <f t="shared" ca="1" si="26"/>
        <v>55580.086270913729</v>
      </c>
      <c r="K72" s="109">
        <f t="shared" ca="1" si="26"/>
        <v>54842.623825921502</v>
      </c>
      <c r="L72" s="109">
        <f t="shared" ca="1" si="26"/>
        <v>54830.332785171631</v>
      </c>
      <c r="M72" s="109">
        <f t="shared" ca="1" si="26"/>
        <v>54842.623825921502</v>
      </c>
      <c r="N72" s="109">
        <f t="shared" ca="1" si="26"/>
        <v>54830.332785171631</v>
      </c>
      <c r="O72" s="109">
        <f t="shared" ca="1" si="26"/>
        <v>54842.623825921502</v>
      </c>
      <c r="P72" s="109">
        <f t="shared" ca="1" si="26"/>
        <v>54830.332785171631</v>
      </c>
      <c r="Q72" s="109">
        <f t="shared" ca="1" si="26"/>
        <v>54842.623825921502</v>
      </c>
      <c r="R72" s="109">
        <f t="shared" ca="1" si="26"/>
        <v>54830.332785171631</v>
      </c>
      <c r="S72" s="109">
        <f t="shared" ca="1" si="26"/>
        <v>54842.623825921502</v>
      </c>
      <c r="T72" s="109">
        <f t="shared" ca="1" si="26"/>
        <v>54830.332785171631</v>
      </c>
      <c r="U72" s="109">
        <f t="shared" ca="1" si="26"/>
        <v>54842.623825921502</v>
      </c>
      <c r="V72" s="109">
        <f t="shared" ca="1" si="26"/>
        <v>54830.332785171631</v>
      </c>
      <c r="W72" s="110">
        <f t="shared" ca="1" si="26"/>
        <v>27421.311912960751</v>
      </c>
      <c r="X72" s="107">
        <f t="shared" ca="1" si="3"/>
        <v>1229104.0749870352</v>
      </c>
    </row>
    <row r="73" spans="1:24" ht="15" customHeight="1" x14ac:dyDescent="0.25">
      <c r="A73" s="75">
        <f>IF('Cash Flow Analysis'!C89="","",'Cash Flow Analysis'!C89)</f>
        <v>24</v>
      </c>
      <c r="B73" s="1085">
        <f ca="1">IF(A73="","",IF(A73&lt;1,0,IF(A73=1,$B$44-'Cash Flow Analysis'!I89,-'Cash Flow Analysis'!I89)))</f>
        <v>1252457.0524117886</v>
      </c>
      <c r="C73" s="108">
        <f t="shared" ref="C73:W73" ca="1" si="27">IF($B$73="","",IF(AND($B$42="Straight Line",C48&lt;=depr_length),$B$73/depr_length,IF(AND($B$42="MACRS",C48&lt;=depr_length+1),$B$73*INDEX(MACRS_Table,MATCH(C48,recovery_year,0),MATCH($B$43,recovery_period,0)),"")))</f>
        <v>46967.139465442073</v>
      </c>
      <c r="D73" s="109">
        <f t="shared" ca="1" si="27"/>
        <v>90414.874613607026</v>
      </c>
      <c r="E73" s="109">
        <f t="shared" ca="1" si="27"/>
        <v>83626.557389535126</v>
      </c>
      <c r="F73" s="109">
        <f t="shared" ca="1" si="27"/>
        <v>77364.272127476186</v>
      </c>
      <c r="G73" s="109">
        <f t="shared" ca="1" si="27"/>
        <v>71552.871404285484</v>
      </c>
      <c r="H73" s="109">
        <f t="shared" ca="1" si="27"/>
        <v>66192.355219963036</v>
      </c>
      <c r="I73" s="109">
        <f t="shared" ca="1" si="27"/>
        <v>61220.10072188823</v>
      </c>
      <c r="J73" s="109">
        <f t="shared" ca="1" si="27"/>
        <v>56636.107910061088</v>
      </c>
      <c r="K73" s="109">
        <f t="shared" ca="1" si="27"/>
        <v>55884.633678614009</v>
      </c>
      <c r="L73" s="109">
        <f t="shared" ca="1" si="27"/>
        <v>55872.109108089884</v>
      </c>
      <c r="M73" s="109">
        <f t="shared" ca="1" si="27"/>
        <v>55884.633678614009</v>
      </c>
      <c r="N73" s="109">
        <f t="shared" ca="1" si="27"/>
        <v>55872.109108089884</v>
      </c>
      <c r="O73" s="109">
        <f t="shared" ca="1" si="27"/>
        <v>55884.633678614009</v>
      </c>
      <c r="P73" s="109">
        <f t="shared" ca="1" si="27"/>
        <v>55872.109108089884</v>
      </c>
      <c r="Q73" s="109">
        <f t="shared" ca="1" si="27"/>
        <v>55884.633678614009</v>
      </c>
      <c r="R73" s="109">
        <f t="shared" ca="1" si="27"/>
        <v>55872.109108089884</v>
      </c>
      <c r="S73" s="109">
        <f t="shared" ca="1" si="27"/>
        <v>55884.633678614009</v>
      </c>
      <c r="T73" s="109">
        <f t="shared" ca="1" si="27"/>
        <v>55872.109108089884</v>
      </c>
      <c r="U73" s="109">
        <f t="shared" ca="1" si="27"/>
        <v>55884.633678614009</v>
      </c>
      <c r="V73" s="109">
        <f t="shared" ca="1" si="27"/>
        <v>55872.109108089884</v>
      </c>
      <c r="W73" s="110">
        <f t="shared" ca="1" si="27"/>
        <v>27942.316839307005</v>
      </c>
      <c r="X73" s="107">
        <f t="shared" ca="1" si="3"/>
        <v>1252457.0524117891</v>
      </c>
    </row>
    <row r="74" spans="1:24" ht="15" customHeight="1" x14ac:dyDescent="0.25">
      <c r="A74" s="75">
        <f>IF('Cash Flow Analysis'!C90="","",'Cash Flow Analysis'!C90)</f>
        <v>25</v>
      </c>
      <c r="B74" s="1085">
        <f ca="1">IF(A74="","",IF(A74&lt;1,0,IF(A74=1,$B$44-'Cash Flow Analysis'!I90,-'Cash Flow Analysis'!I90)))</f>
        <v>1276253.7364076125</v>
      </c>
      <c r="C74" s="108">
        <f t="shared" ref="C74:W74" ca="1" si="28">IF($B$74="","",IF(AND($B$42="Straight Line",C48&lt;=depr_length),$B$74/depr_length,IF(AND($B$42="MACRS",C48&lt;=depr_length+1),$B$74*INDEX(MACRS_Table,MATCH(C48,recovery_year,0),MATCH($B$43,recovery_period,0)),"")))</f>
        <v>47859.515115285467</v>
      </c>
      <c r="D74" s="109">
        <f t="shared" ca="1" si="28"/>
        <v>92132.757231265554</v>
      </c>
      <c r="E74" s="109">
        <f t="shared" ca="1" si="28"/>
        <v>85215.461979936284</v>
      </c>
      <c r="F74" s="109">
        <f t="shared" ca="1" si="28"/>
        <v>78834.193297898222</v>
      </c>
      <c r="G74" s="109">
        <f t="shared" ca="1" si="28"/>
        <v>72912.375960966892</v>
      </c>
      <c r="H74" s="109">
        <f t="shared" ca="1" si="28"/>
        <v>67450.009969142324</v>
      </c>
      <c r="I74" s="109">
        <f t="shared" ca="1" si="28"/>
        <v>62383.282635604097</v>
      </c>
      <c r="J74" s="109">
        <f t="shared" ca="1" si="28"/>
        <v>57712.193960352241</v>
      </c>
      <c r="K74" s="109">
        <f t="shared" ca="1" si="28"/>
        <v>56946.441718507667</v>
      </c>
      <c r="L74" s="109">
        <f t="shared" ca="1" si="28"/>
        <v>56933.679181143591</v>
      </c>
      <c r="M74" s="109">
        <f t="shared" ca="1" si="28"/>
        <v>56946.441718507667</v>
      </c>
      <c r="N74" s="109">
        <f t="shared" ca="1" si="28"/>
        <v>56933.679181143591</v>
      </c>
      <c r="O74" s="109">
        <f t="shared" ca="1" si="28"/>
        <v>56946.441718507667</v>
      </c>
      <c r="P74" s="109">
        <f t="shared" ca="1" si="28"/>
        <v>56933.679181143591</v>
      </c>
      <c r="Q74" s="109">
        <f t="shared" ca="1" si="28"/>
        <v>56946.441718507667</v>
      </c>
      <c r="R74" s="109">
        <f t="shared" ca="1" si="28"/>
        <v>56933.679181143591</v>
      </c>
      <c r="S74" s="109">
        <f t="shared" ca="1" si="28"/>
        <v>56946.441718507667</v>
      </c>
      <c r="T74" s="109">
        <f t="shared" ca="1" si="28"/>
        <v>56933.679181143591</v>
      </c>
      <c r="U74" s="109">
        <f t="shared" ca="1" si="28"/>
        <v>56946.441718507667</v>
      </c>
      <c r="V74" s="109">
        <f t="shared" ca="1" si="28"/>
        <v>56933.679181143591</v>
      </c>
      <c r="W74" s="110">
        <f t="shared" ca="1" si="28"/>
        <v>28473.220859253834</v>
      </c>
      <c r="X74" s="107">
        <f t="shared" ca="1" si="3"/>
        <v>1276253.7364076125</v>
      </c>
    </row>
    <row r="75" spans="1:24" ht="15" customHeight="1" x14ac:dyDescent="0.25">
      <c r="A75" s="75">
        <f>IF('Cash Flow Analysis'!C91="","",'Cash Flow Analysis'!C91)</f>
        <v>26</v>
      </c>
      <c r="B75" s="1085">
        <f ca="1">IF(A75="","",IF(A75&lt;1,0,IF(A75=1,$B$44-'Cash Flow Analysis'!I91,-'Cash Flow Analysis'!I91)))</f>
        <v>1300502.557399357</v>
      </c>
      <c r="C75" s="108">
        <f t="shared" ref="C75:W75" ca="1" si="29">IF($B$75="","",IF(AND($B$42="Straight Line",C48&lt;=depr_length),$B$75/depr_length,IF(AND($B$42="MACRS",C48&lt;=depr_length+1),$B$75*INDEX(MACRS_Table,MATCH(C48,recovery_year,0),MATCH($B$43,recovery_period,0)),"")))</f>
        <v>48768.845902475885</v>
      </c>
      <c r="D75" s="109">
        <f t="shared" ca="1" si="29"/>
        <v>93883.279618659581</v>
      </c>
      <c r="E75" s="109">
        <f t="shared" ca="1" si="29"/>
        <v>86834.555757555063</v>
      </c>
      <c r="F75" s="109">
        <f t="shared" ca="1" si="29"/>
        <v>80332.042970558279</v>
      </c>
      <c r="G75" s="109">
        <f t="shared" ca="1" si="29"/>
        <v>74297.711104225265</v>
      </c>
      <c r="H75" s="109">
        <f t="shared" ca="1" si="29"/>
        <v>68731.560158556022</v>
      </c>
      <c r="I75" s="109">
        <f t="shared" ca="1" si="29"/>
        <v>63568.565005680568</v>
      </c>
      <c r="J75" s="109">
        <f t="shared" ca="1" si="29"/>
        <v>58808.725645598926</v>
      </c>
      <c r="K75" s="109">
        <f t="shared" ca="1" si="29"/>
        <v>58028.424111159307</v>
      </c>
      <c r="L75" s="109">
        <f t="shared" ca="1" si="29"/>
        <v>58015.419085585308</v>
      </c>
      <c r="M75" s="109">
        <f t="shared" ca="1" si="29"/>
        <v>58028.424111159307</v>
      </c>
      <c r="N75" s="109">
        <f t="shared" ca="1" si="29"/>
        <v>58015.419085585308</v>
      </c>
      <c r="O75" s="109">
        <f t="shared" ca="1" si="29"/>
        <v>58028.424111159307</v>
      </c>
      <c r="P75" s="109">
        <f t="shared" ca="1" si="29"/>
        <v>58015.419085585308</v>
      </c>
      <c r="Q75" s="109">
        <f t="shared" ca="1" si="29"/>
        <v>58028.424111159307</v>
      </c>
      <c r="R75" s="109">
        <f t="shared" ca="1" si="29"/>
        <v>58015.419085585308</v>
      </c>
      <c r="S75" s="109">
        <f t="shared" ca="1" si="29"/>
        <v>58028.424111159307</v>
      </c>
      <c r="T75" s="109">
        <f t="shared" ca="1" si="29"/>
        <v>58015.419085585308</v>
      </c>
      <c r="U75" s="109">
        <f t="shared" ca="1" si="29"/>
        <v>58028.424111159307</v>
      </c>
      <c r="V75" s="109">
        <f t="shared" ca="1" si="29"/>
        <v>58015.419085585308</v>
      </c>
      <c r="W75" s="110">
        <f t="shared" ca="1" si="29"/>
        <v>29014.212055579654</v>
      </c>
      <c r="X75" s="107">
        <f t="shared" ca="1" si="3"/>
        <v>1300502.5573993567</v>
      </c>
    </row>
    <row r="76" spans="1:24" ht="15" customHeight="1" x14ac:dyDescent="0.25">
      <c r="A76" s="75">
        <f>IF('Cash Flow Analysis'!C92="","",'Cash Flow Analysis'!C92)</f>
        <v>27</v>
      </c>
      <c r="B76" s="1085">
        <f ca="1">IF(A76="","",IF(A76&lt;1,0,IF(A76=1,$B$44-'Cash Flow Analysis'!I92,-'Cash Flow Analysis'!I92)))</f>
        <v>1325212.1059899447</v>
      </c>
      <c r="C76" s="108">
        <f t="shared" ref="C76:W76" ca="1" si="30">IF($B$76="","",IF(AND($B$42="Straight Line",C48&lt;=depr_length),$B$76/depr_length,IF(AND($B$42="MACRS",C48&lt;=depr_length+1),$B$76*INDEX(MACRS_Table,MATCH(C48,recovery_year,0),MATCH($B$43,recovery_period,0)),"")))</f>
        <v>49695.45397462292</v>
      </c>
      <c r="D76" s="109">
        <f t="shared" ca="1" si="30"/>
        <v>95667.061931414108</v>
      </c>
      <c r="E76" s="109">
        <f t="shared" ca="1" si="30"/>
        <v>88484.412316948597</v>
      </c>
      <c r="F76" s="109">
        <f t="shared" ca="1" si="30"/>
        <v>81858.351786998886</v>
      </c>
      <c r="G76" s="109">
        <f t="shared" ca="1" si="30"/>
        <v>75709.367615205541</v>
      </c>
      <c r="H76" s="109">
        <f t="shared" ca="1" si="30"/>
        <v>70037.459801568577</v>
      </c>
      <c r="I76" s="109">
        <f t="shared" ca="1" si="30"/>
        <v>64776.367740788497</v>
      </c>
      <c r="J76" s="109">
        <f t="shared" ca="1" si="30"/>
        <v>59926.091432865302</v>
      </c>
      <c r="K76" s="109">
        <f t="shared" ca="1" si="30"/>
        <v>59130.964169271334</v>
      </c>
      <c r="L76" s="109">
        <f t="shared" ca="1" si="30"/>
        <v>59117.712048211426</v>
      </c>
      <c r="M76" s="109">
        <f t="shared" ca="1" si="30"/>
        <v>59130.964169271334</v>
      </c>
      <c r="N76" s="109">
        <f t="shared" ca="1" si="30"/>
        <v>59117.712048211426</v>
      </c>
      <c r="O76" s="109">
        <f t="shared" ca="1" si="30"/>
        <v>59130.964169271334</v>
      </c>
      <c r="P76" s="109">
        <f t="shared" ca="1" si="30"/>
        <v>59117.712048211426</v>
      </c>
      <c r="Q76" s="109">
        <f t="shared" ca="1" si="30"/>
        <v>59130.964169271334</v>
      </c>
      <c r="R76" s="109">
        <f t="shared" ca="1" si="30"/>
        <v>59117.712048211426</v>
      </c>
      <c r="S76" s="109">
        <f t="shared" ca="1" si="30"/>
        <v>59130.964169271334</v>
      </c>
      <c r="T76" s="109">
        <f t="shared" ca="1" si="30"/>
        <v>59117.712048211426</v>
      </c>
      <c r="U76" s="109">
        <f t="shared" ca="1" si="30"/>
        <v>59130.964169271334</v>
      </c>
      <c r="V76" s="109">
        <f t="shared" ca="1" si="30"/>
        <v>59117.712048211426</v>
      </c>
      <c r="W76" s="110">
        <f t="shared" ca="1" si="30"/>
        <v>29565.482084635667</v>
      </c>
      <c r="X76" s="107">
        <f t="shared" ca="1" si="3"/>
        <v>1325212.105989944</v>
      </c>
    </row>
    <row r="77" spans="1:24" ht="15" customHeight="1" x14ac:dyDescent="0.25">
      <c r="A77" s="75">
        <f>IF('Cash Flow Analysis'!C93="","",'Cash Flow Analysis'!C93)</f>
        <v>28</v>
      </c>
      <c r="B77" s="1085">
        <f ca="1">IF(A77="","",IF(A77&lt;1,0,IF(A77=1,$B$44-'Cash Flow Analysis'!I93,-'Cash Flow Analysis'!I93)))</f>
        <v>1350391.1360037536</v>
      </c>
      <c r="C77" s="108">
        <f t="shared" ref="C77:W77" ca="1" si="31">IF($B$77="","",IF(AND($B$42="Straight Line",C48&lt;=depr_length),$B$77/depr_length,IF(AND($B$42="MACRS",C48&lt;=depr_length+1),$B$77*INDEX(MACRS_Table,MATCH(C48,recovery_year,0),MATCH($B$43,recovery_period,0)),"")))</f>
        <v>50639.667600140761</v>
      </c>
      <c r="D77" s="109">
        <f t="shared" ca="1" si="31"/>
        <v>97484.736108110985</v>
      </c>
      <c r="E77" s="109">
        <f t="shared" ca="1" si="31"/>
        <v>90165.616150970629</v>
      </c>
      <c r="F77" s="109">
        <f t="shared" ca="1" si="31"/>
        <v>83413.660470951858</v>
      </c>
      <c r="G77" s="109">
        <f t="shared" ca="1" si="31"/>
        <v>77147.845599894441</v>
      </c>
      <c r="H77" s="109">
        <f t="shared" ca="1" si="31"/>
        <v>71368.171537798378</v>
      </c>
      <c r="I77" s="109">
        <f t="shared" ca="1" si="31"/>
        <v>66007.118727863475</v>
      </c>
      <c r="J77" s="109">
        <f t="shared" ca="1" si="31"/>
        <v>61064.687170089746</v>
      </c>
      <c r="K77" s="109">
        <f t="shared" ca="1" si="31"/>
        <v>60254.452488487485</v>
      </c>
      <c r="L77" s="109">
        <f t="shared" ca="1" si="31"/>
        <v>60240.948577127449</v>
      </c>
      <c r="M77" s="109">
        <f t="shared" ca="1" si="31"/>
        <v>60254.452488487485</v>
      </c>
      <c r="N77" s="109">
        <f t="shared" ca="1" si="31"/>
        <v>60240.948577127449</v>
      </c>
      <c r="O77" s="109">
        <f t="shared" ca="1" si="31"/>
        <v>60254.452488487485</v>
      </c>
      <c r="P77" s="109">
        <f t="shared" ca="1" si="31"/>
        <v>60240.948577127449</v>
      </c>
      <c r="Q77" s="109">
        <f t="shared" ca="1" si="31"/>
        <v>60254.452488487485</v>
      </c>
      <c r="R77" s="109">
        <f t="shared" ca="1" si="31"/>
        <v>60240.948577127449</v>
      </c>
      <c r="S77" s="109">
        <f t="shared" ca="1" si="31"/>
        <v>60254.452488487485</v>
      </c>
      <c r="T77" s="109">
        <f t="shared" ca="1" si="31"/>
        <v>60240.948577127449</v>
      </c>
      <c r="U77" s="109">
        <f t="shared" ca="1" si="31"/>
        <v>60254.452488487485</v>
      </c>
      <c r="V77" s="109">
        <f t="shared" ca="1" si="31"/>
        <v>60240.948577127449</v>
      </c>
      <c r="W77" s="110">
        <f t="shared" ca="1" si="31"/>
        <v>30127.226244243742</v>
      </c>
      <c r="X77" s="107">
        <f t="shared" ca="1" si="3"/>
        <v>1350391.1360037536</v>
      </c>
    </row>
    <row r="78" spans="1:24" ht="15" customHeight="1" x14ac:dyDescent="0.25">
      <c r="A78" s="75">
        <f>IF('Cash Flow Analysis'!C94="","",'Cash Flow Analysis'!C94)</f>
        <v>29</v>
      </c>
      <c r="B78" s="1085">
        <f ca="1">IF(A78="","",IF(A78&lt;1,0,IF(A78=1,$B$44-'Cash Flow Analysis'!I94,-'Cash Flow Analysis'!I94)))</f>
        <v>30862803.587326929</v>
      </c>
      <c r="C78" s="108">
        <f t="shared" ref="C78:W78" ca="1" si="32">IF($B$78="","",IF(AND($B$42="Straight Line",C48&lt;=depr_length),$B$78/depr_length,IF(AND($B$42="MACRS",C48&lt;=depr_length+1),$B$78*INDEX(MACRS_Table,MATCH(C48,recovery_year,0),MATCH($B$43,recovery_period,0)),"")))</f>
        <v>1157355.1345247598</v>
      </c>
      <c r="D78" s="109">
        <f t="shared" ca="1" si="32"/>
        <v>2227985.790969131</v>
      </c>
      <c r="E78" s="109">
        <f t="shared" ca="1" si="32"/>
        <v>2060709.3955258189</v>
      </c>
      <c r="F78" s="109">
        <f t="shared" ca="1" si="32"/>
        <v>1906395.3775891843</v>
      </c>
      <c r="G78" s="109">
        <f t="shared" ca="1" si="32"/>
        <v>1763191.9689439875</v>
      </c>
      <c r="H78" s="109">
        <f t="shared" ca="1" si="32"/>
        <v>1631099.1695902282</v>
      </c>
      <c r="I78" s="109">
        <f t="shared" ca="1" si="32"/>
        <v>1508573.8393485402</v>
      </c>
      <c r="J78" s="109">
        <f t="shared" ca="1" si="32"/>
        <v>1395615.9782189238</v>
      </c>
      <c r="K78" s="109">
        <f t="shared" ca="1" si="32"/>
        <v>1377098.2960665275</v>
      </c>
      <c r="L78" s="109">
        <f t="shared" ca="1" si="32"/>
        <v>1376789.6680306543</v>
      </c>
      <c r="M78" s="109">
        <f t="shared" ca="1" si="32"/>
        <v>1377098.2960665275</v>
      </c>
      <c r="N78" s="109">
        <f t="shared" ca="1" si="32"/>
        <v>1376789.6680306543</v>
      </c>
      <c r="O78" s="109">
        <f t="shared" ca="1" si="32"/>
        <v>1377098.2960665275</v>
      </c>
      <c r="P78" s="109">
        <f t="shared" ca="1" si="32"/>
        <v>1376789.6680306543</v>
      </c>
      <c r="Q78" s="109">
        <f t="shared" ca="1" si="32"/>
        <v>1377098.2960665275</v>
      </c>
      <c r="R78" s="109">
        <f t="shared" ca="1" si="32"/>
        <v>1376789.6680306543</v>
      </c>
      <c r="S78" s="109">
        <f t="shared" ca="1" si="32"/>
        <v>1377098.2960665275</v>
      </c>
      <c r="T78" s="109">
        <f t="shared" ca="1" si="32"/>
        <v>1376789.6680306543</v>
      </c>
      <c r="U78" s="109">
        <f t="shared" ca="1" si="32"/>
        <v>1377098.2960665275</v>
      </c>
      <c r="V78" s="109">
        <f t="shared" ca="1" si="32"/>
        <v>1376789.6680306543</v>
      </c>
      <c r="W78" s="110">
        <f t="shared" ca="1" si="32"/>
        <v>688549.14803326374</v>
      </c>
      <c r="X78" s="107">
        <f t="shared" ca="1" si="3"/>
        <v>30862803.587326918</v>
      </c>
    </row>
    <row r="79" spans="1:24" ht="15" customHeight="1" x14ac:dyDescent="0.25">
      <c r="A79" s="75">
        <f>IF('Cash Flow Analysis'!C95="","",'Cash Flow Analysis'!C95)</f>
        <v>30</v>
      </c>
      <c r="B79" s="1085">
        <f ca="1">IF(A79="","",IF(A79&lt;1,0,IF(A79=1,$B$44-'Cash Flow Analysis'!I95,-'Cash Flow Analysis'!I95)))</f>
        <v>1402193.4903719933</v>
      </c>
      <c r="C79" s="108">
        <f t="shared" ref="C79:W79" ca="1" si="33">IF($B$79="","",IF(AND($B$42="Straight Line",C48&lt;=depr_length),$B$79/depr_length,IF(AND($B$42="MACRS",C48&lt;=depr_length+1),$B$79*INDEX(MACRS_Table,MATCH(C48,recovery_year,0),MATCH($B$43,recovery_period,0)),"")))</f>
        <v>52582.255888949745</v>
      </c>
      <c r="D79" s="109">
        <f t="shared" ca="1" si="33"/>
        <v>101224.3480699542</v>
      </c>
      <c r="E79" s="109">
        <f t="shared" ca="1" si="33"/>
        <v>93624.459352137987</v>
      </c>
      <c r="F79" s="109">
        <f t="shared" ca="1" si="33"/>
        <v>86613.491900278023</v>
      </c>
      <c r="G79" s="109">
        <f t="shared" ca="1" si="33"/>
        <v>80107.314104951976</v>
      </c>
      <c r="H79" s="109">
        <f t="shared" ca="1" si="33"/>
        <v>74105.925966159848</v>
      </c>
      <c r="I79" s="109">
        <f t="shared" ca="1" si="33"/>
        <v>68539.21780938303</v>
      </c>
      <c r="J79" s="109">
        <f t="shared" ca="1" si="33"/>
        <v>63407.189634621544</v>
      </c>
      <c r="K79" s="109">
        <f t="shared" ca="1" si="33"/>
        <v>62565.873540398337</v>
      </c>
      <c r="L79" s="109">
        <f t="shared" ca="1" si="33"/>
        <v>62551.851605494616</v>
      </c>
      <c r="M79" s="109">
        <f t="shared" ca="1" si="33"/>
        <v>62565.873540398337</v>
      </c>
      <c r="N79" s="109">
        <f t="shared" ca="1" si="33"/>
        <v>62551.851605494616</v>
      </c>
      <c r="O79" s="109">
        <f t="shared" ca="1" si="33"/>
        <v>62565.873540398337</v>
      </c>
      <c r="P79" s="109">
        <f t="shared" ca="1" si="33"/>
        <v>62551.851605494616</v>
      </c>
      <c r="Q79" s="109">
        <f t="shared" ca="1" si="33"/>
        <v>62565.873540398337</v>
      </c>
      <c r="R79" s="109">
        <f t="shared" ca="1" si="33"/>
        <v>62551.851605494616</v>
      </c>
      <c r="S79" s="109">
        <f t="shared" ca="1" si="33"/>
        <v>62565.873540398337</v>
      </c>
      <c r="T79" s="109">
        <f t="shared" ca="1" si="33"/>
        <v>62551.851605494616</v>
      </c>
      <c r="U79" s="109">
        <f t="shared" ca="1" si="33"/>
        <v>62565.873540398337</v>
      </c>
      <c r="V79" s="109">
        <f t="shared" ca="1" si="33"/>
        <v>62551.851605494616</v>
      </c>
      <c r="W79" s="110">
        <f t="shared" ca="1" si="33"/>
        <v>31282.936770199169</v>
      </c>
      <c r="X79" s="107">
        <f t="shared" ca="1" si="3"/>
        <v>1402193.490371993</v>
      </c>
    </row>
    <row r="80" spans="1:24" ht="15" customHeight="1" x14ac:dyDescent="0.25">
      <c r="A80" s="75">
        <f>IF('Cash Flow Analysis'!C96="","",'Cash Flow Analysis'!C96)</f>
        <v>31</v>
      </c>
      <c r="B80" s="1085">
        <f ca="1">IF(A80="","",IF(A80&lt;1,0,IF(A80=1,$B$44-'Cash Flow Analysis'!I96,-'Cash Flow Analysis'!I96)))</f>
        <v>1428835.1666890616</v>
      </c>
      <c r="C80" s="108">
        <f t="shared" ref="C80:W80" ca="1" si="34">IF($B$80="","",IF(AND($B$42="Straight Line",C48&lt;=depr_length),$B$80/depr_length,IF(AND($B$42="MACRS",C48&lt;=depr_length+1),$B$80*INDEX(MACRS_Table,MATCH(C48,recovery_year,0),MATCH($B$43,recovery_period,0)),"")))</f>
        <v>53581.318750839804</v>
      </c>
      <c r="D80" s="109">
        <f t="shared" ca="1" si="34"/>
        <v>103147.61068328336</v>
      </c>
      <c r="E80" s="109">
        <f t="shared" ca="1" si="34"/>
        <v>95403.324079828628</v>
      </c>
      <c r="F80" s="109">
        <f t="shared" ca="1" si="34"/>
        <v>88259.148246383324</v>
      </c>
      <c r="G80" s="109">
        <f t="shared" ca="1" si="34"/>
        <v>81629.353072946091</v>
      </c>
      <c r="H80" s="109">
        <f t="shared" ca="1" si="34"/>
        <v>75513.938559516901</v>
      </c>
      <c r="I80" s="109">
        <f t="shared" ca="1" si="34"/>
        <v>69841.462947761334</v>
      </c>
      <c r="J80" s="109">
        <f t="shared" ca="1" si="34"/>
        <v>64611.92623767937</v>
      </c>
      <c r="K80" s="109">
        <f t="shared" ca="1" si="34"/>
        <v>63754.625137665927</v>
      </c>
      <c r="L80" s="109">
        <f t="shared" ca="1" si="34"/>
        <v>63740.336785999032</v>
      </c>
      <c r="M80" s="109">
        <f t="shared" ca="1" si="34"/>
        <v>63754.625137665927</v>
      </c>
      <c r="N80" s="109">
        <f t="shared" ca="1" si="34"/>
        <v>63740.336785999032</v>
      </c>
      <c r="O80" s="109">
        <f t="shared" ca="1" si="34"/>
        <v>63754.625137665927</v>
      </c>
      <c r="P80" s="109">
        <f t="shared" ca="1" si="34"/>
        <v>63740.336785999032</v>
      </c>
      <c r="Q80" s="109">
        <f t="shared" ca="1" si="34"/>
        <v>63754.625137665927</v>
      </c>
      <c r="R80" s="109">
        <f t="shared" ca="1" si="34"/>
        <v>63740.336785999032</v>
      </c>
      <c r="S80" s="109">
        <f t="shared" ca="1" si="34"/>
        <v>63754.625137665927</v>
      </c>
      <c r="T80" s="109">
        <f t="shared" ca="1" si="34"/>
        <v>63740.336785999032</v>
      </c>
      <c r="U80" s="109">
        <f t="shared" ca="1" si="34"/>
        <v>63754.625137665927</v>
      </c>
      <c r="V80" s="109">
        <f t="shared" ca="1" si="34"/>
        <v>63740.336785999032</v>
      </c>
      <c r="W80" s="110">
        <f t="shared" ca="1" si="34"/>
        <v>31877.312568832964</v>
      </c>
      <c r="X80" s="107">
        <f t="shared" ca="1" si="3"/>
        <v>1428835.1666890616</v>
      </c>
    </row>
    <row r="81" spans="1:24" ht="15" customHeight="1" x14ac:dyDescent="0.25">
      <c r="A81" s="75">
        <f>IF('Cash Flow Analysis'!C97="","",'Cash Flow Analysis'!C97)</f>
        <v>32</v>
      </c>
      <c r="B81" s="1085">
        <f ca="1">IF(A81="","",IF(A81&lt;1,0,IF(A81=1,$B$44-'Cash Flow Analysis'!I97,-'Cash Flow Analysis'!I97)))</f>
        <v>1455983.0348561534</v>
      </c>
      <c r="C81" s="108">
        <f t="shared" ref="C81:W81" ca="1" si="35">IF($B$81="","",IF(AND($B$42="Straight Line",C48&lt;=depr_length),$B$81/depr_length,IF(AND($B$42="MACRS",C48&lt;=depr_length+1),$B$81*INDEX(MACRS_Table,MATCH(C48,recovery_year,0),MATCH($B$43,recovery_period,0)),"")))</f>
        <v>54599.36380710575</v>
      </c>
      <c r="D81" s="109">
        <f t="shared" ca="1" si="35"/>
        <v>105107.41528626572</v>
      </c>
      <c r="E81" s="109">
        <f t="shared" ca="1" si="35"/>
        <v>97215.987237345355</v>
      </c>
      <c r="F81" s="109">
        <f t="shared" ca="1" si="35"/>
        <v>89936.072063064596</v>
      </c>
      <c r="G81" s="109">
        <f t="shared" ca="1" si="35"/>
        <v>83180.310781332038</v>
      </c>
      <c r="H81" s="109">
        <f t="shared" ca="1" si="35"/>
        <v>76948.703392147712</v>
      </c>
      <c r="I81" s="109">
        <f t="shared" ca="1" si="35"/>
        <v>71168.450743768772</v>
      </c>
      <c r="J81" s="109">
        <f t="shared" ca="1" si="35"/>
        <v>65839.55283619526</v>
      </c>
      <c r="K81" s="109">
        <f t="shared" ca="1" si="35"/>
        <v>64965.963015281566</v>
      </c>
      <c r="L81" s="109">
        <f t="shared" ca="1" si="35"/>
        <v>64951.403184932999</v>
      </c>
      <c r="M81" s="109">
        <f t="shared" ca="1" si="35"/>
        <v>64965.963015281566</v>
      </c>
      <c r="N81" s="109">
        <f t="shared" ca="1" si="35"/>
        <v>64951.403184932999</v>
      </c>
      <c r="O81" s="109">
        <f t="shared" ca="1" si="35"/>
        <v>64965.963015281566</v>
      </c>
      <c r="P81" s="109">
        <f t="shared" ca="1" si="35"/>
        <v>64951.403184932999</v>
      </c>
      <c r="Q81" s="109">
        <f t="shared" ca="1" si="35"/>
        <v>64965.963015281566</v>
      </c>
      <c r="R81" s="109">
        <f t="shared" ca="1" si="35"/>
        <v>64951.403184932999</v>
      </c>
      <c r="S81" s="109">
        <f t="shared" ca="1" si="35"/>
        <v>64965.963015281566</v>
      </c>
      <c r="T81" s="109">
        <f t="shared" ca="1" si="35"/>
        <v>64951.403184932999</v>
      </c>
      <c r="U81" s="109">
        <f t="shared" ca="1" si="35"/>
        <v>64965.963015281566</v>
      </c>
      <c r="V81" s="109">
        <f t="shared" ca="1" si="35"/>
        <v>64951.403184932999</v>
      </c>
      <c r="W81" s="110">
        <f t="shared" ca="1" si="35"/>
        <v>32482.981507640783</v>
      </c>
      <c r="X81" s="107">
        <f t="shared" ca="1" si="3"/>
        <v>1455983.0348561532</v>
      </c>
    </row>
    <row r="82" spans="1:24" ht="15" customHeight="1" x14ac:dyDescent="0.25">
      <c r="A82" s="75">
        <f>IF('Cash Flow Analysis'!C98="","",'Cash Flow Analysis'!C98)</f>
        <v>33</v>
      </c>
      <c r="B82" s="1085">
        <f ca="1">IF(A82="","",IF(A82&lt;1,0,IF(A82=1,$B$44-'Cash Flow Analysis'!I98,-'Cash Flow Analysis'!I98)))</f>
        <v>1483646.7125184203</v>
      </c>
      <c r="C82" s="108">
        <f t="shared" ref="C82:W82" ca="1" si="36">IF($B$82="","",IF(AND($B$42="Straight Line",C48&lt;=depr_length),$B$82/depr_length,IF(AND($B$42="MACRS",C48&lt;=depr_length+1),$B$82*INDEX(MACRS_Table,MATCH(C48,recovery_year,0),MATCH($B$43,recovery_period,0)),"")))</f>
        <v>55636.751719440763</v>
      </c>
      <c r="D82" s="109">
        <f t="shared" ca="1" si="36"/>
        <v>107104.45617670477</v>
      </c>
      <c r="E82" s="109">
        <f t="shared" ca="1" si="36"/>
        <v>99063.090994854923</v>
      </c>
      <c r="F82" s="109">
        <f t="shared" ca="1" si="36"/>
        <v>91644.857432262826</v>
      </c>
      <c r="G82" s="109">
        <f t="shared" ca="1" si="36"/>
        <v>84760.736686177348</v>
      </c>
      <c r="H82" s="109">
        <f t="shared" ca="1" si="36"/>
        <v>78410.728756598517</v>
      </c>
      <c r="I82" s="109">
        <f t="shared" ca="1" si="36"/>
        <v>72520.651307900378</v>
      </c>
      <c r="J82" s="109">
        <f t="shared" ca="1" si="36"/>
        <v>67090.504340082975</v>
      </c>
      <c r="K82" s="109">
        <f t="shared" ca="1" si="36"/>
        <v>66200.316312571915</v>
      </c>
      <c r="L82" s="109">
        <f t="shared" ca="1" si="36"/>
        <v>66185.479845446724</v>
      </c>
      <c r="M82" s="109">
        <f t="shared" ca="1" si="36"/>
        <v>66200.316312571915</v>
      </c>
      <c r="N82" s="109">
        <f t="shared" ca="1" si="36"/>
        <v>66185.479845446724</v>
      </c>
      <c r="O82" s="109">
        <f t="shared" ca="1" si="36"/>
        <v>66200.316312571915</v>
      </c>
      <c r="P82" s="109">
        <f t="shared" ca="1" si="36"/>
        <v>66185.479845446724</v>
      </c>
      <c r="Q82" s="109">
        <f t="shared" ca="1" si="36"/>
        <v>66200.316312571915</v>
      </c>
      <c r="R82" s="109">
        <f t="shared" ca="1" si="36"/>
        <v>66185.479845446724</v>
      </c>
      <c r="S82" s="109">
        <f t="shared" ca="1" si="36"/>
        <v>66200.316312571915</v>
      </c>
      <c r="T82" s="109">
        <f t="shared" ca="1" si="36"/>
        <v>66185.479845446724</v>
      </c>
      <c r="U82" s="109">
        <f t="shared" ca="1" si="36"/>
        <v>66200.316312571915</v>
      </c>
      <c r="V82" s="109">
        <f t="shared" ca="1" si="36"/>
        <v>66185.479845446724</v>
      </c>
      <c r="W82" s="110">
        <f t="shared" ca="1" si="36"/>
        <v>33100.158156285957</v>
      </c>
      <c r="X82" s="107">
        <f t="shared" ca="1" si="3"/>
        <v>1483646.7125184208</v>
      </c>
    </row>
    <row r="83" spans="1:24" ht="15" customHeight="1" x14ac:dyDescent="0.25">
      <c r="A83" s="75">
        <f>IF('Cash Flow Analysis'!C99="","",'Cash Flow Analysis'!C99)</f>
        <v>34</v>
      </c>
      <c r="B83" s="1085">
        <f ca="1">IF(A83="","",IF(A83&lt;1,0,IF(A83=1,$B$44-'Cash Flow Analysis'!I99,-'Cash Flow Analysis'!I99)))</f>
        <v>1511836.00005627</v>
      </c>
      <c r="C83" s="108">
        <f t="shared" ref="C83:W83" ca="1" si="37">IF($B$83="","",IF(AND($B$42="Straight Line",C48&lt;=depr_length),$B$83/depr_length,IF(AND($B$42="MACRS",C48&lt;=depr_length+1),$B$83*INDEX(MACRS_Table,MATCH(C48,recovery_year,0),MATCH($B$43,recovery_period,0)),"")))</f>
        <v>56693.850002110128</v>
      </c>
      <c r="D83" s="109">
        <f t="shared" ca="1" si="37"/>
        <v>109139.44084406213</v>
      </c>
      <c r="E83" s="109">
        <f t="shared" ca="1" si="37"/>
        <v>100945.28972375715</v>
      </c>
      <c r="F83" s="109">
        <f t="shared" ca="1" si="37"/>
        <v>93386.109723475805</v>
      </c>
      <c r="G83" s="109">
        <f t="shared" ca="1" si="37"/>
        <v>86371.190683214707</v>
      </c>
      <c r="H83" s="109">
        <f t="shared" ca="1" si="37"/>
        <v>79900.532602973879</v>
      </c>
      <c r="I83" s="109">
        <f t="shared" ca="1" si="37"/>
        <v>73898.543682750475</v>
      </c>
      <c r="J83" s="109">
        <f t="shared" ca="1" si="37"/>
        <v>68365.223922544537</v>
      </c>
      <c r="K83" s="109">
        <f t="shared" ca="1" si="37"/>
        <v>67458.122322510768</v>
      </c>
      <c r="L83" s="109">
        <f t="shared" ca="1" si="37"/>
        <v>67443.003962510207</v>
      </c>
      <c r="M83" s="109">
        <f t="shared" ca="1" si="37"/>
        <v>67458.122322510768</v>
      </c>
      <c r="N83" s="109">
        <f t="shared" ca="1" si="37"/>
        <v>67443.003962510207</v>
      </c>
      <c r="O83" s="109">
        <f t="shared" ca="1" si="37"/>
        <v>67458.122322510768</v>
      </c>
      <c r="P83" s="109">
        <f t="shared" ca="1" si="37"/>
        <v>67443.003962510207</v>
      </c>
      <c r="Q83" s="109">
        <f t="shared" ca="1" si="37"/>
        <v>67458.122322510768</v>
      </c>
      <c r="R83" s="109">
        <f t="shared" ca="1" si="37"/>
        <v>67443.003962510207</v>
      </c>
      <c r="S83" s="109">
        <f t="shared" ca="1" si="37"/>
        <v>67458.122322510768</v>
      </c>
      <c r="T83" s="109">
        <f t="shared" ca="1" si="37"/>
        <v>67443.003962510207</v>
      </c>
      <c r="U83" s="109">
        <f t="shared" ca="1" si="37"/>
        <v>67458.122322510768</v>
      </c>
      <c r="V83" s="109">
        <f t="shared" ca="1" si="37"/>
        <v>67443.003962510207</v>
      </c>
      <c r="W83" s="110">
        <f t="shared" ca="1" si="37"/>
        <v>33729.061161255384</v>
      </c>
      <c r="X83" s="107">
        <f t="shared" ca="1" si="3"/>
        <v>1511836.00005627</v>
      </c>
    </row>
    <row r="84" spans="1:24" ht="15" customHeight="1" x14ac:dyDescent="0.25">
      <c r="A84" s="75">
        <f>IF('Cash Flow Analysis'!C100="","",'Cash Flow Analysis'!C100)</f>
        <v>35</v>
      </c>
      <c r="B84" s="1085">
        <f ca="1">IF(A84="","",IF(A84&lt;1,0,IF(A84=1,$B$44-'Cash Flow Analysis'!I100,-'Cash Flow Analysis'!I100)))</f>
        <v>1540560.8840573393</v>
      </c>
      <c r="C84" s="108">
        <f t="shared" ref="C84:W84" ca="1" si="38">IF($B$84="","",IF(AND($B$42="Straight Line",C48&lt;=depr_length),$B$84/depr_length,IF(AND($B$42="MACRS",C48&lt;=depr_length+1),$B$84*INDEX(MACRS_Table,MATCH(C48,recovery_year,0),MATCH($B$43,recovery_period,0)),"")))</f>
        <v>57771.033152150223</v>
      </c>
      <c r="D84" s="109">
        <f t="shared" ca="1" si="38"/>
        <v>111213.09022009933</v>
      </c>
      <c r="E84" s="109">
        <f t="shared" ca="1" si="38"/>
        <v>102863.25022850854</v>
      </c>
      <c r="F84" s="109">
        <f t="shared" ca="1" si="38"/>
        <v>95160.445808221848</v>
      </c>
      <c r="G84" s="109">
        <f t="shared" ca="1" si="38"/>
        <v>88012.2433061958</v>
      </c>
      <c r="H84" s="109">
        <f t="shared" ca="1" si="38"/>
        <v>81418.642722430377</v>
      </c>
      <c r="I84" s="109">
        <f t="shared" ca="1" si="38"/>
        <v>75302.616012722749</v>
      </c>
      <c r="J84" s="109">
        <f t="shared" ca="1" si="38"/>
        <v>69664.163177072885</v>
      </c>
      <c r="K84" s="109">
        <f t="shared" ca="1" si="38"/>
        <v>68739.826646638481</v>
      </c>
      <c r="L84" s="109">
        <f t="shared" ca="1" si="38"/>
        <v>68724.421037797903</v>
      </c>
      <c r="M84" s="109">
        <f t="shared" ca="1" si="38"/>
        <v>68739.826646638481</v>
      </c>
      <c r="N84" s="109">
        <f t="shared" ca="1" si="38"/>
        <v>68724.421037797903</v>
      </c>
      <c r="O84" s="109">
        <f t="shared" ca="1" si="38"/>
        <v>68739.826646638481</v>
      </c>
      <c r="P84" s="109">
        <f t="shared" ca="1" si="38"/>
        <v>68724.421037797903</v>
      </c>
      <c r="Q84" s="109">
        <f t="shared" ca="1" si="38"/>
        <v>68739.826646638481</v>
      </c>
      <c r="R84" s="109">
        <f t="shared" ca="1" si="38"/>
        <v>68724.421037797903</v>
      </c>
      <c r="S84" s="109">
        <f t="shared" ca="1" si="38"/>
        <v>68739.826646638481</v>
      </c>
      <c r="T84" s="109">
        <f t="shared" ca="1" si="38"/>
        <v>68724.421037797903</v>
      </c>
      <c r="U84" s="109">
        <f t="shared" ca="1" si="38"/>
        <v>68739.826646638481</v>
      </c>
      <c r="V84" s="109">
        <f t="shared" ca="1" si="38"/>
        <v>68724.421037797903</v>
      </c>
      <c r="W84" s="110">
        <f t="shared" ca="1" si="38"/>
        <v>34369.913323319241</v>
      </c>
      <c r="X84" s="107">
        <f t="shared" ca="1" si="3"/>
        <v>1540560.8840573393</v>
      </c>
    </row>
    <row r="85" spans="1:24" ht="15" customHeight="1" x14ac:dyDescent="0.25">
      <c r="A85" s="75">
        <f>IF('Cash Flow Analysis'!C101="","",'Cash Flow Analysis'!C101)</f>
        <v>36</v>
      </c>
      <c r="B85" s="1085">
        <f ca="1">IF(A85="","",IF(A85&lt;1,0,IF(A85=1,$B$44-'Cash Flow Analysis'!I101,-'Cash Flow Analysis'!I101)))</f>
        <v>35209078.844877906</v>
      </c>
      <c r="C85" s="108">
        <f t="shared" ref="C85:W85" ca="1" si="39">IF($B$85="","",IF(AND($B$42="Straight Line",C48&lt;=depr_length),$B$85/depr_length,IF(AND($B$42="MACRS",C48&lt;=depr_length+1),$B$85*INDEX(MACRS_Table,MATCH(C48,recovery_year,0),MATCH($B$43,recovery_period,0)),"")))</f>
        <v>1320340.4566829214</v>
      </c>
      <c r="D85" s="109">
        <f t="shared" ca="1" si="39"/>
        <v>2541743.4018117362</v>
      </c>
      <c r="E85" s="109">
        <f t="shared" ca="1" si="39"/>
        <v>2350910.1944724978</v>
      </c>
      <c r="F85" s="109">
        <f t="shared" ca="1" si="39"/>
        <v>2174864.8002481083</v>
      </c>
      <c r="G85" s="109">
        <f t="shared" ca="1" si="39"/>
        <v>2011494.6744078747</v>
      </c>
      <c r="H85" s="109">
        <f t="shared" ca="1" si="39"/>
        <v>1860799.8169517973</v>
      </c>
      <c r="I85" s="109">
        <f t="shared" ca="1" si="39"/>
        <v>1721019.7739376321</v>
      </c>
      <c r="J85" s="109">
        <f t="shared" ca="1" si="39"/>
        <v>1592154.545365379</v>
      </c>
      <c r="K85" s="109">
        <f t="shared" ca="1" si="39"/>
        <v>1571029.0980584521</v>
      </c>
      <c r="L85" s="109">
        <f t="shared" ca="1" si="39"/>
        <v>1570677.0072700032</v>
      </c>
      <c r="M85" s="109">
        <f t="shared" ca="1" si="39"/>
        <v>1571029.0980584521</v>
      </c>
      <c r="N85" s="109">
        <f t="shared" ca="1" si="39"/>
        <v>1570677.0072700032</v>
      </c>
      <c r="O85" s="109">
        <f t="shared" ca="1" si="39"/>
        <v>1571029.0980584521</v>
      </c>
      <c r="P85" s="109">
        <f t="shared" ca="1" si="39"/>
        <v>1570677.0072700032</v>
      </c>
      <c r="Q85" s="109">
        <f t="shared" ca="1" si="39"/>
        <v>1571029.0980584521</v>
      </c>
      <c r="R85" s="109">
        <f t="shared" ca="1" si="39"/>
        <v>1570677.0072700032</v>
      </c>
      <c r="S85" s="109">
        <f t="shared" ca="1" si="39"/>
        <v>1571029.0980584521</v>
      </c>
      <c r="T85" s="109">
        <f t="shared" ca="1" si="39"/>
        <v>1570677.0072700032</v>
      </c>
      <c r="U85" s="109">
        <f t="shared" ca="1" si="39"/>
        <v>1571029.0980584521</v>
      </c>
      <c r="V85" s="109">
        <f t="shared" ca="1" si="39"/>
        <v>1570677.0072700032</v>
      </c>
      <c r="W85" s="110">
        <f t="shared" ca="1" si="39"/>
        <v>785514.54902922607</v>
      </c>
      <c r="X85" s="107">
        <f t="shared" ca="1" si="3"/>
        <v>35209078.844877899</v>
      </c>
    </row>
    <row r="86" spans="1:24" ht="15" customHeight="1" x14ac:dyDescent="0.25">
      <c r="A86" s="75">
        <f>IF('Cash Flow Analysis'!C102="","",'Cash Flow Analysis'!C102)</f>
        <v>37</v>
      </c>
      <c r="B86" s="1085">
        <f ca="1">IF(A86="","",IF(A86&lt;1,0,IF(A86=1,$B$44-'Cash Flow Analysis'!I102,-'Cash Flow Analysis'!I102)))</f>
        <v>1599658.3401306628</v>
      </c>
      <c r="C86" s="108">
        <f t="shared" ref="C86:W86" ca="1" si="40">IF($B$86="","",IF(AND($B$42="Straight Line",C48&lt;=depr_length),$B$86/depr_length,IF(AND($B$42="MACRS",C48&lt;=depr_length+1),$B$86*INDEX(MACRS_Table,MATCH(C48,recovery_year,0),MATCH($B$43,recovery_period,0)),"")))</f>
        <v>59987.187754899853</v>
      </c>
      <c r="D86" s="109">
        <f t="shared" ca="1" si="40"/>
        <v>115479.33557403255</v>
      </c>
      <c r="E86" s="109">
        <f t="shared" ca="1" si="40"/>
        <v>106809.18737052435</v>
      </c>
      <c r="F86" s="109">
        <f t="shared" ca="1" si="40"/>
        <v>98810.895669871039</v>
      </c>
      <c r="G86" s="109">
        <f t="shared" ca="1" si="40"/>
        <v>91388.480971664758</v>
      </c>
      <c r="H86" s="109">
        <f t="shared" ca="1" si="40"/>
        <v>84541.943275905534</v>
      </c>
      <c r="I86" s="109">
        <f t="shared" ca="1" si="40"/>
        <v>78191.29966558679</v>
      </c>
      <c r="J86" s="109">
        <f t="shared" ca="1" si="40"/>
        <v>72336.550140708583</v>
      </c>
      <c r="K86" s="109">
        <f t="shared" ca="1" si="40"/>
        <v>71376.755136630178</v>
      </c>
      <c r="L86" s="109">
        <f t="shared" ca="1" si="40"/>
        <v>71360.758553228865</v>
      </c>
      <c r="M86" s="109">
        <f t="shared" ca="1" si="40"/>
        <v>71376.755136630178</v>
      </c>
      <c r="N86" s="109">
        <f t="shared" ca="1" si="40"/>
        <v>71360.758553228865</v>
      </c>
      <c r="O86" s="109">
        <f t="shared" ca="1" si="40"/>
        <v>71376.755136630178</v>
      </c>
      <c r="P86" s="109">
        <f t="shared" ca="1" si="40"/>
        <v>71360.758553228865</v>
      </c>
      <c r="Q86" s="109">
        <f t="shared" ca="1" si="40"/>
        <v>71376.755136630178</v>
      </c>
      <c r="R86" s="109">
        <f t="shared" ca="1" si="40"/>
        <v>71360.758553228865</v>
      </c>
      <c r="S86" s="109">
        <f t="shared" ca="1" si="40"/>
        <v>71376.755136630178</v>
      </c>
      <c r="T86" s="109">
        <f t="shared" ca="1" si="40"/>
        <v>71360.758553228865</v>
      </c>
      <c r="U86" s="109">
        <f t="shared" ca="1" si="40"/>
        <v>71376.755136630178</v>
      </c>
      <c r="V86" s="109">
        <f t="shared" ca="1" si="40"/>
        <v>71360.758553228865</v>
      </c>
      <c r="W86" s="110">
        <f t="shared" ca="1" si="40"/>
        <v>35688.377568315089</v>
      </c>
      <c r="X86" s="107">
        <f t="shared" ca="1" si="3"/>
        <v>1599658.3401306628</v>
      </c>
    </row>
    <row r="87" spans="1:24" ht="15" customHeight="1" x14ac:dyDescent="0.25">
      <c r="A87" s="75">
        <f>IF('Cash Flow Analysis'!C103="","",'Cash Flow Analysis'!C103)</f>
        <v>38</v>
      </c>
      <c r="B87" s="1085">
        <f ca="1">IF(A87="","",IF(A87&lt;1,0,IF(A87=1,$B$44-'Cash Flow Analysis'!I103,-'Cash Flow Analysis'!I103)))</f>
        <v>1630051.8485931449</v>
      </c>
      <c r="C87" s="108">
        <f t="shared" ref="C87:W87" ca="1" si="41">IF($B$87="","",IF(AND($B$42="Straight Line",C48&lt;=depr_length),$B$87/depr_length,IF(AND($B$42="MACRS",C48&lt;=depr_length+1),$B$87*INDEX(MACRS_Table,MATCH(C48,recovery_year,0),MATCH($B$43,recovery_period,0)),"")))</f>
        <v>61126.944322242933</v>
      </c>
      <c r="D87" s="109">
        <f t="shared" ca="1" si="41"/>
        <v>117673.44294993914</v>
      </c>
      <c r="E87" s="109">
        <f t="shared" ca="1" si="41"/>
        <v>108838.56193056428</v>
      </c>
      <c r="F87" s="109">
        <f t="shared" ca="1" si="41"/>
        <v>100688.30268759855</v>
      </c>
      <c r="G87" s="109">
        <f t="shared" ca="1" si="41"/>
        <v>93124.862110126371</v>
      </c>
      <c r="H87" s="109">
        <f t="shared" ca="1" si="41"/>
        <v>86148.240198147716</v>
      </c>
      <c r="I87" s="109">
        <f t="shared" ca="1" si="41"/>
        <v>79676.934359232924</v>
      </c>
      <c r="J87" s="109">
        <f t="shared" ca="1" si="41"/>
        <v>73710.944593382024</v>
      </c>
      <c r="K87" s="109">
        <f t="shared" ca="1" si="41"/>
        <v>72732.913484226126</v>
      </c>
      <c r="L87" s="109">
        <f t="shared" ca="1" si="41"/>
        <v>72716.612965740191</v>
      </c>
      <c r="M87" s="109">
        <f t="shared" ca="1" si="41"/>
        <v>72732.913484226126</v>
      </c>
      <c r="N87" s="109">
        <f t="shared" ca="1" si="41"/>
        <v>72716.612965740191</v>
      </c>
      <c r="O87" s="109">
        <f t="shared" ca="1" si="41"/>
        <v>72732.913484226126</v>
      </c>
      <c r="P87" s="109">
        <f t="shared" ca="1" si="41"/>
        <v>72716.612965740191</v>
      </c>
      <c r="Q87" s="109">
        <f t="shared" ca="1" si="41"/>
        <v>72732.913484226126</v>
      </c>
      <c r="R87" s="109">
        <f t="shared" ca="1" si="41"/>
        <v>72716.612965740191</v>
      </c>
      <c r="S87" s="109">
        <f t="shared" ca="1" si="41"/>
        <v>72732.913484226126</v>
      </c>
      <c r="T87" s="109">
        <f t="shared" ca="1" si="41"/>
        <v>72716.612965740191</v>
      </c>
      <c r="U87" s="109">
        <f t="shared" ca="1" si="41"/>
        <v>72732.913484226126</v>
      </c>
      <c r="V87" s="109">
        <f t="shared" ca="1" si="41"/>
        <v>72716.612965740191</v>
      </c>
      <c r="W87" s="110">
        <f t="shared" ca="1" si="41"/>
        <v>36366.456742113063</v>
      </c>
      <c r="X87" s="107">
        <f t="shared" ca="1" si="3"/>
        <v>1630051.8485931454</v>
      </c>
    </row>
    <row r="88" spans="1:24" ht="15" customHeight="1" x14ac:dyDescent="0.25">
      <c r="A88" s="75">
        <f>IF('Cash Flow Analysis'!C104="","",'Cash Flow Analysis'!C104)</f>
        <v>39</v>
      </c>
      <c r="B88" s="1085">
        <f ca="1">IF(A88="","",IF(A88&lt;1,0,IF(A88=1,$B$44-'Cash Flow Analysis'!I104,-'Cash Flow Analysis'!I104)))</f>
        <v>1661022.8337164151</v>
      </c>
      <c r="C88" s="108">
        <f t="shared" ref="C88:W88" ca="1" si="42">IF($B$88="","",IF(AND($B$42="Straight Line",C48&lt;=depr_length),$B$88/depr_length,IF(AND($B$42="MACRS",C48&lt;=depr_length+1),$B$88*INDEX(MACRS_Table,MATCH(C48,recovery_year,0),MATCH($B$43,recovery_period,0)),"")))</f>
        <v>62288.35626436556</v>
      </c>
      <c r="D88" s="109">
        <f t="shared" ca="1" si="42"/>
        <v>119909.23836598801</v>
      </c>
      <c r="E88" s="109">
        <f t="shared" ca="1" si="42"/>
        <v>110906.49460724503</v>
      </c>
      <c r="F88" s="109">
        <f t="shared" ca="1" si="42"/>
        <v>102601.38043866296</v>
      </c>
      <c r="G88" s="109">
        <f t="shared" ca="1" si="42"/>
        <v>94894.234490218791</v>
      </c>
      <c r="H88" s="109">
        <f t="shared" ca="1" si="42"/>
        <v>87785.056761912536</v>
      </c>
      <c r="I88" s="109">
        <f t="shared" ca="1" si="42"/>
        <v>81190.796112058364</v>
      </c>
      <c r="J88" s="109">
        <f t="shared" ca="1" si="42"/>
        <v>75111.45254065629</v>
      </c>
      <c r="K88" s="109">
        <f t="shared" ca="1" si="42"/>
        <v>74114.838840426441</v>
      </c>
      <c r="L88" s="109">
        <f t="shared" ca="1" si="42"/>
        <v>74098.228612089268</v>
      </c>
      <c r="M88" s="109">
        <f t="shared" ca="1" si="42"/>
        <v>74114.838840426441</v>
      </c>
      <c r="N88" s="109">
        <f t="shared" ca="1" si="42"/>
        <v>74098.228612089268</v>
      </c>
      <c r="O88" s="109">
        <f t="shared" ca="1" si="42"/>
        <v>74114.838840426441</v>
      </c>
      <c r="P88" s="109">
        <f t="shared" ca="1" si="42"/>
        <v>74098.228612089268</v>
      </c>
      <c r="Q88" s="109">
        <f t="shared" ca="1" si="42"/>
        <v>74114.838840426441</v>
      </c>
      <c r="R88" s="109">
        <f t="shared" ca="1" si="42"/>
        <v>74098.228612089268</v>
      </c>
      <c r="S88" s="109">
        <f t="shared" ca="1" si="42"/>
        <v>74114.838840426441</v>
      </c>
      <c r="T88" s="109">
        <f t="shared" ca="1" si="42"/>
        <v>74098.228612089268</v>
      </c>
      <c r="U88" s="109">
        <f t="shared" ca="1" si="42"/>
        <v>74114.838840426441</v>
      </c>
      <c r="V88" s="109">
        <f t="shared" ca="1" si="42"/>
        <v>74098.228612089268</v>
      </c>
      <c r="W88" s="110">
        <f t="shared" ca="1" si="42"/>
        <v>37057.41942021322</v>
      </c>
      <c r="X88" s="107">
        <f t="shared" ca="1" si="3"/>
        <v>1661022.8337164151</v>
      </c>
    </row>
    <row r="89" spans="1:24" ht="15" customHeight="1" x14ac:dyDescent="0.25">
      <c r="A89" s="75">
        <f>IF('Cash Flow Analysis'!C105="","",'Cash Flow Analysis'!C105)</f>
        <v>40</v>
      </c>
      <c r="B89" s="1085">
        <f ca="1">IF(A89="","",IF(A89&lt;1,0,IF(A89=1,$B$44-'Cash Flow Analysis'!I105,-'Cash Flow Analysis'!I105)))</f>
        <v>1692582.2675570271</v>
      </c>
      <c r="C89" s="108">
        <f t="shared" ref="C89:W89" ca="1" si="43">IF($B$89="","",IF(AND($B$42="Straight Line",C48&lt;=depr_length),$B$89/depr_length,IF(AND($B$42="MACRS",C48&lt;=depr_length+1),$B$89*INDEX(MACRS_Table,MATCH(C48,recovery_year,0),MATCH($B$43,recovery_period,0)),"")))</f>
        <v>63471.83503338851</v>
      </c>
      <c r="D89" s="109">
        <f t="shared" ca="1" si="43"/>
        <v>122187.51389494179</v>
      </c>
      <c r="E89" s="109">
        <f t="shared" ca="1" si="43"/>
        <v>113013.71800478268</v>
      </c>
      <c r="F89" s="109">
        <f t="shared" ca="1" si="43"/>
        <v>104550.80666699755</v>
      </c>
      <c r="G89" s="109">
        <f t="shared" ca="1" si="43"/>
        <v>96697.224945532958</v>
      </c>
      <c r="H89" s="109">
        <f t="shared" ca="1" si="43"/>
        <v>89452.972840388888</v>
      </c>
      <c r="I89" s="109">
        <f t="shared" ca="1" si="43"/>
        <v>82733.421238187482</v>
      </c>
      <c r="J89" s="109">
        <f t="shared" ca="1" si="43"/>
        <v>76538.570138928771</v>
      </c>
      <c r="K89" s="109">
        <f t="shared" ca="1" si="43"/>
        <v>75523.020778394552</v>
      </c>
      <c r="L89" s="109">
        <f t="shared" ca="1" si="43"/>
        <v>75506.094955718974</v>
      </c>
      <c r="M89" s="109">
        <f t="shared" ca="1" si="43"/>
        <v>75523.020778394552</v>
      </c>
      <c r="N89" s="109">
        <f t="shared" ca="1" si="43"/>
        <v>75506.094955718974</v>
      </c>
      <c r="O89" s="109">
        <f t="shared" ca="1" si="43"/>
        <v>75523.020778394552</v>
      </c>
      <c r="P89" s="109">
        <f t="shared" ca="1" si="43"/>
        <v>75506.094955718974</v>
      </c>
      <c r="Q89" s="109">
        <f t="shared" ca="1" si="43"/>
        <v>75523.020778394552</v>
      </c>
      <c r="R89" s="109">
        <f t="shared" ca="1" si="43"/>
        <v>75506.094955718974</v>
      </c>
      <c r="S89" s="109">
        <f t="shared" ca="1" si="43"/>
        <v>75523.020778394552</v>
      </c>
      <c r="T89" s="109">
        <f t="shared" ca="1" si="43"/>
        <v>75506.094955718974</v>
      </c>
      <c r="U89" s="109">
        <f t="shared" ca="1" si="43"/>
        <v>75523.020778394552</v>
      </c>
      <c r="V89" s="109">
        <f t="shared" ca="1" si="43"/>
        <v>75506.094955718974</v>
      </c>
      <c r="W89" s="110">
        <f t="shared" ca="1" si="43"/>
        <v>37761.510389197276</v>
      </c>
      <c r="X89" s="107">
        <f t="shared" ca="1" si="3"/>
        <v>1692582.2675570275</v>
      </c>
    </row>
    <row r="90" spans="1:24" ht="15" customHeight="1" x14ac:dyDescent="0.25">
      <c r="A90" s="75" t="str">
        <f>IF('Cash Flow Analysis'!C106="","",'Cash Flow Analysis'!C106)</f>
        <v/>
      </c>
      <c r="B90" s="1085" t="str">
        <f>IF(A90="","",IF(A90&lt;1,0,IF(A90=1,$B$44-'Cash Flow Analysis'!I106,-'Cash Flow Analysis'!I106)))</f>
        <v/>
      </c>
      <c r="C90" s="108" t="str">
        <f t="shared" ref="C90:W90" si="44">IF($B$90="","",IF(AND($B$42="Straight Line",C48&lt;=depr_length),$B$90/depr_length,IF(AND($B$42="MACRS",C48&lt;=depr_length+1),$B$90*INDEX(MACRS_Table,MATCH(C48,recovery_year,0),MATCH($B$43,recovery_period,0)),"")))</f>
        <v/>
      </c>
      <c r="D90" s="109" t="str">
        <f t="shared" si="44"/>
        <v/>
      </c>
      <c r="E90" s="109" t="str">
        <f t="shared" si="44"/>
        <v/>
      </c>
      <c r="F90" s="109" t="str">
        <f t="shared" si="44"/>
        <v/>
      </c>
      <c r="G90" s="109" t="str">
        <f t="shared" si="44"/>
        <v/>
      </c>
      <c r="H90" s="109" t="str">
        <f t="shared" si="44"/>
        <v/>
      </c>
      <c r="I90" s="109" t="str">
        <f t="shared" si="44"/>
        <v/>
      </c>
      <c r="J90" s="109" t="str">
        <f t="shared" si="44"/>
        <v/>
      </c>
      <c r="K90" s="109" t="str">
        <f t="shared" si="44"/>
        <v/>
      </c>
      <c r="L90" s="109" t="str">
        <f t="shared" si="44"/>
        <v/>
      </c>
      <c r="M90" s="109" t="str">
        <f t="shared" si="44"/>
        <v/>
      </c>
      <c r="N90" s="109" t="str">
        <f t="shared" si="44"/>
        <v/>
      </c>
      <c r="O90" s="109" t="str">
        <f t="shared" si="44"/>
        <v/>
      </c>
      <c r="P90" s="109" t="str">
        <f t="shared" si="44"/>
        <v/>
      </c>
      <c r="Q90" s="109" t="str">
        <f t="shared" si="44"/>
        <v/>
      </c>
      <c r="R90" s="109" t="str">
        <f t="shared" si="44"/>
        <v/>
      </c>
      <c r="S90" s="109" t="str">
        <f t="shared" si="44"/>
        <v/>
      </c>
      <c r="T90" s="109" t="str">
        <f t="shared" si="44"/>
        <v/>
      </c>
      <c r="U90" s="109" t="str">
        <f t="shared" si="44"/>
        <v/>
      </c>
      <c r="V90" s="109" t="str">
        <f t="shared" si="44"/>
        <v/>
      </c>
      <c r="W90" s="110" t="str">
        <f t="shared" si="44"/>
        <v/>
      </c>
      <c r="X90" s="107">
        <f t="shared" si="3"/>
        <v>0</v>
      </c>
    </row>
    <row r="91" spans="1:24" ht="15" customHeight="1" x14ac:dyDescent="0.25">
      <c r="A91" s="75" t="str">
        <f>IF('Cash Flow Analysis'!C107="","",'Cash Flow Analysis'!C107)</f>
        <v/>
      </c>
      <c r="B91" s="1085" t="str">
        <f>IF(A91="","",IF(A91&lt;1,0,IF(A91=1,$B$44-'Cash Flow Analysis'!I107,-'Cash Flow Analysis'!I107)))</f>
        <v/>
      </c>
      <c r="C91" s="108" t="str">
        <f t="shared" ref="C91:W91" si="45">IF($B$91="","",IF(AND($B$42="Straight Line",C48&lt;=depr_length),$B$91/depr_length,IF(AND($B$42="MACRS",C48&lt;=depr_length+1),$B$91*INDEX(MACRS_Table,MATCH(C48,recovery_year,0),MATCH($B$43,recovery_period,0)),"")))</f>
        <v/>
      </c>
      <c r="D91" s="109" t="str">
        <f t="shared" si="45"/>
        <v/>
      </c>
      <c r="E91" s="109" t="str">
        <f t="shared" si="45"/>
        <v/>
      </c>
      <c r="F91" s="109" t="str">
        <f t="shared" si="45"/>
        <v/>
      </c>
      <c r="G91" s="109" t="str">
        <f t="shared" si="45"/>
        <v/>
      </c>
      <c r="H91" s="109" t="str">
        <f t="shared" si="45"/>
        <v/>
      </c>
      <c r="I91" s="109" t="str">
        <f t="shared" si="45"/>
        <v/>
      </c>
      <c r="J91" s="109" t="str">
        <f t="shared" si="45"/>
        <v/>
      </c>
      <c r="K91" s="109" t="str">
        <f t="shared" si="45"/>
        <v/>
      </c>
      <c r="L91" s="109" t="str">
        <f t="shared" si="45"/>
        <v/>
      </c>
      <c r="M91" s="109" t="str">
        <f t="shared" si="45"/>
        <v/>
      </c>
      <c r="N91" s="109" t="str">
        <f t="shared" si="45"/>
        <v/>
      </c>
      <c r="O91" s="109" t="str">
        <f t="shared" si="45"/>
        <v/>
      </c>
      <c r="P91" s="109" t="str">
        <f t="shared" si="45"/>
        <v/>
      </c>
      <c r="Q91" s="109" t="str">
        <f t="shared" si="45"/>
        <v/>
      </c>
      <c r="R91" s="109" t="str">
        <f t="shared" si="45"/>
        <v/>
      </c>
      <c r="S91" s="109" t="str">
        <f t="shared" si="45"/>
        <v/>
      </c>
      <c r="T91" s="109" t="str">
        <f t="shared" si="45"/>
        <v/>
      </c>
      <c r="U91" s="109" t="str">
        <f t="shared" si="45"/>
        <v/>
      </c>
      <c r="V91" s="109" t="str">
        <f t="shared" si="45"/>
        <v/>
      </c>
      <c r="W91" s="110" t="str">
        <f t="shared" si="45"/>
        <v/>
      </c>
      <c r="X91" s="107">
        <f t="shared" si="3"/>
        <v>0</v>
      </c>
    </row>
    <row r="92" spans="1:24" ht="15" customHeight="1" thickBot="1" x14ac:dyDescent="0.3">
      <c r="A92" s="79" t="str">
        <f>IF('Cash Flow Analysis'!C108="","",'Cash Flow Analysis'!C108)</f>
        <v/>
      </c>
      <c r="B92" s="1085"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5">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3">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4">
      <c r="A95" s="98" t="s">
        <v>59</v>
      </c>
      <c r="B95" s="64"/>
      <c r="C95" s="65"/>
    </row>
    <row r="96" spans="1:24" ht="31.15" customHeight="1" thickTop="1" x14ac:dyDescent="0.3">
      <c r="A96" s="116" t="s">
        <v>56</v>
      </c>
      <c r="B96" s="117" t="s">
        <v>60</v>
      </c>
      <c r="C96" s="118" t="s">
        <v>61</v>
      </c>
    </row>
    <row r="97" spans="1:3" ht="15" customHeight="1" x14ac:dyDescent="0.25">
      <c r="A97" s="94">
        <f>IF('Cash Flow Analysis'!C65="","",'Cash Flow Analysis'!C65)</f>
        <v>-1</v>
      </c>
      <c r="B97" s="109">
        <f>C49</f>
        <v>0</v>
      </c>
      <c r="C97" s="119">
        <f t="shared" ref="C97:C140" si="47">IF(A97="",B97,0)</f>
        <v>0</v>
      </c>
    </row>
    <row r="98" spans="1:3" ht="15" customHeight="1" x14ac:dyDescent="0.25">
      <c r="A98" s="94">
        <f>IF('Cash Flow Analysis'!C66="","",'Cash Flow Analysis'!C66)</f>
        <v>1</v>
      </c>
      <c r="B98" s="109">
        <f ca="1">SUM(D49,C50)</f>
        <v>6009672.4550625868</v>
      </c>
      <c r="C98" s="119">
        <f t="shared" si="47"/>
        <v>0</v>
      </c>
    </row>
    <row r="99" spans="1:3" ht="15" customHeight="1" x14ac:dyDescent="0.25">
      <c r="A99" s="94">
        <f>IF('Cash Flow Analysis'!C67="","",'Cash Flow Analysis'!C67)</f>
        <v>2</v>
      </c>
      <c r="B99" s="109">
        <f ca="1">SUM(E49,D50,C51)</f>
        <v>11600063.004832361</v>
      </c>
      <c r="C99" s="119">
        <f t="shared" si="47"/>
        <v>0</v>
      </c>
    </row>
    <row r="100" spans="1:3" ht="15" customHeight="1" x14ac:dyDescent="0.25">
      <c r="A100" s="94">
        <f>IF('Cash Flow Analysis'!C68="","",'Cash Flow Analysis'!C68)</f>
        <v>3</v>
      </c>
      <c r="B100" s="109">
        <f ca="1">SUM(F49,E50,D51,C52)</f>
        <v>10791814.448694967</v>
      </c>
      <c r="C100" s="119">
        <f t="shared" si="47"/>
        <v>0</v>
      </c>
    </row>
    <row r="101" spans="1:3" ht="15" customHeight="1" x14ac:dyDescent="0.25">
      <c r="A101" s="94">
        <f>IF('Cash Flow Analysis'!C69="","",'Cash Flow Analysis'!C69)</f>
        <v>4</v>
      </c>
      <c r="B101" s="109">
        <f ca="1">SUM(G49,F50,E51,D52,C53)</f>
        <v>10047534.13183718</v>
      </c>
      <c r="C101" s="119">
        <f t="shared" si="47"/>
        <v>0</v>
      </c>
    </row>
    <row r="102" spans="1:3" ht="15" customHeight="1" x14ac:dyDescent="0.25">
      <c r="A102" s="94">
        <f>IF('Cash Flow Analysis'!C70="","",'Cash Flow Analysis'!C70)</f>
        <v>5</v>
      </c>
      <c r="B102" s="109">
        <f ca="1">SUM(H49,G50,F51,E52,D53,C54)</f>
        <v>9357890.796879651</v>
      </c>
      <c r="C102" s="119">
        <f t="shared" si="47"/>
        <v>0</v>
      </c>
    </row>
    <row r="103" spans="1:3" ht="15" customHeight="1" x14ac:dyDescent="0.25">
      <c r="A103" s="94">
        <f>IF('Cash Flow Analysis'!C71="","",'Cash Flow Analysis'!C71)</f>
        <v>6</v>
      </c>
      <c r="B103" s="109">
        <f ca="1">SUM(I49,H50,G51,F52,E53,D54,C55)</f>
        <v>8723124.3939091451</v>
      </c>
      <c r="C103" s="119">
        <f t="shared" si="47"/>
        <v>0</v>
      </c>
    </row>
    <row r="104" spans="1:3" ht="15" customHeight="1" x14ac:dyDescent="0.25">
      <c r="A104" s="94">
        <f>IF('Cash Flow Analysis'!C72="","",'Cash Flow Analysis'!C72)</f>
        <v>7</v>
      </c>
      <c r="B104" s="109">
        <f ca="1">SUM(J49,I50,H51,G52,F53,E54,D55,C56)</f>
        <v>8135466.5354573159</v>
      </c>
      <c r="C104" s="119">
        <f t="shared" si="47"/>
        <v>0</v>
      </c>
    </row>
    <row r="105" spans="1:3" ht="15" customHeight="1" x14ac:dyDescent="0.25">
      <c r="A105" s="94">
        <f>IF('Cash Flow Analysis'!C73="","",'Cash Flow Analysis'!C73)</f>
        <v>8</v>
      </c>
      <c r="B105" s="109">
        <f ca="1">SUM(K49,J50,I51,H52,G53,F54,E55,D56,C57)</f>
        <v>8339857.6202976229</v>
      </c>
      <c r="C105" s="119">
        <f t="shared" si="47"/>
        <v>0</v>
      </c>
    </row>
    <row r="106" spans="1:3" ht="15" customHeight="1" x14ac:dyDescent="0.25">
      <c r="A106" s="94">
        <f>IF('Cash Flow Analysis'!C74="","",'Cash Flow Analysis'!C74)</f>
        <v>9</v>
      </c>
      <c r="B106" s="109">
        <f ca="1">SUM(L49,K50,J51,I52,H53,G54,F55,E56,D57,C58)</f>
        <v>8976680.7404064275</v>
      </c>
      <c r="C106" s="119">
        <f t="shared" si="47"/>
        <v>0</v>
      </c>
    </row>
    <row r="107" spans="1:3" ht="15" customHeight="1" x14ac:dyDescent="0.25">
      <c r="A107" s="94">
        <f>IF('Cash Flow Analysis'!C75="","",'Cash Flow Analysis'!C75)</f>
        <v>10</v>
      </c>
      <c r="B107" s="109">
        <f ca="1">SUM(M49,L50,K51,J52,I53,H54,G55,F56,E57,D58,C59)</f>
        <v>8911830.2888275478</v>
      </c>
      <c r="C107" s="119">
        <f t="shared" si="47"/>
        <v>0</v>
      </c>
    </row>
    <row r="108" spans="1:3" ht="15" customHeight="1" x14ac:dyDescent="0.25">
      <c r="A108" s="94">
        <f>IF('Cash Flow Analysis'!C76="","",'Cash Flow Analysis'!C76)</f>
        <v>11</v>
      </c>
      <c r="B108" s="109">
        <f ca="1">SUM(N49,M50,L51,K52,J53,I54,H55,G56,F57,E58,D59,C60)</f>
        <v>8859361.1488341205</v>
      </c>
      <c r="C108" s="119">
        <f t="shared" si="47"/>
        <v>0</v>
      </c>
    </row>
    <row r="109" spans="1:3" ht="15" customHeight="1" x14ac:dyDescent="0.25">
      <c r="A109" s="94">
        <f>IF('Cash Flow Analysis'!C77="","",'Cash Flow Analysis'!C77)</f>
        <v>12</v>
      </c>
      <c r="B109" s="109">
        <f ca="1">SUM(O49,N50,M51,L52,K53,J54,I55,H56,G57,F58,E59,D60,C61)</f>
        <v>8811703.8549316935</v>
      </c>
      <c r="C109" s="119">
        <f t="shared" si="47"/>
        <v>0</v>
      </c>
    </row>
    <row r="110" spans="1:3" ht="15" customHeight="1" x14ac:dyDescent="0.25">
      <c r="A110" s="94">
        <f>IF('Cash Flow Analysis'!C78="","",'Cash Flow Analysis'!C78)</f>
        <v>13</v>
      </c>
      <c r="B110" s="109">
        <f ca="1">SUM(P49,O50,N51,M52,L53,K54,J55,I56,H57,G58,F59,E60,D61,C62)</f>
        <v>8775268.6520582754</v>
      </c>
      <c r="C110" s="119">
        <f t="shared" si="47"/>
        <v>0</v>
      </c>
    </row>
    <row r="111" spans="1:3" ht="15" customHeight="1" x14ac:dyDescent="0.25">
      <c r="A111" s="94">
        <f>IF('Cash Flow Analysis'!C79="","",'Cash Flow Analysis'!C79)</f>
        <v>14</v>
      </c>
      <c r="B111" s="109">
        <f ca="1">SUM(Q49,P50,O51,N52,M53,L54,K55,J56,I57,H58,G59,F60,E61,D62,C63)</f>
        <v>8742685.2847701088</v>
      </c>
      <c r="C111" s="119">
        <f t="shared" si="47"/>
        <v>0</v>
      </c>
    </row>
    <row r="112" spans="1:3" ht="15" customHeight="1" x14ac:dyDescent="0.25">
      <c r="A112" s="94">
        <f>IF('Cash Flow Analysis'!C80="","",'Cash Flow Analysis'!C80)</f>
        <v>15</v>
      </c>
      <c r="B112" s="109">
        <f ca="1">SUM(R49,Q50,P51,O52,N53,M54,L55,K56,J57,I58,H59,G60,F61,E62,D63,C64)</f>
        <v>9569974.7374370471</v>
      </c>
      <c r="C112" s="119">
        <f t="shared" si="47"/>
        <v>0</v>
      </c>
    </row>
    <row r="113" spans="1:3" ht="15" customHeight="1" x14ac:dyDescent="0.25">
      <c r="A113" s="94">
        <f>IF('Cash Flow Analysis'!C81="","",'Cash Flow Analysis'!C81)</f>
        <v>16</v>
      </c>
      <c r="B113" s="109">
        <f ca="1">SUM(S49,R50,Q51,P52,O53,N54,M55,L56,K57,J58,I59,H60,G61,F62,E63,D64,C65)</f>
        <v>10392099.865373144</v>
      </c>
      <c r="C113" s="119">
        <f t="shared" si="47"/>
        <v>0</v>
      </c>
    </row>
    <row r="114" spans="1:3" ht="15" customHeight="1" x14ac:dyDescent="0.25">
      <c r="A114" s="94">
        <f>IF('Cash Flow Analysis'!C82="","",'Cash Flow Analysis'!C82)</f>
        <v>17</v>
      </c>
      <c r="B114" s="109">
        <f ca="1">SUM(T49,S50,R51,Q52,P53,O54,N55,M56,L57,K58,J59,I60,H61,G62,F63,E64,D65,C66)</f>
        <v>10321340.27493952</v>
      </c>
      <c r="C114" s="119">
        <f t="shared" si="47"/>
        <v>0</v>
      </c>
    </row>
    <row r="115" spans="1:3" ht="15" customHeight="1" x14ac:dyDescent="0.25">
      <c r="A115" s="94">
        <f>IF('Cash Flow Analysis'!C83="","",'Cash Flow Analysis'!C83)</f>
        <v>18</v>
      </c>
      <c r="B115" s="109">
        <f ca="1">SUM(U49,T50,S51,R52,Q53,P54,O55,N56,M57,L58,K59,J60,I61,H62,G63,F64,E65,D66,C67)</f>
        <v>10258258.662708899</v>
      </c>
      <c r="C115" s="119">
        <f t="shared" si="47"/>
        <v>0</v>
      </c>
    </row>
    <row r="116" spans="1:3" ht="15" customHeight="1" x14ac:dyDescent="0.25">
      <c r="A116" s="94">
        <f>IF('Cash Flow Analysis'!C84="","",'Cash Flow Analysis'!C84)</f>
        <v>19</v>
      </c>
      <c r="B116" s="109">
        <f ca="1">SUM(V49,U50,T51,S52,R53,Q54,P55,O56,N57,M58,L59,K60,J61,I62,H63,G64,F65,E66,D67,C68)</f>
        <v>10207113.468048165</v>
      </c>
      <c r="C116" s="119">
        <f t="shared" si="47"/>
        <v>0</v>
      </c>
    </row>
    <row r="117" spans="1:3" ht="15" customHeight="1" x14ac:dyDescent="0.25">
      <c r="A117" s="94">
        <f>IF('Cash Flow Analysis'!C85="","",'Cash Flow Analysis'!C85)</f>
        <v>20</v>
      </c>
      <c r="B117" s="109">
        <f t="shared" ref="B117:B140" ca="1" si="48">SUM(W49,V50,U51,T52,S53,R54,Q55,P56,O57,N58,M59,L60,K61,J62,I63,H64,G65,F66,E67,D68,C69)</f>
        <v>10162323.783012511</v>
      </c>
      <c r="C117" s="119">
        <f t="shared" si="47"/>
        <v>0</v>
      </c>
    </row>
    <row r="118" spans="1:3" ht="15" customHeight="1" x14ac:dyDescent="0.25">
      <c r="A118" s="94">
        <f>IF('Cash Flow Analysis'!C86="","",'Cash Flow Analysis'!C86)</f>
        <v>21</v>
      </c>
      <c r="B118" s="109">
        <f t="shared" ca="1" si="48"/>
        <v>6553020.8449782059</v>
      </c>
      <c r="C118" s="119">
        <f t="shared" si="47"/>
        <v>0</v>
      </c>
    </row>
    <row r="119" spans="1:3" ht="15" customHeight="1" x14ac:dyDescent="0.25">
      <c r="A119" s="94">
        <f>IF('Cash Flow Analysis'!C87="","",'Cash Flow Analysis'!C87)</f>
        <v>22</v>
      </c>
      <c r="B119" s="109">
        <f t="shared" ca="1" si="48"/>
        <v>3901370.0931223826</v>
      </c>
      <c r="C119" s="119">
        <f t="shared" si="47"/>
        <v>0</v>
      </c>
    </row>
    <row r="120" spans="1:3" ht="15" customHeight="1" x14ac:dyDescent="0.25">
      <c r="A120" s="94">
        <f>IF('Cash Flow Analysis'!C88="","",'Cash Flow Analysis'!C88)</f>
        <v>23</v>
      </c>
      <c r="B120" s="109">
        <f t="shared" ca="1" si="48"/>
        <v>4803612.9254397657</v>
      </c>
      <c r="C120" s="119">
        <f t="shared" si="47"/>
        <v>0</v>
      </c>
    </row>
    <row r="121" spans="1:3" ht="15" customHeight="1" x14ac:dyDescent="0.25">
      <c r="A121" s="94">
        <f>IF('Cash Flow Analysis'!C89="","",'Cash Flow Analysis'!C89)</f>
        <v>24</v>
      </c>
      <c r="B121" s="109">
        <f t="shared" ca="1" si="48"/>
        <v>4683271.5728058927</v>
      </c>
      <c r="C121" s="119">
        <f t="shared" si="47"/>
        <v>0</v>
      </c>
    </row>
    <row r="122" spans="1:3" ht="15" customHeight="1" x14ac:dyDescent="0.25">
      <c r="A122" s="94">
        <f>IF('Cash Flow Analysis'!C90="","",'Cash Flow Analysis'!C90)</f>
        <v>25</v>
      </c>
      <c r="B122" s="109">
        <f t="shared" ca="1" si="48"/>
        <v>4574217.5883335248</v>
      </c>
      <c r="C122" s="119">
        <f t="shared" si="47"/>
        <v>0</v>
      </c>
    </row>
    <row r="123" spans="1:3" ht="15" customHeight="1" x14ac:dyDescent="0.25">
      <c r="A123" s="94">
        <f>IF('Cash Flow Analysis'!C91="","",'Cash Flow Analysis'!C91)</f>
        <v>26</v>
      </c>
      <c r="B123" s="109">
        <f t="shared" ca="1" si="48"/>
        <v>4474795.4307979792</v>
      </c>
      <c r="C123" s="119">
        <f t="shared" si="47"/>
        <v>0</v>
      </c>
    </row>
    <row r="124" spans="1:3" ht="15" customHeight="1" x14ac:dyDescent="0.25">
      <c r="A124" s="94">
        <f>IF('Cash Flow Analysis'!C92="","",'Cash Flow Analysis'!C92)</f>
        <v>27</v>
      </c>
      <c r="B124" s="109">
        <f t="shared" ca="1" si="48"/>
        <v>4385124.2444970543</v>
      </c>
      <c r="C124" s="119">
        <f t="shared" si="47"/>
        <v>0</v>
      </c>
    </row>
    <row r="125" spans="1:3" ht="15" customHeight="1" x14ac:dyDescent="0.25">
      <c r="A125" s="94">
        <f>IF('Cash Flow Analysis'!C93="","",'Cash Flow Analysis'!C93)</f>
        <v>28</v>
      </c>
      <c r="B125" s="109">
        <f t="shared" ca="1" si="48"/>
        <v>3860740.9619512288</v>
      </c>
      <c r="C125" s="119">
        <f t="shared" si="47"/>
        <v>0</v>
      </c>
    </row>
    <row r="126" spans="1:3" ht="15" customHeight="1" x14ac:dyDescent="0.25">
      <c r="A126" s="94">
        <f>IF('Cash Flow Analysis'!C94="","",'Cash Flow Analysis'!C94)</f>
        <v>29</v>
      </c>
      <c r="B126" s="109">
        <f t="shared" ca="1" si="48"/>
        <v>4450783.1838128818</v>
      </c>
      <c r="C126" s="119">
        <f t="shared" si="47"/>
        <v>0</v>
      </c>
    </row>
    <row r="127" spans="1:3" ht="15" customHeight="1" x14ac:dyDescent="0.25">
      <c r="A127" s="94">
        <f>IF('Cash Flow Analysis'!C95="","",'Cash Flow Analysis'!C95)</f>
        <v>30</v>
      </c>
      <c r="B127" s="109">
        <f t="shared" ca="1" si="48"/>
        <v>5480084.9752202295</v>
      </c>
      <c r="C127" s="119">
        <f t="shared" si="47"/>
        <v>0</v>
      </c>
    </row>
    <row r="128" spans="1:3" ht="15" customHeight="1" x14ac:dyDescent="0.25">
      <c r="A128" s="94">
        <f>IF('Cash Flow Analysis'!C96="","",'Cash Flow Analysis'!C96)</f>
        <v>31</v>
      </c>
      <c r="B128" s="109">
        <f t="shared" ca="1" si="48"/>
        <v>5342796.4699424654</v>
      </c>
      <c r="C128" s="119">
        <f t="shared" si="47"/>
        <v>0</v>
      </c>
    </row>
    <row r="129" spans="1:3" ht="15" customHeight="1" x14ac:dyDescent="0.25">
      <c r="A129" s="94">
        <f>IF('Cash Flow Analysis'!C97="","",'Cash Flow Analysis'!C97)</f>
        <v>32</v>
      </c>
      <c r="B129" s="109">
        <f t="shared" ca="1" si="48"/>
        <v>5218384.8841067459</v>
      </c>
      <c r="C129" s="119">
        <f t="shared" si="47"/>
        <v>0</v>
      </c>
    </row>
    <row r="130" spans="1:3" ht="15" customHeight="1" x14ac:dyDescent="0.25">
      <c r="A130" s="94">
        <f>IF('Cash Flow Analysis'!C98="","",'Cash Flow Analysis'!C98)</f>
        <v>33</v>
      </c>
      <c r="B130" s="109">
        <f t="shared" ca="1" si="48"/>
        <v>5104961.5337720308</v>
      </c>
      <c r="C130" s="119">
        <f t="shared" si="47"/>
        <v>0</v>
      </c>
    </row>
    <row r="131" spans="1:3" ht="15" customHeight="1" x14ac:dyDescent="0.25">
      <c r="A131" s="94">
        <f>IF('Cash Flow Analysis'!C99="","",'Cash Flow Analysis'!C99)</f>
        <v>34</v>
      </c>
      <c r="B131" s="109">
        <f t="shared" ca="1" si="48"/>
        <v>5002662.3418127019</v>
      </c>
      <c r="C131" s="119">
        <f t="shared" si="47"/>
        <v>0</v>
      </c>
    </row>
    <row r="132" spans="1:3" ht="15" customHeight="1" x14ac:dyDescent="0.25">
      <c r="A132" s="94">
        <f>IF('Cash Flow Analysis'!C100="","",'Cash Flow Analysis'!C100)</f>
        <v>35</v>
      </c>
      <c r="B132" s="109">
        <f t="shared" ca="1" si="48"/>
        <v>4404432.4276751122</v>
      </c>
      <c r="C132" s="119">
        <f t="shared" si="47"/>
        <v>0</v>
      </c>
    </row>
    <row r="133" spans="1:3" ht="15" customHeight="1" x14ac:dyDescent="0.25">
      <c r="A133" s="94">
        <f>IF('Cash Flow Analysis'!C101="","",'Cash Flow Analysis'!C101)</f>
        <v>36</v>
      </c>
      <c r="B133" s="109">
        <f t="shared" ca="1" si="48"/>
        <v>5077567.7458114279</v>
      </c>
      <c r="C133" s="119">
        <f t="shared" si="47"/>
        <v>0</v>
      </c>
    </row>
    <row r="134" spans="1:3" ht="15" customHeight="1" x14ac:dyDescent="0.25">
      <c r="A134" s="94">
        <f>IF('Cash Flow Analysis'!C102="","",'Cash Flow Analysis'!C102)</f>
        <v>37</v>
      </c>
      <c r="B134" s="109">
        <f t="shared" ca="1" si="48"/>
        <v>6251821.6604401274</v>
      </c>
      <c r="C134" s="119">
        <f t="shared" si="47"/>
        <v>0</v>
      </c>
    </row>
    <row r="135" spans="1:3" ht="15" customHeight="1" x14ac:dyDescent="0.25">
      <c r="A135" s="94">
        <f>IF('Cash Flow Analysis'!C103="","",'Cash Flow Analysis'!C103)</f>
        <v>38</v>
      </c>
      <c r="B135" s="109">
        <f t="shared" ca="1" si="48"/>
        <v>6095199.4082476851</v>
      </c>
      <c r="C135" s="119">
        <f t="shared" si="47"/>
        <v>0</v>
      </c>
    </row>
    <row r="136" spans="1:3" ht="15" customHeight="1" x14ac:dyDescent="0.25">
      <c r="A136" s="94">
        <f>IF('Cash Flow Analysis'!C104="","",'Cash Flow Analysis'!C104)</f>
        <v>39</v>
      </c>
      <c r="B136" s="109">
        <f t="shared" ca="1" si="48"/>
        <v>5953267.476415514</v>
      </c>
      <c r="C136" s="119">
        <f t="shared" si="47"/>
        <v>0</v>
      </c>
    </row>
    <row r="137" spans="1:3" ht="15" customHeight="1" x14ac:dyDescent="0.25">
      <c r="A137" s="94">
        <f>IF('Cash Flow Analysis'!C105="","",'Cash Flow Analysis'!C105)</f>
        <v>40</v>
      </c>
      <c r="B137" s="109">
        <f t="shared" ca="1" si="48"/>
        <v>5823871.2058049906</v>
      </c>
      <c r="C137" s="119">
        <f t="shared" si="47"/>
        <v>0</v>
      </c>
    </row>
    <row r="138" spans="1:3" ht="15" customHeight="1" x14ac:dyDescent="0.25">
      <c r="A138" s="94" t="str">
        <f>IF('Cash Flow Analysis'!C106="","",'Cash Flow Analysis'!C106)</f>
        <v/>
      </c>
      <c r="B138" s="109">
        <f t="shared" ca="1" si="48"/>
        <v>5642487.8608224876</v>
      </c>
      <c r="C138" s="119">
        <f t="shared" ca="1" si="47"/>
        <v>5642487.8608224876</v>
      </c>
    </row>
    <row r="139" spans="1:3" ht="15" customHeight="1" x14ac:dyDescent="0.25">
      <c r="A139" s="94" t="str">
        <f>IF('Cash Flow Analysis'!C107="","",'Cash Flow Analysis'!C107)</f>
        <v/>
      </c>
      <c r="B139" s="109">
        <f t="shared" ca="1" si="48"/>
        <v>4834273.8582325866</v>
      </c>
      <c r="C139" s="119">
        <f t="shared" ca="1" si="47"/>
        <v>4834273.8582325866</v>
      </c>
    </row>
    <row r="140" spans="1:3" ht="15" customHeight="1" thickBot="1" x14ac:dyDescent="0.3">
      <c r="A140" s="120" t="str">
        <f>IF('Cash Flow Analysis'!C108="","",'Cash Flow Analysis'!C108)</f>
        <v/>
      </c>
      <c r="B140" s="121">
        <f t="shared" ca="1" si="48"/>
        <v>4044305.6438742136</v>
      </c>
      <c r="C140" s="122">
        <f t="shared" ca="1" si="47"/>
        <v>4044305.6438742136</v>
      </c>
    </row>
    <row r="141" spans="1:3" ht="15" customHeight="1" thickTop="1" thickBot="1" x14ac:dyDescent="0.35">
      <c r="A141" s="123" t="s">
        <v>62</v>
      </c>
      <c r="B141" s="124">
        <f ca="1">SUM(B97:B140)</f>
        <v>302957118.48623556</v>
      </c>
      <c r="C141" s="125">
        <f ca="1">SUM(C97:C140)</f>
        <v>14521067.362929288</v>
      </c>
    </row>
    <row r="142" spans="1:3" ht="15" customHeight="1" thickTop="1" x14ac:dyDescent="0.3">
      <c r="A142" s="126"/>
      <c r="B142" s="127"/>
      <c r="C142" s="128"/>
    </row>
    <row r="143" spans="1:3" ht="15" customHeight="1" thickBot="1" x14ac:dyDescent="0.3">
      <c r="A143" s="38" t="str">
        <f>IF('Cash Flow Analysis'!C109="","",'Cash Flow Analysis'!C109)</f>
        <v/>
      </c>
      <c r="B143" s="115"/>
    </row>
    <row r="144" spans="1:3" ht="31.5" customHeight="1" thickTop="1" x14ac:dyDescent="0.35">
      <c r="A144" s="1746" t="s">
        <v>63</v>
      </c>
      <c r="B144" s="1747"/>
    </row>
    <row r="145" spans="1:2" ht="16.5" customHeight="1" thickBot="1" x14ac:dyDescent="0.35">
      <c r="A145" s="129" t="s">
        <v>64</v>
      </c>
      <c r="B145" s="130" t="s">
        <v>60</v>
      </c>
    </row>
    <row r="146" spans="1:2" ht="15" customHeight="1" thickTop="1" x14ac:dyDescent="0.25">
      <c r="A146" s="131">
        <v>1</v>
      </c>
      <c r="B146" s="105">
        <f ca="1">SUM(D92,E91,F90,G89,H88,I87,J86,K85,L84,M83,N82,O81,P80,Q79,R78,S77,T76,U75,V74,W73)</f>
        <v>3940231.3135122368</v>
      </c>
    </row>
    <row r="147" spans="1:2" ht="15" customHeight="1" x14ac:dyDescent="0.25">
      <c r="A147" s="94">
        <v>2</v>
      </c>
      <c r="B147" s="110">
        <f ca="1">SUM(E92,F91,G90,H89,I88,J87,K86,L85,M84,N83,O82,P81,Q80,R79,S78,T77,U76,V75,W74)</f>
        <v>3863008.3515600422</v>
      </c>
    </row>
    <row r="148" spans="1:2" ht="15" customHeight="1" x14ac:dyDescent="0.25">
      <c r="A148" s="94">
        <v>3</v>
      </c>
      <c r="B148" s="110">
        <f ca="1">SUM(F92,G91,H90,I89,J88,K87,L86,M85,N84,O83,P82,Q81,R80,S79,T78,U77,V76,W75)</f>
        <v>3791783.8850451182</v>
      </c>
    </row>
    <row r="149" spans="1:2" ht="15" customHeight="1" x14ac:dyDescent="0.25">
      <c r="A149" s="94">
        <v>4</v>
      </c>
      <c r="B149" s="110">
        <f ca="1">SUM(G92,H91,I90,J89,K88,L87,M86,N85,O84,P83,Q82,R81,S80,T79,U78,V77,W76)</f>
        <v>3725969.5379298339</v>
      </c>
    </row>
    <row r="150" spans="1:2" ht="15" customHeight="1" x14ac:dyDescent="0.25">
      <c r="A150" s="94">
        <v>5</v>
      </c>
      <c r="B150" s="110">
        <f ca="1">SUM(H92,I91,J90,K89,L88,M87,N86,O85,P84,Q83,R82,S81,T80,U79,V78,W77)</f>
        <v>3665301.1103087235</v>
      </c>
    </row>
    <row r="151" spans="1:2" ht="15" customHeight="1" x14ac:dyDescent="0.25">
      <c r="A151" s="94">
        <v>6</v>
      </c>
      <c r="B151" s="110">
        <f ca="1">SUM(I92,J91,K90,L89,M88,N87,O86,P85,Q84,R83,S82,T81,U80,V79,W78)</f>
        <v>2946581.4840515968</v>
      </c>
    </row>
    <row r="152" spans="1:2" ht="15" customHeight="1" x14ac:dyDescent="0.25">
      <c r="A152" s="94">
        <v>7</v>
      </c>
      <c r="B152" s="110">
        <f ca="1">SUM(J92,K91,L90,M89,N88,O87,P86,Q85,R84,S83,T82,U81,V80,W79)</f>
        <v>2227101.2792636263</v>
      </c>
    </row>
    <row r="153" spans="1:2" ht="15" customHeight="1" x14ac:dyDescent="0.25">
      <c r="A153" s="94">
        <v>8</v>
      </c>
      <c r="B153" s="110">
        <f ca="1">SUM(K92,L91,M90,N89,O88,P87,Q86,R85,S84,T83,U82,V81,W80)</f>
        <v>2163603.1718440061</v>
      </c>
    </row>
    <row r="154" spans="1:2" ht="15" customHeight="1" x14ac:dyDescent="0.25">
      <c r="A154" s="94">
        <v>9</v>
      </c>
      <c r="B154" s="110">
        <f ca="1">SUM(L92,M91,N90,O89,P88,Q87,R86,S85,T84,U83,V82,W81)</f>
        <v>2099595.0241997871</v>
      </c>
    </row>
    <row r="155" spans="1:2" ht="15" customHeight="1" x14ac:dyDescent="0.25">
      <c r="A155" s="94">
        <v>10</v>
      </c>
      <c r="B155" s="110">
        <f ca="1">SUM(M92,N91,O90,P89,Q88,R87,S86,T85,U84,V83,W82)</f>
        <v>2033674.2979339538</v>
      </c>
    </row>
    <row r="156" spans="1:2" ht="15" customHeight="1" x14ac:dyDescent="0.25">
      <c r="A156" s="94">
        <v>11</v>
      </c>
      <c r="B156" s="110">
        <f ca="1">SUM(N92,O91,P90,Q89,R88,S87,T86,U85,V84,W83)</f>
        <v>1967197.5016854443</v>
      </c>
    </row>
    <row r="157" spans="1:2" ht="15" customHeight="1" x14ac:dyDescent="0.25">
      <c r="A157" s="94">
        <v>12</v>
      </c>
      <c r="B157" s="110">
        <f ca="1">SUM(O92,P91,Q90,R89,S88,T87,U86,V85,W84)</f>
        <v>1898761.2224918383</v>
      </c>
    </row>
    <row r="158" spans="1:2" ht="15" customHeight="1" x14ac:dyDescent="0.25">
      <c r="A158" s="94">
        <v>13</v>
      </c>
      <c r="B158" s="110">
        <f ca="1">SUM(P92,Q91,R90,S89,T88,U87,V86,W85)</f>
        <v>1079229.470457165</v>
      </c>
    </row>
    <row r="159" spans="1:2" ht="15" customHeight="1" x14ac:dyDescent="0.25">
      <c r="A159" s="94">
        <v>14</v>
      </c>
      <c r="B159" s="110">
        <f ca="1">SUM(Q92,R91,S90,T89,U88,V87,W86)</f>
        <v>258025.92433020071</v>
      </c>
    </row>
    <row r="160" spans="1:2" ht="15" customHeight="1" x14ac:dyDescent="0.25">
      <c r="A160" s="94">
        <v>15</v>
      </c>
      <c r="B160" s="110">
        <f ca="1">SUM(R92,S91,T90,U89,V88,W87)</f>
        <v>185987.70613259688</v>
      </c>
    </row>
    <row r="161" spans="1:2" ht="15" customHeight="1" x14ac:dyDescent="0.25">
      <c r="A161" s="94">
        <v>16</v>
      </c>
      <c r="B161" s="110">
        <f ca="1">SUM(S92,T91,U90,V89,W88)</f>
        <v>112563.51437593219</v>
      </c>
    </row>
    <row r="162" spans="1:2" ht="15" customHeight="1" x14ac:dyDescent="0.25">
      <c r="A162" s="94">
        <v>17</v>
      </c>
      <c r="B162" s="110">
        <f ca="1">SUM(T92,U91,V90,W89)</f>
        <v>37761.510389197276</v>
      </c>
    </row>
    <row r="163" spans="1:2" ht="15" customHeight="1" x14ac:dyDescent="0.25">
      <c r="A163" s="94">
        <v>18</v>
      </c>
      <c r="B163" s="110">
        <f>SUM(U92,V91,W90)</f>
        <v>0</v>
      </c>
    </row>
    <row r="164" spans="1:2" ht="15" customHeight="1" x14ac:dyDescent="0.25">
      <c r="A164" s="94">
        <v>19</v>
      </c>
      <c r="B164" s="110">
        <f>SUM(V92,W91)</f>
        <v>0</v>
      </c>
    </row>
    <row r="165" spans="1:2" ht="15" customHeight="1" thickBot="1" x14ac:dyDescent="0.3">
      <c r="A165" s="96">
        <v>20</v>
      </c>
      <c r="B165" s="97">
        <f>SUM(W92)</f>
        <v>0</v>
      </c>
    </row>
    <row r="166" spans="1:2" ht="14" thickTop="1" thickBot="1" x14ac:dyDescent="0.35">
      <c r="A166" s="123" t="s">
        <v>62</v>
      </c>
      <c r="B166" s="132">
        <f ca="1">SUM(B146:B165)</f>
        <v>35996376.305511303</v>
      </c>
    </row>
    <row r="167" spans="1:2" ht="13" thickTop="1" x14ac:dyDescent="0.25"/>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5" x14ac:dyDescent="0.25"/>
  <cols>
    <col min="1" max="1" width="33" customWidth="1"/>
    <col min="2" max="2" width="10" customWidth="1"/>
    <col min="3" max="3" width="14" customWidth="1"/>
    <col min="4" max="4" width="11.1796875" customWidth="1"/>
    <col min="5" max="5" width="60.81640625" customWidth="1"/>
    <col min="7" max="8" width="14" customWidth="1"/>
    <col min="11" max="11" width="14.1796875" customWidth="1"/>
    <col min="12" max="12" width="18.26953125" customWidth="1"/>
    <col min="15" max="15" width="12.453125" bestFit="1" customWidth="1"/>
    <col min="16" max="16" width="14.26953125" customWidth="1"/>
  </cols>
  <sheetData>
    <row r="1" spans="1:5" s="2" customFormat="1" ht="14" x14ac:dyDescent="0.3">
      <c r="A1" s="2" t="s">
        <v>284</v>
      </c>
      <c r="B1" s="2" t="s">
        <v>285</v>
      </c>
      <c r="C1" s="2" t="s">
        <v>286</v>
      </c>
    </row>
    <row r="2" spans="1:5" ht="14" x14ac:dyDescent="0.3">
      <c r="A2" s="2" t="s">
        <v>287</v>
      </c>
    </row>
    <row r="3" spans="1:5" x14ac:dyDescent="0.25">
      <c r="A3" t="s">
        <v>288</v>
      </c>
      <c r="B3" t="s">
        <v>289</v>
      </c>
      <c r="C3">
        <v>1.6093</v>
      </c>
      <c r="D3" t="s">
        <v>642</v>
      </c>
    </row>
    <row r="4" spans="1:5" x14ac:dyDescent="0.25">
      <c r="A4" t="s">
        <v>290</v>
      </c>
      <c r="B4" t="s">
        <v>291</v>
      </c>
      <c r="C4">
        <v>3.7850000000000001</v>
      </c>
      <c r="D4" t="s">
        <v>643</v>
      </c>
    </row>
    <row r="5" spans="1:5" x14ac:dyDescent="0.25">
      <c r="A5" t="s">
        <v>292</v>
      </c>
      <c r="B5" t="s">
        <v>293</v>
      </c>
      <c r="C5">
        <v>1.8263969224024776E-2</v>
      </c>
      <c r="D5" t="s">
        <v>644</v>
      </c>
    </row>
    <row r="6" spans="1:5" x14ac:dyDescent="0.25">
      <c r="A6" t="s">
        <v>849</v>
      </c>
      <c r="B6" t="s">
        <v>1007</v>
      </c>
      <c r="C6">
        <v>2.6852999999999998E-2</v>
      </c>
      <c r="D6" t="s">
        <v>645</v>
      </c>
      <c r="E6" t="s">
        <v>709</v>
      </c>
    </row>
    <row r="7" spans="1:5" x14ac:dyDescent="0.25">
      <c r="A7" t="s">
        <v>857</v>
      </c>
      <c r="B7" t="s">
        <v>268</v>
      </c>
      <c r="C7">
        <f>1/2.205</f>
        <v>0.45351473922902491</v>
      </c>
      <c r="D7" t="s">
        <v>646</v>
      </c>
    </row>
    <row r="8" spans="1:5" x14ac:dyDescent="0.25">
      <c r="A8" t="s">
        <v>914</v>
      </c>
      <c r="B8" t="s">
        <v>1007</v>
      </c>
      <c r="C8">
        <v>2.8316999999999998E-2</v>
      </c>
      <c r="D8" t="s">
        <v>647</v>
      </c>
      <c r="E8" t="s">
        <v>710</v>
      </c>
    </row>
    <row r="9" spans="1:5" x14ac:dyDescent="0.25">
      <c r="A9" t="s">
        <v>377</v>
      </c>
      <c r="B9" t="s">
        <v>415</v>
      </c>
      <c r="C9">
        <v>145.03800000000001</v>
      </c>
      <c r="D9" t="s">
        <v>551</v>
      </c>
    </row>
    <row r="11" spans="1:5" ht="14" x14ac:dyDescent="0.3">
      <c r="A11" s="2" t="s">
        <v>294</v>
      </c>
    </row>
    <row r="12" spans="1:5" x14ac:dyDescent="0.25">
      <c r="A12" t="s">
        <v>295</v>
      </c>
      <c r="B12" t="s">
        <v>296</v>
      </c>
      <c r="C12">
        <v>0.27777777777777779</v>
      </c>
    </row>
    <row r="13" spans="1:5" x14ac:dyDescent="0.25">
      <c r="A13" t="s">
        <v>297</v>
      </c>
      <c r="B13" t="s">
        <v>296</v>
      </c>
      <c r="C13">
        <v>34.022625288888882</v>
      </c>
    </row>
    <row r="14" spans="1:5" x14ac:dyDescent="0.25">
      <c r="A14" t="s">
        <v>298</v>
      </c>
      <c r="B14" t="s">
        <v>299</v>
      </c>
      <c r="C14">
        <v>0.97933196399532141</v>
      </c>
    </row>
    <row r="15" spans="1:5" x14ac:dyDescent="0.25">
      <c r="A15" t="s">
        <v>298</v>
      </c>
      <c r="B15" t="s">
        <v>296</v>
      </c>
      <c r="C15">
        <f>kgH2_to_GJ*MJ_to_kWh*1000</f>
        <v>33.392121748655818</v>
      </c>
    </row>
    <row r="16" spans="1:5" x14ac:dyDescent="0.25">
      <c r="A16" t="s">
        <v>298</v>
      </c>
      <c r="B16" t="s">
        <v>1073</v>
      </c>
      <c r="C16">
        <f>H2_LHV_MJ_p_kg/1000</f>
        <v>0.12021163829516093</v>
      </c>
    </row>
    <row r="17" spans="1:3" x14ac:dyDescent="0.25">
      <c r="A17" t="s">
        <v>300</v>
      </c>
      <c r="B17" t="s">
        <v>296</v>
      </c>
      <c r="C17">
        <v>2.9308323563892143E-4</v>
      </c>
    </row>
    <row r="18" spans="1:3" x14ac:dyDescent="0.25">
      <c r="A18" t="s">
        <v>1072</v>
      </c>
      <c r="B18" t="s">
        <v>1073</v>
      </c>
      <c r="C18">
        <v>1.0549999999999999</v>
      </c>
    </row>
    <row r="21" spans="1:3" ht="14" x14ac:dyDescent="0.3">
      <c r="A21" s="2" t="s">
        <v>537</v>
      </c>
      <c r="C21" s="462" t="s">
        <v>839</v>
      </c>
    </row>
    <row r="22" spans="1:3" x14ac:dyDescent="0.25">
      <c r="A22" t="s">
        <v>403</v>
      </c>
      <c r="B22">
        <v>1</v>
      </c>
    </row>
    <row r="23" spans="1:3" x14ac:dyDescent="0.25">
      <c r="A23" t="s">
        <v>404</v>
      </c>
      <c r="B23">
        <v>25</v>
      </c>
    </row>
    <row r="24" spans="1:3" x14ac:dyDescent="0.25">
      <c r="A24" t="s">
        <v>405</v>
      </c>
      <c r="B24">
        <v>298</v>
      </c>
    </row>
    <row r="27" spans="1:3" ht="14" x14ac:dyDescent="0.3">
      <c r="A27" s="2" t="s">
        <v>704</v>
      </c>
    </row>
    <row r="28" spans="1:3" x14ac:dyDescent="0.25">
      <c r="A28" t="s">
        <v>705</v>
      </c>
      <c r="B28" t="s">
        <v>706</v>
      </c>
    </row>
    <row r="29" spans="1:3" x14ac:dyDescent="0.25">
      <c r="A29" t="s">
        <v>863</v>
      </c>
      <c r="B29">
        <f>mmBTU_to_GJ</f>
        <v>1.0549999999999999</v>
      </c>
    </row>
    <row r="30" spans="1:3" x14ac:dyDescent="0.25">
      <c r="A30" t="s">
        <v>296</v>
      </c>
      <c r="B30">
        <f>1/MJ_to_kWh/1000</f>
        <v>3.5999999999999995E-3</v>
      </c>
    </row>
    <row r="31" spans="1:3" x14ac:dyDescent="0.25">
      <c r="A31" t="s">
        <v>1073</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topLeftCell="D1" workbookViewId="0">
      <selection activeCell="G31" sqref="G31:H31"/>
    </sheetView>
  </sheetViews>
  <sheetFormatPr defaultRowHeight="12.5" x14ac:dyDescent="0.25"/>
  <cols>
    <col min="1" max="1" width="17" customWidth="1"/>
    <col min="3" max="3" width="13.7265625" customWidth="1"/>
    <col min="5" max="5" width="16" customWidth="1"/>
    <col min="7" max="7" width="56.453125" customWidth="1"/>
    <col min="8" max="8" width="18.81640625" customWidth="1"/>
    <col min="10" max="10" width="22.26953125" customWidth="1"/>
    <col min="11" max="11" width="33.81640625" customWidth="1"/>
    <col min="13" max="13" width="21" customWidth="1"/>
    <col min="15" max="15" width="20.7265625" customWidth="1"/>
    <col min="16" max="16" width="17.1796875" customWidth="1"/>
    <col min="18" max="18" width="21" customWidth="1"/>
    <col min="20" max="20" width="14.54296875" customWidth="1"/>
    <col min="22" max="22" width="18.54296875" customWidth="1"/>
    <col min="25" max="25" width="22.54296875" customWidth="1"/>
    <col min="26" max="26" width="15.1796875" customWidth="1"/>
    <col min="28" max="28" width="18.7265625" customWidth="1"/>
    <col min="29" max="29" width="18.54296875" customWidth="1"/>
  </cols>
  <sheetData>
    <row r="1" spans="1:29" ht="13" x14ac:dyDescent="0.3">
      <c r="A1" s="1" t="s">
        <v>1090</v>
      </c>
    </row>
    <row r="2" spans="1:29" ht="13" x14ac:dyDescent="0.3">
      <c r="J2" s="1" t="s">
        <v>814</v>
      </c>
    </row>
    <row r="3" spans="1:29" ht="13" x14ac:dyDescent="0.3">
      <c r="A3" s="1" t="s">
        <v>1004</v>
      </c>
      <c r="C3" s="1" t="s">
        <v>22</v>
      </c>
      <c r="E3" s="1" t="s">
        <v>166</v>
      </c>
      <c r="G3" s="1" t="s">
        <v>11</v>
      </c>
      <c r="J3" s="975" t="s">
        <v>1116</v>
      </c>
      <c r="M3" s="1" t="s">
        <v>75</v>
      </c>
      <c r="O3" s="1" t="s">
        <v>439</v>
      </c>
      <c r="R3" s="1" t="s">
        <v>666</v>
      </c>
      <c r="T3" s="1" t="s">
        <v>434</v>
      </c>
      <c r="V3" s="1" t="s">
        <v>436</v>
      </c>
      <c r="Y3" s="1" t="s">
        <v>346</v>
      </c>
      <c r="AB3" s="1" t="s">
        <v>1065</v>
      </c>
    </row>
    <row r="4" spans="1:29" ht="13" x14ac:dyDescent="0.3">
      <c r="A4" t="s">
        <v>1005</v>
      </c>
      <c r="C4" t="s">
        <v>23</v>
      </c>
      <c r="E4" s="1">
        <v>100000</v>
      </c>
      <c r="G4" t="s">
        <v>324</v>
      </c>
      <c r="H4" t="s">
        <v>8</v>
      </c>
      <c r="J4" s="975" t="s">
        <v>1104</v>
      </c>
      <c r="M4" t="s">
        <v>1041</v>
      </c>
      <c r="O4" t="str">
        <f>M7</f>
        <v>ref_year</v>
      </c>
      <c r="P4">
        <v>2016</v>
      </c>
      <c r="R4" s="462" t="s">
        <v>1041</v>
      </c>
      <c r="T4">
        <v>1</v>
      </c>
      <c r="U4" t="s">
        <v>435</v>
      </c>
      <c r="V4" t="s">
        <v>417</v>
      </c>
      <c r="W4">
        <v>1.1000000000000001</v>
      </c>
      <c r="Y4" t="s">
        <v>339</v>
      </c>
      <c r="Z4">
        <v>0.9</v>
      </c>
      <c r="AB4" t="s">
        <v>27</v>
      </c>
      <c r="AC4" s="462" t="s">
        <v>825</v>
      </c>
    </row>
    <row r="5" spans="1:29" x14ac:dyDescent="0.25">
      <c r="A5" t="s">
        <v>1006</v>
      </c>
      <c r="C5" t="s">
        <v>282</v>
      </c>
      <c r="G5" t="s">
        <v>335</v>
      </c>
      <c r="H5" t="s">
        <v>26</v>
      </c>
      <c r="J5" s="975" t="s">
        <v>1105</v>
      </c>
      <c r="M5" t="s">
        <v>8</v>
      </c>
      <c r="O5" t="str">
        <f>M18</f>
        <v>depr_type</v>
      </c>
      <c r="P5" t="s">
        <v>438</v>
      </c>
      <c r="R5" s="462" t="s">
        <v>935</v>
      </c>
      <c r="T5">
        <v>1.2</v>
      </c>
      <c r="U5" t="s">
        <v>424</v>
      </c>
      <c r="V5" t="s">
        <v>418</v>
      </c>
      <c r="W5">
        <v>1</v>
      </c>
      <c r="Y5" t="s">
        <v>340</v>
      </c>
      <c r="Z5">
        <v>0.04</v>
      </c>
      <c r="AB5" t="s">
        <v>179</v>
      </c>
      <c r="AC5" s="462" t="s">
        <v>825</v>
      </c>
    </row>
    <row r="6" spans="1:29" x14ac:dyDescent="0.25">
      <c r="G6" t="s">
        <v>373</v>
      </c>
      <c r="H6" t="s">
        <v>182</v>
      </c>
      <c r="J6" s="975" t="s">
        <v>1106</v>
      </c>
      <c r="M6" t="s">
        <v>26</v>
      </c>
      <c r="O6" t="str">
        <f>M19</f>
        <v>equity</v>
      </c>
      <c r="P6" s="1544">
        <v>0.4</v>
      </c>
      <c r="R6" s="462" t="s">
        <v>936</v>
      </c>
      <c r="V6" t="s">
        <v>419</v>
      </c>
      <c r="W6">
        <v>1.05</v>
      </c>
      <c r="Y6" t="s">
        <v>550</v>
      </c>
      <c r="Z6">
        <v>14.7</v>
      </c>
      <c r="AB6" t="s">
        <v>171</v>
      </c>
      <c r="AC6" s="462" t="s">
        <v>825</v>
      </c>
    </row>
    <row r="7" spans="1:29" ht="13" x14ac:dyDescent="0.3">
      <c r="A7" s="1" t="s">
        <v>270</v>
      </c>
      <c r="C7" s="1" t="s">
        <v>1056</v>
      </c>
      <c r="G7" t="s">
        <v>374</v>
      </c>
      <c r="H7" t="s">
        <v>10</v>
      </c>
      <c r="J7" s="1394" t="s">
        <v>1289</v>
      </c>
      <c r="M7" t="s">
        <v>1024</v>
      </c>
      <c r="O7" t="str">
        <f t="shared" ref="O7:O13" si="0">M25</f>
        <v>decom_percent</v>
      </c>
      <c r="P7">
        <v>0.1</v>
      </c>
      <c r="R7" s="462" t="s">
        <v>937</v>
      </c>
      <c r="V7" t="s">
        <v>420</v>
      </c>
      <c r="W7">
        <v>1.1000000000000001</v>
      </c>
      <c r="Y7" t="s">
        <v>961</v>
      </c>
      <c r="Z7">
        <v>0</v>
      </c>
      <c r="AB7" t="s">
        <v>173</v>
      </c>
      <c r="AC7" s="462" t="s">
        <v>825</v>
      </c>
    </row>
    <row r="8" spans="1:29" x14ac:dyDescent="0.25">
      <c r="A8" t="s">
        <v>248</v>
      </c>
      <c r="C8" t="s">
        <v>1051</v>
      </c>
      <c r="G8" t="s">
        <v>378</v>
      </c>
      <c r="H8" t="s">
        <v>181</v>
      </c>
      <c r="M8" t="s">
        <v>182</v>
      </c>
      <c r="O8" t="str">
        <f t="shared" si="0"/>
        <v>salvage_perct</v>
      </c>
      <c r="P8">
        <v>0.1</v>
      </c>
      <c r="R8" s="462" t="s">
        <v>938</v>
      </c>
      <c r="V8" t="s">
        <v>422</v>
      </c>
      <c r="W8">
        <v>1.1000000000000001</v>
      </c>
      <c r="Y8" s="305" t="s">
        <v>1269</v>
      </c>
      <c r="Z8" s="305">
        <v>1</v>
      </c>
      <c r="AB8" t="s">
        <v>29</v>
      </c>
      <c r="AC8" s="462" t="s">
        <v>825</v>
      </c>
    </row>
    <row r="9" spans="1:29" x14ac:dyDescent="0.25">
      <c r="A9" t="s">
        <v>271</v>
      </c>
      <c r="C9" t="s">
        <v>271</v>
      </c>
      <c r="G9" t="s">
        <v>379</v>
      </c>
      <c r="H9" t="s">
        <v>170</v>
      </c>
      <c r="M9" t="s">
        <v>10</v>
      </c>
      <c r="O9" t="str">
        <f t="shared" si="0"/>
        <v>inflation_rate</v>
      </c>
      <c r="P9">
        <v>1.9E-2</v>
      </c>
      <c r="R9" s="462" t="s">
        <v>939</v>
      </c>
      <c r="V9" t="s">
        <v>421</v>
      </c>
      <c r="W9">
        <v>1.3</v>
      </c>
      <c r="Y9" s="305" t="s">
        <v>345</v>
      </c>
      <c r="Z9" s="305">
        <v>100</v>
      </c>
      <c r="AB9" t="s">
        <v>159</v>
      </c>
      <c r="AC9" s="462" t="s">
        <v>825</v>
      </c>
    </row>
    <row r="10" spans="1:29" x14ac:dyDescent="0.25">
      <c r="A10" t="s">
        <v>272</v>
      </c>
      <c r="C10" t="s">
        <v>1057</v>
      </c>
      <c r="G10" t="s">
        <v>325</v>
      </c>
      <c r="H10" t="s">
        <v>18</v>
      </c>
      <c r="M10" t="s">
        <v>161</v>
      </c>
      <c r="O10" t="str">
        <f t="shared" si="0"/>
        <v>real_irr</v>
      </c>
      <c r="P10" s="1544">
        <v>0.08</v>
      </c>
      <c r="R10" s="462" t="s">
        <v>940</v>
      </c>
      <c r="V10" t="s">
        <v>423</v>
      </c>
      <c r="W10">
        <v>1.5</v>
      </c>
      <c r="Y10" s="305" t="s">
        <v>1251</v>
      </c>
      <c r="Z10" s="305">
        <v>0.75</v>
      </c>
      <c r="AB10" t="s">
        <v>169</v>
      </c>
      <c r="AC10" s="462" t="s">
        <v>825</v>
      </c>
    </row>
    <row r="11" spans="1:29" ht="13" x14ac:dyDescent="0.3">
      <c r="C11" t="s">
        <v>1070</v>
      </c>
      <c r="G11" t="s">
        <v>326</v>
      </c>
      <c r="H11" t="s">
        <v>178</v>
      </c>
      <c r="J11" s="1" t="s">
        <v>693</v>
      </c>
      <c r="K11" s="1" t="s">
        <v>694</v>
      </c>
      <c r="M11" t="s">
        <v>162</v>
      </c>
      <c r="O11" t="str">
        <f t="shared" si="0"/>
        <v>state_tax_rate</v>
      </c>
      <c r="P11">
        <v>0.06</v>
      </c>
      <c r="R11" s="462" t="s">
        <v>941</v>
      </c>
      <c r="Y11" s="305" t="s">
        <v>1252</v>
      </c>
      <c r="Z11" s="1334" t="s">
        <v>23</v>
      </c>
      <c r="AB11" t="s">
        <v>1092</v>
      </c>
      <c r="AC11" t="s">
        <v>838</v>
      </c>
    </row>
    <row r="12" spans="1:29" x14ac:dyDescent="0.25">
      <c r="C12" t="s">
        <v>272</v>
      </c>
      <c r="G12" t="s">
        <v>327</v>
      </c>
      <c r="H12" t="s">
        <v>30</v>
      </c>
      <c r="J12" s="890" t="str">
        <f>TMP_PriceTable</f>
        <v>AEO_2017_Reference_Case</v>
      </c>
      <c r="K12" t="str">
        <f>J12&amp;"_Feeds"</f>
        <v>AEO_2017_Reference_Case_Feeds</v>
      </c>
      <c r="M12" t="s">
        <v>163</v>
      </c>
      <c r="O12" t="str">
        <f t="shared" si="0"/>
        <v>fed_tax_rate</v>
      </c>
      <c r="P12" s="1544">
        <v>0.21</v>
      </c>
      <c r="R12" s="462" t="s">
        <v>942</v>
      </c>
      <c r="Y12" s="305" t="s">
        <v>1253</v>
      </c>
      <c r="Z12" s="1334" t="s">
        <v>23</v>
      </c>
      <c r="AB12" t="s">
        <v>1093</v>
      </c>
      <c r="AC12" t="s">
        <v>1061</v>
      </c>
    </row>
    <row r="13" spans="1:29" ht="13" x14ac:dyDescent="0.3">
      <c r="G13" t="s">
        <v>328</v>
      </c>
      <c r="H13" t="s">
        <v>174</v>
      </c>
      <c r="K13" s="1" t="s">
        <v>695</v>
      </c>
      <c r="M13" t="s">
        <v>164</v>
      </c>
      <c r="O13" t="str">
        <f t="shared" si="0"/>
        <v>WorkingCap</v>
      </c>
      <c r="P13">
        <v>0.15</v>
      </c>
      <c r="R13" s="462" t="s">
        <v>943</v>
      </c>
      <c r="Y13" s="305" t="s">
        <v>1254</v>
      </c>
      <c r="Z13" s="305">
        <v>0</v>
      </c>
      <c r="AB13" t="s">
        <v>1021</v>
      </c>
      <c r="AC13">
        <v>0.25</v>
      </c>
    </row>
    <row r="14" spans="1:29" ht="13" x14ac:dyDescent="0.3">
      <c r="A14" s="1" t="s">
        <v>16</v>
      </c>
      <c r="C14" s="1" t="s">
        <v>199</v>
      </c>
      <c r="G14" t="s">
        <v>329</v>
      </c>
      <c r="H14" t="s">
        <v>184</v>
      </c>
      <c r="K14" t="str">
        <f>J12&amp;"_Years"</f>
        <v>AEO_2017_Reference_Case_Years</v>
      </c>
      <c r="M14" t="s">
        <v>181</v>
      </c>
      <c r="O14" t="s">
        <v>160</v>
      </c>
      <c r="P14">
        <v>0.2</v>
      </c>
      <c r="R14" t="s">
        <v>8</v>
      </c>
      <c r="Y14" s="305" t="s">
        <v>1255</v>
      </c>
      <c r="Z14" s="305">
        <v>53</v>
      </c>
      <c r="AB14" t="s">
        <v>1022</v>
      </c>
      <c r="AC14" t="s">
        <v>838</v>
      </c>
    </row>
    <row r="15" spans="1:29" x14ac:dyDescent="0.25">
      <c r="A15" t="s">
        <v>191</v>
      </c>
      <c r="C15" s="778" t="s">
        <v>200</v>
      </c>
      <c r="G15" t="s">
        <v>330</v>
      </c>
      <c r="H15" t="s">
        <v>28</v>
      </c>
      <c r="M15" t="s">
        <v>170</v>
      </c>
      <c r="O15" t="s">
        <v>186</v>
      </c>
      <c r="P15">
        <v>0.02</v>
      </c>
      <c r="R15" t="s">
        <v>26</v>
      </c>
      <c r="Y15" s="1330"/>
      <c r="Z15" s="1330"/>
      <c r="AB15" t="s">
        <v>31</v>
      </c>
      <c r="AC15" t="s">
        <v>1061</v>
      </c>
    </row>
    <row r="16" spans="1:29" ht="14" x14ac:dyDescent="0.25">
      <c r="A16" t="s">
        <v>192</v>
      </c>
      <c r="C16" s="779" t="s">
        <v>201</v>
      </c>
      <c r="G16" t="s">
        <v>331</v>
      </c>
      <c r="H16" t="s">
        <v>189</v>
      </c>
      <c r="M16" t="s">
        <v>7</v>
      </c>
      <c r="O16" t="s">
        <v>177</v>
      </c>
      <c r="P16">
        <v>0</v>
      </c>
      <c r="R16" t="s">
        <v>1024</v>
      </c>
      <c r="Y16" s="1330"/>
      <c r="Z16" s="1331"/>
      <c r="AB16" t="s">
        <v>175</v>
      </c>
      <c r="AC16" t="s">
        <v>1061</v>
      </c>
    </row>
    <row r="17" spans="1:29" x14ac:dyDescent="0.25">
      <c r="A17" t="s">
        <v>243</v>
      </c>
      <c r="C17" s="835" t="s">
        <v>501</v>
      </c>
      <c r="G17" t="s">
        <v>12</v>
      </c>
      <c r="H17" t="s">
        <v>246</v>
      </c>
      <c r="M17" t="s">
        <v>24</v>
      </c>
      <c r="O17" t="s">
        <v>156</v>
      </c>
      <c r="P17">
        <v>0</v>
      </c>
      <c r="R17" t="s">
        <v>182</v>
      </c>
      <c r="AB17" t="s">
        <v>1023</v>
      </c>
      <c r="AC17" t="s">
        <v>1061</v>
      </c>
    </row>
    <row r="18" spans="1:29" x14ac:dyDescent="0.25">
      <c r="A18" t="s">
        <v>244</v>
      </c>
      <c r="C18" s="780" t="s">
        <v>1031</v>
      </c>
      <c r="G18" t="s">
        <v>117</v>
      </c>
      <c r="H18" t="s">
        <v>973</v>
      </c>
      <c r="M18" t="s">
        <v>25</v>
      </c>
      <c r="O18" t="s">
        <v>185</v>
      </c>
      <c r="P18">
        <v>0</v>
      </c>
      <c r="R18" t="s">
        <v>10</v>
      </c>
      <c r="Y18" s="1330"/>
      <c r="Z18" s="1330"/>
      <c r="AB18" t="s">
        <v>172</v>
      </c>
      <c r="AC18" t="s">
        <v>1061</v>
      </c>
    </row>
    <row r="19" spans="1:29" x14ac:dyDescent="0.25">
      <c r="A19" t="s">
        <v>245</v>
      </c>
      <c r="C19" s="479" t="s">
        <v>202</v>
      </c>
      <c r="G19" t="s">
        <v>634</v>
      </c>
      <c r="H19" t="s">
        <v>635</v>
      </c>
      <c r="M19" t="s">
        <v>247</v>
      </c>
      <c r="O19" t="s">
        <v>963</v>
      </c>
      <c r="P19">
        <v>0</v>
      </c>
      <c r="R19" t="s">
        <v>161</v>
      </c>
      <c r="Y19" s="1330"/>
      <c r="Z19" s="1330"/>
      <c r="AB19" t="s">
        <v>157</v>
      </c>
      <c r="AC19" t="s">
        <v>1060</v>
      </c>
    </row>
    <row r="20" spans="1:29" x14ac:dyDescent="0.25">
      <c r="A20" t="s">
        <v>17</v>
      </c>
      <c r="G20" t="s">
        <v>352</v>
      </c>
      <c r="H20" t="s">
        <v>1092</v>
      </c>
      <c r="M20" t="s">
        <v>13</v>
      </c>
      <c r="O20" t="s">
        <v>964</v>
      </c>
      <c r="P20">
        <v>0</v>
      </c>
      <c r="R20" t="s">
        <v>162</v>
      </c>
      <c r="Y20" s="1330"/>
      <c r="Z20" s="1330"/>
      <c r="AB20" t="s">
        <v>158</v>
      </c>
      <c r="AC20" t="s">
        <v>1061</v>
      </c>
    </row>
    <row r="21" spans="1:29" x14ac:dyDescent="0.25">
      <c r="G21" t="s">
        <v>662</v>
      </c>
      <c r="H21" t="s">
        <v>1021</v>
      </c>
      <c r="M21" t="s">
        <v>14</v>
      </c>
      <c r="R21" t="s">
        <v>163</v>
      </c>
      <c r="AB21" t="s">
        <v>187</v>
      </c>
      <c r="AC21" t="s">
        <v>1060</v>
      </c>
    </row>
    <row r="22" spans="1:29" x14ac:dyDescent="0.25">
      <c r="G22" t="s">
        <v>332</v>
      </c>
      <c r="H22" t="s">
        <v>160</v>
      </c>
      <c r="M22" t="s">
        <v>165</v>
      </c>
      <c r="R22" t="s">
        <v>164</v>
      </c>
      <c r="AB22" t="s">
        <v>280</v>
      </c>
      <c r="AC22" t="s">
        <v>1060</v>
      </c>
    </row>
    <row r="23" spans="1:29" ht="13" x14ac:dyDescent="0.3">
      <c r="A23" s="1" t="s">
        <v>837</v>
      </c>
      <c r="G23" t="s">
        <v>333</v>
      </c>
      <c r="H23" t="s">
        <v>186</v>
      </c>
      <c r="M23" t="s">
        <v>167</v>
      </c>
      <c r="R23" t="s">
        <v>181</v>
      </c>
      <c r="AB23" t="s">
        <v>188</v>
      </c>
      <c r="AC23" t="s">
        <v>1060</v>
      </c>
    </row>
    <row r="24" spans="1:29" x14ac:dyDescent="0.25">
      <c r="A24" s="462" t="s">
        <v>1060</v>
      </c>
      <c r="G24" t="s">
        <v>359</v>
      </c>
      <c r="H24" t="s">
        <v>175</v>
      </c>
      <c r="M24" t="s">
        <v>168</v>
      </c>
      <c r="R24" t="s">
        <v>170</v>
      </c>
      <c r="AB24" t="s">
        <v>180</v>
      </c>
      <c r="AC24" t="s">
        <v>1060</v>
      </c>
    </row>
    <row r="25" spans="1:29" x14ac:dyDescent="0.25">
      <c r="A25" s="462" t="s">
        <v>1061</v>
      </c>
      <c r="G25" t="s">
        <v>360</v>
      </c>
      <c r="H25" t="s">
        <v>1023</v>
      </c>
      <c r="M25" t="s">
        <v>18</v>
      </c>
      <c r="R25" t="s">
        <v>7</v>
      </c>
      <c r="AB25" t="s">
        <v>177</v>
      </c>
      <c r="AC25" t="s">
        <v>1060</v>
      </c>
    </row>
    <row r="26" spans="1:29" x14ac:dyDescent="0.25">
      <c r="A26" s="462" t="s">
        <v>838</v>
      </c>
      <c r="G26" t="s">
        <v>361</v>
      </c>
      <c r="H26" t="s">
        <v>172</v>
      </c>
      <c r="M26" t="s">
        <v>178</v>
      </c>
      <c r="R26" t="s">
        <v>24</v>
      </c>
      <c r="AB26" t="s">
        <v>156</v>
      </c>
      <c r="AC26" t="s">
        <v>1060</v>
      </c>
    </row>
    <row r="27" spans="1:29" x14ac:dyDescent="0.25">
      <c r="A27" s="462" t="s">
        <v>825</v>
      </c>
      <c r="G27" t="s">
        <v>365</v>
      </c>
      <c r="H27" t="s">
        <v>188</v>
      </c>
      <c r="M27" t="s">
        <v>30</v>
      </c>
      <c r="R27" t="s">
        <v>25</v>
      </c>
      <c r="AB27" t="s">
        <v>185</v>
      </c>
      <c r="AC27" t="s">
        <v>1060</v>
      </c>
    </row>
    <row r="28" spans="1:29" x14ac:dyDescent="0.25">
      <c r="A28">
        <v>0.1</v>
      </c>
      <c r="G28" t="s">
        <v>366</v>
      </c>
      <c r="H28" t="s">
        <v>180</v>
      </c>
      <c r="M28" t="s">
        <v>174</v>
      </c>
      <c r="R28" t="s">
        <v>247</v>
      </c>
      <c r="AB28" t="s">
        <v>1064</v>
      </c>
      <c r="AC28" t="s">
        <v>825</v>
      </c>
    </row>
    <row r="29" spans="1:29" x14ac:dyDescent="0.25">
      <c r="A29">
        <v>0.2</v>
      </c>
      <c r="G29" t="s">
        <v>999</v>
      </c>
      <c r="H29" t="s">
        <v>9</v>
      </c>
      <c r="M29" t="s">
        <v>184</v>
      </c>
      <c r="R29" t="s">
        <v>13</v>
      </c>
    </row>
    <row r="30" spans="1:29" x14ac:dyDescent="0.25">
      <c r="A30">
        <v>0.25</v>
      </c>
      <c r="G30" t="s">
        <v>834</v>
      </c>
      <c r="H30" t="s">
        <v>835</v>
      </c>
      <c r="M30" t="s">
        <v>28</v>
      </c>
      <c r="R30" t="s">
        <v>14</v>
      </c>
    </row>
    <row r="31" spans="1:29" x14ac:dyDescent="0.25">
      <c r="A31">
        <v>0.3</v>
      </c>
      <c r="G31" t="s">
        <v>1423</v>
      </c>
      <c r="H31" t="s">
        <v>1424</v>
      </c>
      <c r="M31" t="s">
        <v>189</v>
      </c>
      <c r="R31" t="s">
        <v>165</v>
      </c>
    </row>
    <row r="32" spans="1:29" x14ac:dyDescent="0.25">
      <c r="A32">
        <v>0.4</v>
      </c>
      <c r="M32" t="s">
        <v>1092</v>
      </c>
      <c r="R32" t="s">
        <v>167</v>
      </c>
    </row>
    <row r="33" spans="1:18" x14ac:dyDescent="0.25">
      <c r="A33">
        <v>0.5</v>
      </c>
      <c r="M33" t="s">
        <v>1093</v>
      </c>
      <c r="R33" t="s">
        <v>168</v>
      </c>
    </row>
    <row r="34" spans="1:18" x14ac:dyDescent="0.25">
      <c r="A34">
        <v>0.6</v>
      </c>
      <c r="M34" t="s">
        <v>1021</v>
      </c>
      <c r="R34" t="s">
        <v>18</v>
      </c>
    </row>
    <row r="35" spans="1:18" x14ac:dyDescent="0.25">
      <c r="A35">
        <v>0.7</v>
      </c>
      <c r="M35" t="s">
        <v>1022</v>
      </c>
      <c r="R35" t="s">
        <v>178</v>
      </c>
    </row>
    <row r="36" spans="1:18" x14ac:dyDescent="0.25">
      <c r="A36">
        <v>0.8</v>
      </c>
      <c r="M36" t="s">
        <v>160</v>
      </c>
      <c r="R36" t="s">
        <v>30</v>
      </c>
    </row>
    <row r="37" spans="1:18" x14ac:dyDescent="0.25">
      <c r="A37">
        <v>0.9</v>
      </c>
      <c r="M37" t="s">
        <v>186</v>
      </c>
      <c r="R37" t="s">
        <v>174</v>
      </c>
    </row>
    <row r="38" spans="1:18" x14ac:dyDescent="0.25">
      <c r="M38" t="s">
        <v>175</v>
      </c>
      <c r="R38" t="s">
        <v>184</v>
      </c>
    </row>
    <row r="39" spans="1:18" x14ac:dyDescent="0.25">
      <c r="M39" t="s">
        <v>1023</v>
      </c>
      <c r="R39" t="s">
        <v>28</v>
      </c>
    </row>
    <row r="40" spans="1:18" x14ac:dyDescent="0.25">
      <c r="M40" t="s">
        <v>172</v>
      </c>
      <c r="R40" t="s">
        <v>189</v>
      </c>
    </row>
    <row r="41" spans="1:18" x14ac:dyDescent="0.25">
      <c r="M41" t="s">
        <v>157</v>
      </c>
      <c r="R41" t="s">
        <v>246</v>
      </c>
    </row>
    <row r="42" spans="1:18" x14ac:dyDescent="0.25">
      <c r="M42" t="s">
        <v>158</v>
      </c>
      <c r="R42" t="s">
        <v>27</v>
      </c>
    </row>
    <row r="43" spans="1:18" x14ac:dyDescent="0.25">
      <c r="M43" t="s">
        <v>280</v>
      </c>
      <c r="R43" t="s">
        <v>179</v>
      </c>
    </row>
    <row r="44" spans="1:18" x14ac:dyDescent="0.25">
      <c r="M44" t="s">
        <v>187</v>
      </c>
      <c r="R44" t="s">
        <v>171</v>
      </c>
    </row>
    <row r="45" spans="1:18" x14ac:dyDescent="0.25">
      <c r="M45" t="s">
        <v>188</v>
      </c>
      <c r="R45" t="s">
        <v>173</v>
      </c>
    </row>
    <row r="46" spans="1:18" x14ac:dyDescent="0.25">
      <c r="M46" t="s">
        <v>180</v>
      </c>
      <c r="R46" t="s">
        <v>29</v>
      </c>
    </row>
    <row r="47" spans="1:18" x14ac:dyDescent="0.25">
      <c r="M47" t="s">
        <v>176</v>
      </c>
      <c r="R47" t="s">
        <v>159</v>
      </c>
    </row>
    <row r="48" spans="1:18" x14ac:dyDescent="0.25">
      <c r="M48" t="s">
        <v>177</v>
      </c>
      <c r="R48" t="s">
        <v>169</v>
      </c>
    </row>
    <row r="49" spans="13:18" x14ac:dyDescent="0.25">
      <c r="M49" t="s">
        <v>156</v>
      </c>
      <c r="R49" t="s">
        <v>1092</v>
      </c>
    </row>
    <row r="50" spans="13:18" x14ac:dyDescent="0.25">
      <c r="M50" t="s">
        <v>185</v>
      </c>
      <c r="R50" t="s">
        <v>1093</v>
      </c>
    </row>
    <row r="51" spans="13:18" x14ac:dyDescent="0.25">
      <c r="M51" t="s">
        <v>9</v>
      </c>
      <c r="R51" t="s">
        <v>1021</v>
      </c>
    </row>
    <row r="52" spans="13:18" x14ac:dyDescent="0.25">
      <c r="M52" t="s">
        <v>1064</v>
      </c>
      <c r="R52" t="s">
        <v>1022</v>
      </c>
    </row>
    <row r="53" spans="13:18" x14ac:dyDescent="0.25">
      <c r="M53" t="s">
        <v>587</v>
      </c>
      <c r="R53" t="s">
        <v>160</v>
      </c>
    </row>
    <row r="54" spans="13:18" x14ac:dyDescent="0.25">
      <c r="M54" t="s">
        <v>340</v>
      </c>
      <c r="R54" t="s">
        <v>186</v>
      </c>
    </row>
    <row r="55" spans="13:18" x14ac:dyDescent="0.25">
      <c r="M55" t="s">
        <v>341</v>
      </c>
      <c r="R55" t="s">
        <v>175</v>
      </c>
    </row>
    <row r="56" spans="13:18" x14ac:dyDescent="0.25">
      <c r="M56" t="s">
        <v>342</v>
      </c>
      <c r="R56" t="s">
        <v>1023</v>
      </c>
    </row>
    <row r="57" spans="13:18" x14ac:dyDescent="0.25">
      <c r="M57" t="s">
        <v>588</v>
      </c>
      <c r="R57" t="s">
        <v>172</v>
      </c>
    </row>
    <row r="58" spans="13:18" x14ac:dyDescent="0.25">
      <c r="M58" t="s">
        <v>343</v>
      </c>
      <c r="R58" t="s">
        <v>157</v>
      </c>
    </row>
    <row r="59" spans="13:18" x14ac:dyDescent="0.25">
      <c r="M59" t="s">
        <v>589</v>
      </c>
      <c r="R59" t="s">
        <v>158</v>
      </c>
    </row>
    <row r="60" spans="13:18" x14ac:dyDescent="0.25">
      <c r="M60" t="s">
        <v>344</v>
      </c>
      <c r="R60" t="s">
        <v>280</v>
      </c>
    </row>
    <row r="61" spans="13:18" x14ac:dyDescent="0.25">
      <c r="M61" t="s">
        <v>345</v>
      </c>
      <c r="R61" t="s">
        <v>281</v>
      </c>
    </row>
    <row r="62" spans="13:18" x14ac:dyDescent="0.25">
      <c r="R62" t="s">
        <v>259</v>
      </c>
    </row>
    <row r="63" spans="13:18" x14ac:dyDescent="0.25">
      <c r="R63" t="s">
        <v>187</v>
      </c>
    </row>
    <row r="64" spans="13:18" x14ac:dyDescent="0.25">
      <c r="R64" t="s">
        <v>188</v>
      </c>
    </row>
    <row r="65" spans="18:18" x14ac:dyDescent="0.25">
      <c r="R65" t="s">
        <v>180</v>
      </c>
    </row>
    <row r="66" spans="18:18" x14ac:dyDescent="0.25">
      <c r="R66" t="s">
        <v>176</v>
      </c>
    </row>
    <row r="67" spans="18:18" x14ac:dyDescent="0.25">
      <c r="R67" t="s">
        <v>177</v>
      </c>
    </row>
    <row r="68" spans="18:18" x14ac:dyDescent="0.25">
      <c r="R68" t="s">
        <v>156</v>
      </c>
    </row>
    <row r="69" spans="18:18" x14ac:dyDescent="0.25">
      <c r="R69" t="s">
        <v>185</v>
      </c>
    </row>
    <row r="70" spans="18:18" x14ac:dyDescent="0.25">
      <c r="R70" t="s">
        <v>9</v>
      </c>
    </row>
    <row r="71" spans="18:18" x14ac:dyDescent="0.25">
      <c r="R71" t="s">
        <v>1064</v>
      </c>
    </row>
    <row r="72" spans="18:18" x14ac:dyDescent="0.25">
      <c r="R72" t="s">
        <v>587</v>
      </c>
    </row>
    <row r="73" spans="18:18" x14ac:dyDescent="0.25">
      <c r="R73" t="s">
        <v>340</v>
      </c>
    </row>
    <row r="74" spans="18:18" x14ac:dyDescent="0.25">
      <c r="R74" t="s">
        <v>341</v>
      </c>
    </row>
    <row r="75" spans="18:18" x14ac:dyDescent="0.25">
      <c r="R75" t="s">
        <v>342</v>
      </c>
    </row>
    <row r="76" spans="18:18" x14ac:dyDescent="0.25">
      <c r="R76" t="s">
        <v>588</v>
      </c>
    </row>
    <row r="77" spans="18:18" x14ac:dyDescent="0.25">
      <c r="R77" t="s">
        <v>343</v>
      </c>
    </row>
    <row r="78" spans="18:18" x14ac:dyDescent="0.25">
      <c r="R78" t="s">
        <v>589</v>
      </c>
    </row>
    <row r="79" spans="18:18" x14ac:dyDescent="0.25">
      <c r="R79" t="s">
        <v>344</v>
      </c>
    </row>
    <row r="80" spans="18:18" x14ac:dyDescent="0.25">
      <c r="R80" t="s">
        <v>345</v>
      </c>
    </row>
  </sheetData>
  <phoneticPr fontId="2"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indexed="42"/>
  </sheetPr>
  <dimension ref="B2:B90"/>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1" t="s">
        <v>409</v>
      </c>
    </row>
    <row r="6" spans="2:2" ht="13" x14ac:dyDescent="0.3">
      <c r="B6" s="782" t="s">
        <v>204</v>
      </c>
    </row>
    <row r="7" spans="2:2" x14ac:dyDescent="0.25">
      <c r="B7" s="746"/>
    </row>
    <row r="8" spans="2:2" x14ac:dyDescent="0.25">
      <c r="B8" s="783"/>
    </row>
    <row r="9" spans="2:2" x14ac:dyDescent="0.25">
      <c r="B9" s="783"/>
    </row>
    <row r="10" spans="2:2" x14ac:dyDescent="0.25">
      <c r="B10" s="783"/>
    </row>
    <row r="11" spans="2:2" x14ac:dyDescent="0.25">
      <c r="B11" s="783"/>
    </row>
    <row r="12" spans="2:2" x14ac:dyDescent="0.25">
      <c r="B12" s="783"/>
    </row>
    <row r="13" spans="2:2" x14ac:dyDescent="0.25">
      <c r="B13" s="783"/>
    </row>
    <row r="14" spans="2:2" x14ac:dyDescent="0.25">
      <c r="B14" s="783"/>
    </row>
    <row r="15" spans="2:2" x14ac:dyDescent="0.25">
      <c r="B15" s="783"/>
    </row>
    <row r="16" spans="2:2" x14ac:dyDescent="0.25">
      <c r="B16" s="783"/>
    </row>
    <row r="17" spans="2:2" x14ac:dyDescent="0.25">
      <c r="B17" s="783"/>
    </row>
    <row r="18" spans="2:2" x14ac:dyDescent="0.25">
      <c r="B18" s="783"/>
    </row>
    <row r="19" spans="2:2" x14ac:dyDescent="0.25">
      <c r="B19" s="783"/>
    </row>
    <row r="20" spans="2:2" x14ac:dyDescent="0.25">
      <c r="B20" s="783"/>
    </row>
    <row r="21" spans="2:2" x14ac:dyDescent="0.25">
      <c r="B21" s="783"/>
    </row>
    <row r="22" spans="2:2" x14ac:dyDescent="0.25">
      <c r="B22" s="783"/>
    </row>
    <row r="23" spans="2:2" x14ac:dyDescent="0.25">
      <c r="B23" s="783"/>
    </row>
    <row r="24" spans="2:2" x14ac:dyDescent="0.25">
      <c r="B24" s="783"/>
    </row>
    <row r="25" spans="2:2" x14ac:dyDescent="0.25">
      <c r="B25" s="783"/>
    </row>
    <row r="26" spans="2:2" x14ac:dyDescent="0.25">
      <c r="B26" s="783"/>
    </row>
    <row r="27" spans="2:2" x14ac:dyDescent="0.25">
      <c r="B27" s="783"/>
    </row>
    <row r="28" spans="2:2" x14ac:dyDescent="0.25">
      <c r="B28" s="783"/>
    </row>
    <row r="29" spans="2:2" ht="13" x14ac:dyDescent="0.3">
      <c r="B29" s="784" t="s">
        <v>205</v>
      </c>
    </row>
    <row r="30" spans="2:2" x14ac:dyDescent="0.25">
      <c r="B30" s="746"/>
    </row>
    <row r="31" spans="2:2" x14ac:dyDescent="0.25">
      <c r="B31" s="209"/>
    </row>
    <row r="32" spans="2:2" x14ac:dyDescent="0.25">
      <c r="B32" s="783"/>
    </row>
    <row r="80" ht="81" customHeight="1" x14ac:dyDescent="0.25"/>
    <row r="82" ht="97.5" customHeight="1" x14ac:dyDescent="0.25"/>
    <row r="84" ht="68.25" customHeight="1" x14ac:dyDescent="0.25"/>
    <row r="86" ht="63" customHeight="1" x14ac:dyDescent="0.25"/>
    <row r="88" ht="63.75" customHeight="1" x14ac:dyDescent="0.25"/>
    <row r="90"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0721" r:id="rId3" name="cmdInputSheet5">
          <controlPr defaultSize="0" autoLine="0" r:id="rId4">
            <anchor moveWithCells="1">
              <from>
                <xdr:col>1</xdr:col>
                <xdr:colOff>7042150</xdr:colOff>
                <xdr:row>0</xdr:row>
                <xdr:rowOff>95250</xdr:rowOff>
              </from>
              <to>
                <xdr:col>1</xdr:col>
                <xdr:colOff>8191500</xdr:colOff>
                <xdr:row>2</xdr:row>
                <xdr:rowOff>107950</xdr:rowOff>
              </to>
            </anchor>
          </controlPr>
        </control>
      </mc:Choice>
      <mc:Fallback>
        <control shapeId="30721" r:id="rId3" name="cmdInputSheet5"/>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indexed="42"/>
  </sheetPr>
  <dimension ref="B2:B85"/>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1" t="s">
        <v>408</v>
      </c>
    </row>
    <row r="6" spans="2:2" ht="13" x14ac:dyDescent="0.3">
      <c r="B6" s="782" t="s">
        <v>206</v>
      </c>
    </row>
    <row r="7" spans="2:2" x14ac:dyDescent="0.25">
      <c r="B7" s="746"/>
    </row>
    <row r="8" spans="2:2" x14ac:dyDescent="0.25">
      <c r="B8" s="783"/>
    </row>
    <row r="9" spans="2:2" x14ac:dyDescent="0.25">
      <c r="B9" s="783"/>
    </row>
    <row r="10" spans="2:2" ht="13" x14ac:dyDescent="0.3">
      <c r="B10" s="784" t="s">
        <v>207</v>
      </c>
    </row>
    <row r="11" spans="2:2" x14ac:dyDescent="0.25">
      <c r="B11" s="746"/>
    </row>
    <row r="12" spans="2:2" x14ac:dyDescent="0.25">
      <c r="B12" s="209"/>
    </row>
    <row r="13" spans="2:2" x14ac:dyDescent="0.25">
      <c r="B13" s="783"/>
    </row>
    <row r="14" spans="2:2" ht="13" x14ac:dyDescent="0.3">
      <c r="B14" s="784" t="s">
        <v>208</v>
      </c>
    </row>
    <row r="15" spans="2:2" x14ac:dyDescent="0.25">
      <c r="B15" s="746"/>
    </row>
    <row r="16" spans="2:2" x14ac:dyDescent="0.25">
      <c r="B16" s="783"/>
    </row>
    <row r="17" spans="2:2" x14ac:dyDescent="0.25">
      <c r="B17" s="783"/>
    </row>
    <row r="18" spans="2:2" ht="13" x14ac:dyDescent="0.3">
      <c r="B18" s="784" t="s">
        <v>209</v>
      </c>
    </row>
    <row r="19" spans="2:2" x14ac:dyDescent="0.25">
      <c r="B19" s="746"/>
    </row>
    <row r="20" spans="2:2" x14ac:dyDescent="0.25">
      <c r="B20" s="783"/>
    </row>
    <row r="21" spans="2:2" ht="13" x14ac:dyDescent="0.25">
      <c r="B21" s="785" t="s">
        <v>210</v>
      </c>
    </row>
    <row r="22" spans="2:2" x14ac:dyDescent="0.25">
      <c r="B22" s="786"/>
    </row>
    <row r="23" spans="2:2" x14ac:dyDescent="0.25">
      <c r="B23" s="746"/>
    </row>
    <row r="24" spans="2:2" x14ac:dyDescent="0.25">
      <c r="B24" s="746"/>
    </row>
    <row r="25" spans="2:2" x14ac:dyDescent="0.25">
      <c r="B25" s="746"/>
    </row>
    <row r="26" spans="2:2" x14ac:dyDescent="0.25">
      <c r="B26" s="786"/>
    </row>
    <row r="75" ht="81" customHeight="1" x14ac:dyDescent="0.25"/>
    <row r="77" ht="97.5" customHeight="1" x14ac:dyDescent="0.25"/>
    <row r="79" ht="68.25" customHeight="1" x14ac:dyDescent="0.25"/>
    <row r="81" ht="63" customHeight="1" x14ac:dyDescent="0.25"/>
    <row r="83" ht="63.75" customHeight="1" x14ac:dyDescent="0.25"/>
    <row r="85"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4">
          <controlPr defaultSize="0" autoLine="0" r:id="rId4">
            <anchor moveWithCells="1">
              <from>
                <xdr:col>1</xdr:col>
                <xdr:colOff>5765800</xdr:colOff>
                <xdr:row>0</xdr:row>
                <xdr:rowOff>95250</xdr:rowOff>
              </from>
              <to>
                <xdr:col>1</xdr:col>
                <xdr:colOff>6915150</xdr:colOff>
                <xdr:row>2</xdr:row>
                <xdr:rowOff>107950</xdr:rowOff>
              </to>
            </anchor>
          </controlPr>
        </control>
      </mc:Choice>
      <mc:Fallback>
        <control shapeId="31745" r:id="rId3" name="cmdInputSheet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indexed="42"/>
  </sheetPr>
  <dimension ref="B2:D33"/>
  <sheetViews>
    <sheetView workbookViewId="0"/>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81" t="s">
        <v>407</v>
      </c>
    </row>
    <row r="4" spans="2:4" ht="13" thickBot="1" x14ac:dyDescent="0.3"/>
    <row r="5" spans="2:4" ht="13.5" thickTop="1" x14ac:dyDescent="0.3">
      <c r="B5" s="787" t="s">
        <v>211</v>
      </c>
      <c r="C5" s="788"/>
      <c r="D5" s="789"/>
    </row>
    <row r="6" spans="2:4" ht="13" x14ac:dyDescent="0.3">
      <c r="B6" s="790" t="s">
        <v>212</v>
      </c>
      <c r="C6" s="522"/>
      <c r="D6" s="789"/>
    </row>
    <row r="7" spans="2:4" ht="13" x14ac:dyDescent="0.3">
      <c r="B7" s="790" t="s">
        <v>213</v>
      </c>
      <c r="C7" s="522"/>
      <c r="D7" s="789"/>
    </row>
    <row r="8" spans="2:4" ht="13" x14ac:dyDescent="0.3">
      <c r="B8" s="790" t="s">
        <v>214</v>
      </c>
      <c r="C8" s="522"/>
      <c r="D8" s="789"/>
    </row>
    <row r="9" spans="2:4" ht="13" x14ac:dyDescent="0.3">
      <c r="B9" s="790" t="s">
        <v>215</v>
      </c>
      <c r="C9" s="791"/>
      <c r="D9" s="792"/>
    </row>
    <row r="10" spans="2:4" ht="13" x14ac:dyDescent="0.3">
      <c r="B10" s="790" t="s">
        <v>216</v>
      </c>
      <c r="C10" s="522"/>
      <c r="D10" s="789"/>
    </row>
    <row r="11" spans="2:4" ht="13" x14ac:dyDescent="0.3">
      <c r="B11" s="790" t="s">
        <v>217</v>
      </c>
      <c r="C11" s="793"/>
      <c r="D11" s="794"/>
    </row>
    <row r="12" spans="2:4" ht="13.5" thickBot="1" x14ac:dyDescent="0.35">
      <c r="B12" s="795" t="s">
        <v>218</v>
      </c>
      <c r="C12" s="523"/>
      <c r="D12" s="789"/>
    </row>
    <row r="13" spans="2:4" ht="14" thickTop="1" thickBot="1" x14ac:dyDescent="0.35">
      <c r="B13" s="796"/>
      <c r="C13" s="789"/>
      <c r="D13" s="797"/>
    </row>
    <row r="14" spans="2:4" ht="13.5" thickTop="1" x14ac:dyDescent="0.3">
      <c r="B14" s="787" t="s">
        <v>219</v>
      </c>
      <c r="C14" s="798"/>
      <c r="D14" s="799"/>
    </row>
    <row r="15" spans="2:4" ht="13" x14ac:dyDescent="0.3">
      <c r="B15" s="790" t="s">
        <v>220</v>
      </c>
      <c r="C15" s="800"/>
      <c r="D15" s="801"/>
    </row>
    <row r="16" spans="2:4" ht="13" x14ac:dyDescent="0.3">
      <c r="B16" s="790" t="s">
        <v>221</v>
      </c>
      <c r="C16" s="736"/>
      <c r="D16" s="799"/>
    </row>
    <row r="17" spans="2:4" ht="13" x14ac:dyDescent="0.3">
      <c r="B17" s="790" t="s">
        <v>222</v>
      </c>
      <c r="C17" s="736"/>
      <c r="D17" s="799"/>
    </row>
    <row r="18" spans="2:4" ht="13" x14ac:dyDescent="0.3">
      <c r="B18" s="790" t="s">
        <v>223</v>
      </c>
      <c r="C18" s="736"/>
      <c r="D18" s="802"/>
    </row>
    <row r="19" spans="2:4" ht="13" x14ac:dyDescent="0.3">
      <c r="B19" s="790" t="s">
        <v>224</v>
      </c>
      <c r="C19" s="736"/>
      <c r="D19" s="799"/>
    </row>
    <row r="20" spans="2:4" ht="13" x14ac:dyDescent="0.3">
      <c r="B20" s="790" t="s">
        <v>225</v>
      </c>
      <c r="C20" s="736"/>
      <c r="D20" s="799"/>
    </row>
    <row r="21" spans="2:4" ht="13" x14ac:dyDescent="0.3">
      <c r="B21" s="790" t="s">
        <v>226</v>
      </c>
      <c r="C21" s="736"/>
      <c r="D21" s="799"/>
    </row>
    <row r="22" spans="2:4" ht="26" x14ac:dyDescent="0.3">
      <c r="B22" s="803" t="s">
        <v>227</v>
      </c>
      <c r="C22" s="800"/>
      <c r="D22" s="799"/>
    </row>
    <row r="23" spans="2:4" ht="13" x14ac:dyDescent="0.3">
      <c r="B23" s="803" t="s">
        <v>228</v>
      </c>
      <c r="C23" s="736"/>
      <c r="D23" s="799"/>
    </row>
    <row r="24" spans="2:4" ht="13.5" thickBot="1" x14ac:dyDescent="0.35">
      <c r="B24" s="795" t="s">
        <v>229</v>
      </c>
      <c r="C24" s="804"/>
      <c r="D24" s="799"/>
    </row>
    <row r="25" spans="2:4" ht="14" thickTop="1" thickBot="1" x14ac:dyDescent="0.35">
      <c r="B25" s="805"/>
      <c r="C25" s="799"/>
      <c r="D25" s="799"/>
    </row>
    <row r="26" spans="2:4" ht="13.5" thickTop="1" x14ac:dyDescent="0.3">
      <c r="B26" s="1748" t="s">
        <v>230</v>
      </c>
      <c r="C26" s="1749"/>
      <c r="D26" s="1750"/>
    </row>
    <row r="27" spans="2:4" ht="13" x14ac:dyDescent="0.3">
      <c r="B27" s="806" t="s">
        <v>231</v>
      </c>
      <c r="C27" s="807" t="s">
        <v>232</v>
      </c>
      <c r="D27" s="808" t="s">
        <v>1029</v>
      </c>
    </row>
    <row r="28" spans="2:4" x14ac:dyDescent="0.25">
      <c r="B28" s="809"/>
      <c r="C28" s="810"/>
      <c r="D28" s="736"/>
    </row>
    <row r="29" spans="2:4" x14ac:dyDescent="0.25">
      <c r="B29" s="811"/>
      <c r="C29" s="810"/>
      <c r="D29" s="736"/>
    </row>
    <row r="30" spans="2:4" x14ac:dyDescent="0.25">
      <c r="B30" s="811"/>
      <c r="C30" s="810"/>
      <c r="D30" s="736"/>
    </row>
    <row r="31" spans="2:4" x14ac:dyDescent="0.25">
      <c r="B31" s="811"/>
      <c r="C31" s="810"/>
      <c r="D31" s="736"/>
    </row>
    <row r="32" spans="2:4" x14ac:dyDescent="0.25">
      <c r="B32" s="811"/>
      <c r="C32" s="810"/>
      <c r="D32" s="736"/>
    </row>
    <row r="33" spans="2:4" ht="13" thickBot="1" x14ac:dyDescent="0.3">
      <c r="B33" s="812"/>
      <c r="C33" s="813"/>
      <c r="D33" s="804"/>
    </row>
  </sheetData>
  <mergeCells count="1">
    <mergeCell ref="B26:D26"/>
  </mergeCells>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2769" r:id="rId3" name="cmdInputSheet3">
          <controlPr defaultSize="0" autoLine="0" r:id="rId4">
            <anchor moveWithCells="1">
              <from>
                <xdr:col>3</xdr:col>
                <xdr:colOff>647700</xdr:colOff>
                <xdr:row>1</xdr:row>
                <xdr:rowOff>12700</xdr:rowOff>
              </from>
              <to>
                <xdr:col>3</xdr:col>
                <xdr:colOff>1803400</xdr:colOff>
                <xdr:row>1</xdr:row>
                <xdr:rowOff>457200</xdr:rowOff>
              </to>
            </anchor>
          </controlPr>
        </control>
      </mc:Choice>
      <mc:Fallback>
        <control shapeId="32769" r:id="rId3" name="cmdInputSheet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Props1.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2.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3.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EF8E5CF-3FBC-4639-B789-46FCAB06DA57}">
  <ds:schemaRefs>
    <ds:schemaRef ds:uri="http://purl.org/dc/terms/"/>
    <ds:schemaRef ds:uri="http://schemas.microsoft.com/office/2006/documentManagement/types"/>
    <ds:schemaRef ds:uri="http://purl.org/dc/elements/1.1/"/>
    <ds:schemaRef ds:uri="http://schemas.openxmlformats.org/package/2006/metadata/core-properties"/>
    <ds:schemaRef ds:uri="d82b9494-d8c4-46c3-8d38-25b9e100fe6d"/>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312</vt:i4>
      </vt:variant>
    </vt:vector>
  </HeadingPairs>
  <TitlesOfParts>
    <vt:vector size="334"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ProcessFlow - blank</vt:lpstr>
      <vt:lpstr>Description - blank</vt:lpstr>
      <vt:lpstr>Title - blank</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feedstockIndustrial_Electricity_Price</vt:lpstr>
      <vt:lpstr>feedstockIndustrial_Electricity_Usage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PEM Electrolysis version 3.2018</dc:title>
  <dc:subject>DOE H2A production case study for current central hydrogen production from PEM electrolysis.</dc:subject>
  <dc:creator>dsteward</dc:creator>
  <cp:lastModifiedBy>JRICKARD</cp:lastModifiedBy>
  <cp:lastPrinted>2008-09-22T17:50:40Z</cp:lastPrinted>
  <dcterms:created xsi:type="dcterms:W3CDTF">2007-03-27T19:45:13Z</dcterms:created>
  <dcterms:modified xsi:type="dcterms:W3CDTF">2018-11-27T00:32:08Z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